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8.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9.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0.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1.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3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3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36.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37.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3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39.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0.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4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46.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4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ZZ_CITY_DEAL_FOLDER_STRUCTURE\13_ECONOMICS\Intelligence Hub restructure\1. Data Analysis\b. Data by theme\GCR Intraregional Analysis\"/>
    </mc:Choice>
  </mc:AlternateContent>
  <xr:revisionPtr revIDLastSave="0" documentId="13_ncr:1_{E266477D-EC53-4B07-B68D-E42EE66EF2DA}" xr6:coauthVersionLast="47" xr6:coauthVersionMax="47" xr10:uidLastSave="{00000000-0000-0000-0000-000000000000}"/>
  <workbookProtection workbookAlgorithmName="SHA-512" workbookHashValue="7yHhfSKphcMTv2+jdjDSHcA/+phXilX7xW/8Owi2RNNWn5yI52FVE/BItgmcc1JwtQOXeFAEUQXHErxWMvt7bQ==" workbookSaltValue="jwX/ofv1QTYysETs6QAtIQ==" workbookSpinCount="100000" lockStructure="1"/>
  <bookViews>
    <workbookView xWindow="-110" yWindow="-110" windowWidth="19420" windowHeight="10420" tabRatio="758" xr2:uid="{00000000-000D-0000-FFFF-FFFF00000000}"/>
  </bookViews>
  <sheets>
    <sheet name="Cover" sheetId="110" r:id="rId1"/>
    <sheet name="LA Feedback" sheetId="128" state="hidden" r:id="rId2"/>
    <sheet name="Indicator Updates" sheetId="141" r:id="rId3"/>
    <sheet name="Index RAG" sheetId="12" r:id="rId4"/>
    <sheet name="Gap Analysis" sheetId="119" r:id="rId5"/>
    <sheet name="Child Poverty" sheetId="11" r:id="rId6"/>
    <sheet name="Fuel Poverty" sheetId="76" state="hidden" r:id="rId7"/>
    <sheet name="Claimant Count" sheetId="34" r:id="rId8"/>
    <sheet name="Workless Households" sheetId="95" r:id="rId9"/>
    <sheet name="SLDR" sheetId="87" r:id="rId10"/>
    <sheet name="High Qualifications" sheetId="18" r:id="rId11"/>
    <sheet name="No Qualifications" sheetId="6" r:id="rId12"/>
    <sheet name="Incapacity" sheetId="106" r:id="rId13"/>
    <sheet name="Ill Health" sheetId="2" r:id="rId14"/>
    <sheet name="HLE Females" sheetId="37" r:id="rId15"/>
    <sheet name="HLE Males" sheetId="38" r:id="rId16"/>
    <sheet name="Economic Inactivity" sheetId="25" r:id="rId17"/>
    <sheet name="Unemployment" sheetId="16" r:id="rId18"/>
    <sheet name="Employment" sheetId="13" r:id="rId19"/>
    <sheet name="Low Pay Sectors" sheetId="83" r:id="rId20"/>
    <sheet name="Gender Gap" sheetId="41" r:id="rId21"/>
    <sheet name="Earnings" sheetId="23" r:id="rId22"/>
    <sheet name="Low Earnings" sheetId="57" r:id="rId23"/>
    <sheet name="Underemployment" sheetId="46" r:id="rId24"/>
    <sheet name="SOC 1 Occupation" sheetId="43" r:id="rId25"/>
    <sheet name="Satisfactory hours" sheetId="132" r:id="rId26"/>
    <sheet name="Low pay" sheetId="138" r:id="rId27"/>
    <sheet name="Zero-hour contracts" sheetId="139" r:id="rId28"/>
    <sheet name="10 Mb" sheetId="52" r:id="rId29"/>
    <sheet name="UFBB" sheetId="50" r:id="rId30"/>
    <sheet name="Fibre" sheetId="55" r:id="rId31"/>
    <sheet name="New Builds" sheetId="91" r:id="rId32"/>
    <sheet name="Social Builds" sheetId="92" r:id="rId33"/>
    <sheet name="Adaptations" sheetId="75" state="hidden" r:id="rId34"/>
    <sheet name="SHQS" sheetId="77" state="hidden" r:id="rId35"/>
    <sheet name="Disrepair" sheetId="78" state="hidden" r:id="rId36"/>
    <sheet name="V&amp;DL" sheetId="64" r:id="rId37"/>
    <sheet name="DL %" sheetId="126" state="hidden" r:id="rId38"/>
    <sheet name="SIMD V&amp;DL" sheetId="66" r:id="rId39"/>
    <sheet name="Net Migration" sheetId="112" state="hidden" r:id="rId40"/>
    <sheet name="Housing Affordability" sheetId="68" r:id="rId41"/>
    <sheet name="Procurement" sheetId="81" r:id="rId42"/>
    <sheet name="Social Enterprises" sheetId="69" state="hidden" r:id="rId43"/>
    <sheet name="GVA" sheetId="30" r:id="rId44"/>
    <sheet name="GVA phw" sheetId="32" r:id="rId45"/>
    <sheet name="R&amp;D" sheetId="89" state="hidden" r:id="rId46"/>
    <sheet name="Enterprise Rate" sheetId="58" r:id="rId47"/>
    <sheet name="Business Births" sheetId="116" r:id="rId48"/>
    <sheet name="Business Deaths" sheetId="118" r:id="rId49"/>
    <sheet name="Business Survival" sheetId="117" r:id="rId50"/>
    <sheet name="Emissions Population" sheetId="130" r:id="rId51"/>
    <sheet name="Emissions KM" sheetId="85" r:id="rId52"/>
    <sheet name="Raw - Child Poverty" sheetId="10" state="hidden" r:id="rId53"/>
    <sheet name="Raw - Fuel Poverty" sheetId="73" state="hidden" r:id="rId54"/>
    <sheet name="Raw - Claimant Count" sheetId="33" state="hidden" r:id="rId55"/>
    <sheet name="Raw - Workless" sheetId="94" state="hidden" r:id="rId56"/>
    <sheet name="Raw - SLDR" sheetId="86" state="hidden" r:id="rId57"/>
    <sheet name="Raw - High Quals" sheetId="21" state="hidden" r:id="rId58"/>
    <sheet name="Raw - No Qualifications" sheetId="3" state="hidden" r:id="rId59"/>
    <sheet name="Raw - Incapacity" sheetId="105" state="hidden" r:id="rId60"/>
    <sheet name="Raw - Ill Health" sheetId="1" state="hidden" r:id="rId61"/>
    <sheet name="Raw - HLE Females" sheetId="35" state="hidden" r:id="rId62"/>
    <sheet name="Raw - HLE Males" sheetId="36" state="hidden" r:id="rId63"/>
    <sheet name="Raw - Eco Inactive" sheetId="26" state="hidden" r:id="rId64"/>
    <sheet name="Raw - Employment" sheetId="19" state="hidden" r:id="rId65"/>
    <sheet name="Raw - Unemployment" sheetId="20" state="hidden" r:id="rId66"/>
    <sheet name="Raw - Low Pay Sectors" sheetId="82" state="hidden" r:id="rId67"/>
    <sheet name="Raw - Gender Emp" sheetId="39" state="hidden" r:id="rId68"/>
    <sheet name="Raw - Earnings" sheetId="24" state="hidden" r:id="rId69"/>
    <sheet name="Raw - 20th Percentile Earnings" sheetId="56" state="hidden" r:id="rId70"/>
    <sheet name="Raw - Underemployment" sheetId="44" state="hidden" r:id="rId71"/>
    <sheet name="Raw - SOC1" sheetId="42" state="hidden" r:id="rId72"/>
    <sheet name="Raw - Satisfactory hours" sheetId="133" state="hidden" r:id="rId73"/>
    <sheet name="Raw - Low pay" sheetId="134" state="hidden" r:id="rId74"/>
    <sheet name="Raw - Zero-hour contracts" sheetId="135" state="hidden" r:id="rId75"/>
    <sheet name="Raw - 10Mb" sheetId="51" state="hidden" r:id="rId76"/>
    <sheet name="Raw - UFBB" sheetId="49" state="hidden" r:id="rId77"/>
    <sheet name="Raw - Fibre" sheetId="53" state="hidden" r:id="rId78"/>
    <sheet name="Raw - New Builds" sheetId="90" state="hidden" r:id="rId79"/>
    <sheet name="Raw - Social Builds" sheetId="93" state="hidden" r:id="rId80"/>
    <sheet name="Raw - Adaptations" sheetId="74" state="hidden" r:id="rId81"/>
    <sheet name="Raw - SHQS" sheetId="72" state="hidden" r:id="rId82"/>
    <sheet name="Raw - Disrepair" sheetId="71" state="hidden" r:id="rId83"/>
    <sheet name="Raw - VDL" sheetId="62" state="hidden" r:id="rId84"/>
    <sheet name="Raw - V&amp;DL %" sheetId="127" state="hidden" r:id="rId85"/>
    <sheet name="Raw - SIMD VDL" sheetId="65" state="hidden" r:id="rId86"/>
    <sheet name="Raw - Net Migration" sheetId="111" state="hidden" r:id="rId87"/>
    <sheet name="Raw - Housing Affordability" sheetId="67" state="hidden" r:id="rId88"/>
    <sheet name="Raw - SME Procurement" sheetId="80" state="hidden" r:id="rId89"/>
    <sheet name="Raw - Social Enterprises" sheetId="70" state="hidden" r:id="rId90"/>
    <sheet name="Raw - GVA" sheetId="28" state="hidden" r:id="rId91"/>
    <sheet name="Raw - GVA phw" sheetId="31" state="hidden" r:id="rId92"/>
    <sheet name="Raw - R&amp;D" sheetId="88" state="hidden" r:id="rId93"/>
    <sheet name="Raw - Enterprise" sheetId="59" state="hidden" r:id="rId94"/>
    <sheet name="Raw - Business Births" sheetId="113" state="hidden" r:id="rId95"/>
    <sheet name="Raw - Business Deaths" sheetId="114" state="hidden" r:id="rId96"/>
    <sheet name="Raw - Business Survival" sheetId="115" state="hidden" r:id="rId97"/>
    <sheet name="Raw - Emissions Pop" sheetId="84" state="hidden" r:id="rId98"/>
    <sheet name="Raw - Emissions KM" sheetId="129" state="hidden" r:id="rId99"/>
    <sheet name="Raw - Underutilisation" sheetId="107" state="hidden" r:id="rId100"/>
    <sheet name="Raw - Skills Shortage" sheetId="108" state="hidden" r:id="rId101"/>
    <sheet name="Population Data" sheetId="131" state="hidden" r:id="rId102"/>
    <sheet name="Lookups" sheetId="8" state="hidden" r:id="rId103"/>
    <sheet name="Gap Analysis Lookup" sheetId="125" state="hidden" r:id="rId104"/>
    <sheet name="LGBF Family Groups" sheetId="123" state="hidden" r:id="rId105"/>
  </sheets>
  <externalReferences>
    <externalReference r:id="rId106"/>
  </externalReferences>
  <definedNames>
    <definedName name="__123Graph_A" localSheetId="28" hidden="1">#REF!</definedName>
    <definedName name="__123Graph_A" localSheetId="33" hidden="1">#REF!</definedName>
    <definedName name="__123Graph_A" localSheetId="47" hidden="1">#REF!</definedName>
    <definedName name="__123Graph_A" localSheetId="48" hidden="1">#REF!</definedName>
    <definedName name="__123Graph_A" localSheetId="49" hidden="1">#REF!</definedName>
    <definedName name="__123Graph_A" localSheetId="5" hidden="1">#REF!</definedName>
    <definedName name="__123Graph_A" localSheetId="7" hidden="1">#REF!</definedName>
    <definedName name="__123Graph_A" localSheetId="0" hidden="1">#REF!</definedName>
    <definedName name="__123Graph_A" localSheetId="35" hidden="1">#REF!</definedName>
    <definedName name="__123Graph_A" localSheetId="37" hidden="1">#REF!</definedName>
    <definedName name="__123Graph_A" localSheetId="21" hidden="1">#REF!</definedName>
    <definedName name="__123Graph_A" localSheetId="16" hidden="1">#REF!</definedName>
    <definedName name="__123Graph_A" localSheetId="51" hidden="1">#REF!</definedName>
    <definedName name="__123Graph_A" localSheetId="50" hidden="1">#REF!</definedName>
    <definedName name="__123Graph_A" localSheetId="18" hidden="1">#REF!</definedName>
    <definedName name="__123Graph_A" localSheetId="46" hidden="1">#REF!</definedName>
    <definedName name="__123Graph_A" localSheetId="30" hidden="1">#REF!</definedName>
    <definedName name="__123Graph_A" localSheetId="6" hidden="1">#REF!</definedName>
    <definedName name="__123Graph_A" localSheetId="20" hidden="1">#REF!</definedName>
    <definedName name="__123Graph_A" localSheetId="43" hidden="1">#REF!</definedName>
    <definedName name="__123Graph_A" localSheetId="44" hidden="1">#REF!</definedName>
    <definedName name="__123Graph_A" localSheetId="10" hidden="1">#REF!</definedName>
    <definedName name="__123Graph_A" localSheetId="14" hidden="1">#REF!</definedName>
    <definedName name="__123Graph_A" localSheetId="15" hidden="1">#REF!</definedName>
    <definedName name="__123Graph_A" localSheetId="40" hidden="1">#REF!</definedName>
    <definedName name="__123Graph_A" localSheetId="12" hidden="1">#REF!</definedName>
    <definedName name="__123Graph_A" localSheetId="22" hidden="1">#REF!</definedName>
    <definedName name="__123Graph_A" localSheetId="26" hidden="1">#REF!</definedName>
    <definedName name="__123Graph_A" localSheetId="19" hidden="1">#REF!</definedName>
    <definedName name="__123Graph_A" localSheetId="39" hidden="1">#REF!</definedName>
    <definedName name="__123Graph_A" localSheetId="31" hidden="1">#REF!</definedName>
    <definedName name="__123Graph_A" localSheetId="41" hidden="1">#REF!</definedName>
    <definedName name="__123Graph_A" localSheetId="45" hidden="1">#REF!</definedName>
    <definedName name="__123Graph_A" localSheetId="75" hidden="1">#REF!</definedName>
    <definedName name="__123Graph_A" localSheetId="80" hidden="1">#REF!</definedName>
    <definedName name="__123Graph_A" localSheetId="52" hidden="1">#REF!</definedName>
    <definedName name="__123Graph_A" localSheetId="98" hidden="1">#REF!</definedName>
    <definedName name="__123Graph_A" localSheetId="77" hidden="1">#REF!</definedName>
    <definedName name="__123Graph_A" localSheetId="53" hidden="1">#REF!</definedName>
    <definedName name="__123Graph_A" localSheetId="59" hidden="1">#REF!</definedName>
    <definedName name="__123Graph_A" localSheetId="92" hidden="1">#REF!</definedName>
    <definedName name="__123Graph_A" localSheetId="81" hidden="1">#REF!</definedName>
    <definedName name="__123Graph_A" localSheetId="56" hidden="1">#REF!</definedName>
    <definedName name="__123Graph_A" localSheetId="79" hidden="1">#REF!</definedName>
    <definedName name="__123Graph_A" localSheetId="89" hidden="1">#REF!</definedName>
    <definedName name="__123Graph_A" localSheetId="76" hidden="1">#REF!</definedName>
    <definedName name="__123Graph_A" localSheetId="25" hidden="1">#REF!</definedName>
    <definedName name="__123Graph_A" localSheetId="34" hidden="1">#REF!</definedName>
    <definedName name="__123Graph_A" localSheetId="38" hidden="1">#REF!</definedName>
    <definedName name="__123Graph_A" localSheetId="9" hidden="1">#REF!</definedName>
    <definedName name="__123Graph_A" localSheetId="24" hidden="1">#REF!</definedName>
    <definedName name="__123Graph_A" localSheetId="32" hidden="1">#REF!</definedName>
    <definedName name="__123Graph_A" localSheetId="42" hidden="1">#REF!</definedName>
    <definedName name="__123Graph_A" localSheetId="29" hidden="1">#REF!</definedName>
    <definedName name="__123Graph_A" localSheetId="23" hidden="1">#REF!</definedName>
    <definedName name="__123Graph_A" localSheetId="36" hidden="1">#REF!</definedName>
    <definedName name="__123Graph_A" localSheetId="8" hidden="1">#REF!</definedName>
    <definedName name="__123Graph_A" localSheetId="27" hidden="1">#REF!</definedName>
    <definedName name="__123Graph_A" hidden="1">#REF!</definedName>
    <definedName name="__123Graph_ABERLGRAP" localSheetId="28" hidden="1">#REF!</definedName>
    <definedName name="__123Graph_ABERLGRAP" localSheetId="33" hidden="1">#REF!</definedName>
    <definedName name="__123Graph_ABERLGRAP" localSheetId="47" hidden="1">#REF!</definedName>
    <definedName name="__123Graph_ABERLGRAP" localSheetId="48" hidden="1">#REF!</definedName>
    <definedName name="__123Graph_ABERLGRAP" localSheetId="49" hidden="1">#REF!</definedName>
    <definedName name="__123Graph_ABERLGRAP" localSheetId="5" hidden="1">#REF!</definedName>
    <definedName name="__123Graph_ABERLGRAP" localSheetId="7" hidden="1">#REF!</definedName>
    <definedName name="__123Graph_ABERLGRAP" localSheetId="0" hidden="1">#REF!</definedName>
    <definedName name="__123Graph_ABERLGRAP" localSheetId="35" hidden="1">#REF!</definedName>
    <definedName name="__123Graph_ABERLGRAP" localSheetId="37" hidden="1">#REF!</definedName>
    <definedName name="__123Graph_ABERLGRAP" localSheetId="21" hidden="1">#REF!</definedName>
    <definedName name="__123Graph_ABERLGRAP" localSheetId="16" hidden="1">#REF!</definedName>
    <definedName name="__123Graph_ABERLGRAP" localSheetId="51" hidden="1">#REF!</definedName>
    <definedName name="__123Graph_ABERLGRAP" localSheetId="50" hidden="1">#REF!</definedName>
    <definedName name="__123Graph_ABERLGRAP" localSheetId="18" hidden="1">#REF!</definedName>
    <definedName name="__123Graph_ABERLGRAP" localSheetId="46" hidden="1">#REF!</definedName>
    <definedName name="__123Graph_ABERLGRAP" localSheetId="30" hidden="1">#REF!</definedName>
    <definedName name="__123Graph_ABERLGRAP" localSheetId="6" hidden="1">#REF!</definedName>
    <definedName name="__123Graph_ABERLGRAP" localSheetId="20" hidden="1">#REF!</definedName>
    <definedName name="__123Graph_ABERLGRAP" localSheetId="43" hidden="1">#REF!</definedName>
    <definedName name="__123Graph_ABERLGRAP" localSheetId="44" hidden="1">#REF!</definedName>
    <definedName name="__123Graph_ABERLGRAP" localSheetId="10" hidden="1">#REF!</definedName>
    <definedName name="__123Graph_ABERLGRAP" localSheetId="14" hidden="1">#REF!</definedName>
    <definedName name="__123Graph_ABERLGRAP" localSheetId="15" hidden="1">#REF!</definedName>
    <definedName name="__123Graph_ABERLGRAP" localSheetId="40" hidden="1">#REF!</definedName>
    <definedName name="__123Graph_ABERLGRAP" localSheetId="12" hidden="1">#REF!</definedName>
    <definedName name="__123Graph_ABERLGRAP" localSheetId="22" hidden="1">#REF!</definedName>
    <definedName name="__123Graph_ABERLGRAP" localSheetId="26" hidden="1">#REF!</definedName>
    <definedName name="__123Graph_ABERLGRAP" localSheetId="19" hidden="1">#REF!</definedName>
    <definedName name="__123Graph_ABERLGRAP" localSheetId="39" hidden="1">#REF!</definedName>
    <definedName name="__123Graph_ABERLGRAP" localSheetId="31" hidden="1">#REF!</definedName>
    <definedName name="__123Graph_ABERLGRAP" localSheetId="41" hidden="1">#REF!</definedName>
    <definedName name="__123Graph_ABERLGRAP" localSheetId="45" hidden="1">#REF!</definedName>
    <definedName name="__123Graph_ABERLGRAP" localSheetId="75" hidden="1">#REF!</definedName>
    <definedName name="__123Graph_ABERLGRAP" localSheetId="80" hidden="1">#REF!</definedName>
    <definedName name="__123Graph_ABERLGRAP" localSheetId="52" hidden="1">#REF!</definedName>
    <definedName name="__123Graph_ABERLGRAP" localSheetId="98" hidden="1">#REF!</definedName>
    <definedName name="__123Graph_ABERLGRAP" localSheetId="77" hidden="1">#REF!</definedName>
    <definedName name="__123Graph_ABERLGRAP" localSheetId="53" hidden="1">#REF!</definedName>
    <definedName name="__123Graph_ABERLGRAP" localSheetId="59" hidden="1">#REF!</definedName>
    <definedName name="__123Graph_ABERLGRAP" localSheetId="92" hidden="1">#REF!</definedName>
    <definedName name="__123Graph_ABERLGRAP" localSheetId="81" hidden="1">#REF!</definedName>
    <definedName name="__123Graph_ABERLGRAP" localSheetId="79" hidden="1">#REF!</definedName>
    <definedName name="__123Graph_ABERLGRAP" localSheetId="89" hidden="1">#REF!</definedName>
    <definedName name="__123Graph_ABERLGRAP" localSheetId="76" hidden="1">#REF!</definedName>
    <definedName name="__123Graph_ABERLGRAP" localSheetId="25" hidden="1">#REF!</definedName>
    <definedName name="__123Graph_ABERLGRAP" localSheetId="34" hidden="1">#REF!</definedName>
    <definedName name="__123Graph_ABERLGRAP" localSheetId="38" hidden="1">#REF!</definedName>
    <definedName name="__123Graph_ABERLGRAP" localSheetId="9" hidden="1">#REF!</definedName>
    <definedName name="__123Graph_ABERLGRAP" localSheetId="24" hidden="1">#REF!</definedName>
    <definedName name="__123Graph_ABERLGRAP" localSheetId="32" hidden="1">#REF!</definedName>
    <definedName name="__123Graph_ABERLGRAP" localSheetId="42" hidden="1">#REF!</definedName>
    <definedName name="__123Graph_ABERLGRAP" localSheetId="29" hidden="1">#REF!</definedName>
    <definedName name="__123Graph_ABERLGRAP" localSheetId="23" hidden="1">#REF!</definedName>
    <definedName name="__123Graph_ABERLGRAP" localSheetId="36" hidden="1">#REF!</definedName>
    <definedName name="__123Graph_ABERLGRAP" localSheetId="8" hidden="1">#REF!</definedName>
    <definedName name="__123Graph_ABERLGRAP" localSheetId="27" hidden="1">#REF!</definedName>
    <definedName name="__123Graph_ABERLGRAP" hidden="1">#REF!</definedName>
    <definedName name="__123Graph_ACATCH1" localSheetId="28" hidden="1">#REF!</definedName>
    <definedName name="__123Graph_ACATCH1" localSheetId="33" hidden="1">#REF!</definedName>
    <definedName name="__123Graph_ACATCH1" localSheetId="47" hidden="1">#REF!</definedName>
    <definedName name="__123Graph_ACATCH1" localSheetId="48" hidden="1">#REF!</definedName>
    <definedName name="__123Graph_ACATCH1" localSheetId="49" hidden="1">#REF!</definedName>
    <definedName name="__123Graph_ACATCH1" localSheetId="5" hidden="1">#REF!</definedName>
    <definedName name="__123Graph_ACATCH1" localSheetId="7" hidden="1">#REF!</definedName>
    <definedName name="__123Graph_ACATCH1" localSheetId="0" hidden="1">#REF!</definedName>
    <definedName name="__123Graph_ACATCH1" localSheetId="35" hidden="1">#REF!</definedName>
    <definedName name="__123Graph_ACATCH1" localSheetId="37" hidden="1">#REF!</definedName>
    <definedName name="__123Graph_ACATCH1" localSheetId="21" hidden="1">#REF!</definedName>
    <definedName name="__123Graph_ACATCH1" localSheetId="16" hidden="1">#REF!</definedName>
    <definedName name="__123Graph_ACATCH1" localSheetId="51" hidden="1">#REF!</definedName>
    <definedName name="__123Graph_ACATCH1" localSheetId="50" hidden="1">#REF!</definedName>
    <definedName name="__123Graph_ACATCH1" localSheetId="18" hidden="1">#REF!</definedName>
    <definedName name="__123Graph_ACATCH1" localSheetId="46" hidden="1">#REF!</definedName>
    <definedName name="__123Graph_ACATCH1" localSheetId="30" hidden="1">#REF!</definedName>
    <definedName name="__123Graph_ACATCH1" localSheetId="6" hidden="1">#REF!</definedName>
    <definedName name="__123Graph_ACATCH1" localSheetId="20" hidden="1">#REF!</definedName>
    <definedName name="__123Graph_ACATCH1" localSheetId="43" hidden="1">#REF!</definedName>
    <definedName name="__123Graph_ACATCH1" localSheetId="44" hidden="1">#REF!</definedName>
    <definedName name="__123Graph_ACATCH1" localSheetId="10" hidden="1">#REF!</definedName>
    <definedName name="__123Graph_ACATCH1" localSheetId="14" hidden="1">#REF!</definedName>
    <definedName name="__123Graph_ACATCH1" localSheetId="15" hidden="1">#REF!</definedName>
    <definedName name="__123Graph_ACATCH1" localSheetId="40" hidden="1">#REF!</definedName>
    <definedName name="__123Graph_ACATCH1" localSheetId="12" hidden="1">#REF!</definedName>
    <definedName name="__123Graph_ACATCH1" localSheetId="22" hidden="1">#REF!</definedName>
    <definedName name="__123Graph_ACATCH1" localSheetId="26" hidden="1">#REF!</definedName>
    <definedName name="__123Graph_ACATCH1" localSheetId="19" hidden="1">#REF!</definedName>
    <definedName name="__123Graph_ACATCH1" localSheetId="39" hidden="1">#REF!</definedName>
    <definedName name="__123Graph_ACATCH1" localSheetId="31" hidden="1">#REF!</definedName>
    <definedName name="__123Graph_ACATCH1" localSheetId="41" hidden="1">#REF!</definedName>
    <definedName name="__123Graph_ACATCH1" localSheetId="45" hidden="1">#REF!</definedName>
    <definedName name="__123Graph_ACATCH1" localSheetId="75" hidden="1">#REF!</definedName>
    <definedName name="__123Graph_ACATCH1" localSheetId="80" hidden="1">#REF!</definedName>
    <definedName name="__123Graph_ACATCH1" localSheetId="52" hidden="1">#REF!</definedName>
    <definedName name="__123Graph_ACATCH1" localSheetId="98" hidden="1">#REF!</definedName>
    <definedName name="__123Graph_ACATCH1" localSheetId="77" hidden="1">#REF!</definedName>
    <definedName name="__123Graph_ACATCH1" localSheetId="53" hidden="1">#REF!</definedName>
    <definedName name="__123Graph_ACATCH1" localSheetId="59" hidden="1">#REF!</definedName>
    <definedName name="__123Graph_ACATCH1" localSheetId="92" hidden="1">#REF!</definedName>
    <definedName name="__123Graph_ACATCH1" localSheetId="81" hidden="1">#REF!</definedName>
    <definedName name="__123Graph_ACATCH1" localSheetId="79" hidden="1">#REF!</definedName>
    <definedName name="__123Graph_ACATCH1" localSheetId="89" hidden="1">#REF!</definedName>
    <definedName name="__123Graph_ACATCH1" localSheetId="76" hidden="1">#REF!</definedName>
    <definedName name="__123Graph_ACATCH1" localSheetId="25" hidden="1">#REF!</definedName>
    <definedName name="__123Graph_ACATCH1" localSheetId="34" hidden="1">#REF!</definedName>
    <definedName name="__123Graph_ACATCH1" localSheetId="38" hidden="1">#REF!</definedName>
    <definedName name="__123Graph_ACATCH1" localSheetId="9" hidden="1">#REF!</definedName>
    <definedName name="__123Graph_ACATCH1" localSheetId="24" hidden="1">#REF!</definedName>
    <definedName name="__123Graph_ACATCH1" localSheetId="32" hidden="1">#REF!</definedName>
    <definedName name="__123Graph_ACATCH1" localSheetId="42" hidden="1">#REF!</definedName>
    <definedName name="__123Graph_ACATCH1" localSheetId="29" hidden="1">#REF!</definedName>
    <definedName name="__123Graph_ACATCH1" localSheetId="23" hidden="1">#REF!</definedName>
    <definedName name="__123Graph_ACATCH1" localSheetId="36" hidden="1">#REF!</definedName>
    <definedName name="__123Graph_ACATCH1" localSheetId="8" hidden="1">#REF!</definedName>
    <definedName name="__123Graph_ACATCH1" localSheetId="27" hidden="1">#REF!</definedName>
    <definedName name="__123Graph_ACATCH1" hidden="1">#REF!</definedName>
    <definedName name="__123Graph_ACONVERG1" localSheetId="28" hidden="1">#REF!</definedName>
    <definedName name="__123Graph_ACONVERG1" localSheetId="33" hidden="1">#REF!</definedName>
    <definedName name="__123Graph_ACONVERG1" localSheetId="47" hidden="1">#REF!</definedName>
    <definedName name="__123Graph_ACONVERG1" localSheetId="48" hidden="1">#REF!</definedName>
    <definedName name="__123Graph_ACONVERG1" localSheetId="49" hidden="1">#REF!</definedName>
    <definedName name="__123Graph_ACONVERG1" localSheetId="5" hidden="1">#REF!</definedName>
    <definedName name="__123Graph_ACONVERG1" localSheetId="7" hidden="1">#REF!</definedName>
    <definedName name="__123Graph_ACONVERG1" localSheetId="0" hidden="1">#REF!</definedName>
    <definedName name="__123Graph_ACONVERG1" localSheetId="35" hidden="1">#REF!</definedName>
    <definedName name="__123Graph_ACONVERG1" localSheetId="37" hidden="1">#REF!</definedName>
    <definedName name="__123Graph_ACONVERG1" localSheetId="21" hidden="1">#REF!</definedName>
    <definedName name="__123Graph_ACONVERG1" localSheetId="16" hidden="1">#REF!</definedName>
    <definedName name="__123Graph_ACONVERG1" localSheetId="51" hidden="1">#REF!</definedName>
    <definedName name="__123Graph_ACONVERG1" localSheetId="50" hidden="1">#REF!</definedName>
    <definedName name="__123Graph_ACONVERG1" localSheetId="18" hidden="1">#REF!</definedName>
    <definedName name="__123Graph_ACONVERG1" localSheetId="46" hidden="1">#REF!</definedName>
    <definedName name="__123Graph_ACONVERG1" localSheetId="30" hidden="1">#REF!</definedName>
    <definedName name="__123Graph_ACONVERG1" localSheetId="6" hidden="1">#REF!</definedName>
    <definedName name="__123Graph_ACONVERG1" localSheetId="20" hidden="1">#REF!</definedName>
    <definedName name="__123Graph_ACONVERG1" localSheetId="43" hidden="1">#REF!</definedName>
    <definedName name="__123Graph_ACONVERG1" localSheetId="44" hidden="1">#REF!</definedName>
    <definedName name="__123Graph_ACONVERG1" localSheetId="10" hidden="1">#REF!</definedName>
    <definedName name="__123Graph_ACONVERG1" localSheetId="14" hidden="1">#REF!</definedName>
    <definedName name="__123Graph_ACONVERG1" localSheetId="15" hidden="1">#REF!</definedName>
    <definedName name="__123Graph_ACONVERG1" localSheetId="40" hidden="1">#REF!</definedName>
    <definedName name="__123Graph_ACONVERG1" localSheetId="12" hidden="1">#REF!</definedName>
    <definedName name="__123Graph_ACONVERG1" localSheetId="22" hidden="1">#REF!</definedName>
    <definedName name="__123Graph_ACONVERG1" localSheetId="26" hidden="1">#REF!</definedName>
    <definedName name="__123Graph_ACONVERG1" localSheetId="19" hidden="1">#REF!</definedName>
    <definedName name="__123Graph_ACONVERG1" localSheetId="39" hidden="1">#REF!</definedName>
    <definedName name="__123Graph_ACONVERG1" localSheetId="31" hidden="1">#REF!</definedName>
    <definedName name="__123Graph_ACONVERG1" localSheetId="41" hidden="1">#REF!</definedName>
    <definedName name="__123Graph_ACONVERG1" localSheetId="45" hidden="1">#REF!</definedName>
    <definedName name="__123Graph_ACONVERG1" localSheetId="75" hidden="1">#REF!</definedName>
    <definedName name="__123Graph_ACONVERG1" localSheetId="80" hidden="1">#REF!</definedName>
    <definedName name="__123Graph_ACONVERG1" localSheetId="52" hidden="1">#REF!</definedName>
    <definedName name="__123Graph_ACONVERG1" localSheetId="98" hidden="1">#REF!</definedName>
    <definedName name="__123Graph_ACONVERG1" localSheetId="77" hidden="1">#REF!</definedName>
    <definedName name="__123Graph_ACONVERG1" localSheetId="53" hidden="1">#REF!</definedName>
    <definedName name="__123Graph_ACONVERG1" localSheetId="59" hidden="1">#REF!</definedName>
    <definedName name="__123Graph_ACONVERG1" localSheetId="92" hidden="1">#REF!</definedName>
    <definedName name="__123Graph_ACONVERG1" localSheetId="81" hidden="1">#REF!</definedName>
    <definedName name="__123Graph_ACONVERG1" localSheetId="79" hidden="1">#REF!</definedName>
    <definedName name="__123Graph_ACONVERG1" localSheetId="89" hidden="1">#REF!</definedName>
    <definedName name="__123Graph_ACONVERG1" localSheetId="76" hidden="1">#REF!</definedName>
    <definedName name="__123Graph_ACONVERG1" localSheetId="25" hidden="1">#REF!</definedName>
    <definedName name="__123Graph_ACONVERG1" localSheetId="34" hidden="1">#REF!</definedName>
    <definedName name="__123Graph_ACONVERG1" localSheetId="38" hidden="1">#REF!</definedName>
    <definedName name="__123Graph_ACONVERG1" localSheetId="9" hidden="1">#REF!</definedName>
    <definedName name="__123Graph_ACONVERG1" localSheetId="24" hidden="1">#REF!</definedName>
    <definedName name="__123Graph_ACONVERG1" localSheetId="32" hidden="1">#REF!</definedName>
    <definedName name="__123Graph_ACONVERG1" localSheetId="42" hidden="1">#REF!</definedName>
    <definedName name="__123Graph_ACONVERG1" localSheetId="29" hidden="1">#REF!</definedName>
    <definedName name="__123Graph_ACONVERG1" localSheetId="23" hidden="1">#REF!</definedName>
    <definedName name="__123Graph_ACONVERG1" localSheetId="36" hidden="1">#REF!</definedName>
    <definedName name="__123Graph_ACONVERG1" localSheetId="8" hidden="1">#REF!</definedName>
    <definedName name="__123Graph_ACONVERG1" localSheetId="27" hidden="1">#REF!</definedName>
    <definedName name="__123Graph_ACONVERG1" hidden="1">#REF!</definedName>
    <definedName name="__123Graph_AECTOT" localSheetId="28" hidden="1">#REF!</definedName>
    <definedName name="__123Graph_AECTOT" localSheetId="33" hidden="1">#REF!</definedName>
    <definedName name="__123Graph_AECTOT" localSheetId="47" hidden="1">#REF!</definedName>
    <definedName name="__123Graph_AECTOT" localSheetId="48" hidden="1">#REF!</definedName>
    <definedName name="__123Graph_AECTOT" localSheetId="49" hidden="1">#REF!</definedName>
    <definedName name="__123Graph_AECTOT" localSheetId="5" hidden="1">#REF!</definedName>
    <definedName name="__123Graph_AECTOT" localSheetId="7" hidden="1">#REF!</definedName>
    <definedName name="__123Graph_AECTOT" localSheetId="0" hidden="1">#REF!</definedName>
    <definedName name="__123Graph_AECTOT" localSheetId="35" hidden="1">#REF!</definedName>
    <definedName name="__123Graph_AECTOT" localSheetId="37" hidden="1">#REF!</definedName>
    <definedName name="__123Graph_AECTOT" localSheetId="21" hidden="1">#REF!</definedName>
    <definedName name="__123Graph_AECTOT" localSheetId="16" hidden="1">#REF!</definedName>
    <definedName name="__123Graph_AECTOT" localSheetId="51" hidden="1">#REF!</definedName>
    <definedName name="__123Graph_AECTOT" localSheetId="50" hidden="1">#REF!</definedName>
    <definedName name="__123Graph_AECTOT" localSheetId="18" hidden="1">#REF!</definedName>
    <definedName name="__123Graph_AECTOT" localSheetId="46" hidden="1">#REF!</definedName>
    <definedName name="__123Graph_AECTOT" localSheetId="30" hidden="1">#REF!</definedName>
    <definedName name="__123Graph_AECTOT" localSheetId="6" hidden="1">#REF!</definedName>
    <definedName name="__123Graph_AECTOT" localSheetId="20" hidden="1">#REF!</definedName>
    <definedName name="__123Graph_AECTOT" localSheetId="43" hidden="1">#REF!</definedName>
    <definedName name="__123Graph_AECTOT" localSheetId="44" hidden="1">#REF!</definedName>
    <definedName name="__123Graph_AECTOT" localSheetId="10" hidden="1">#REF!</definedName>
    <definedName name="__123Graph_AECTOT" localSheetId="14" hidden="1">#REF!</definedName>
    <definedName name="__123Graph_AECTOT" localSheetId="15" hidden="1">#REF!</definedName>
    <definedName name="__123Graph_AECTOT" localSheetId="40" hidden="1">#REF!</definedName>
    <definedName name="__123Graph_AECTOT" localSheetId="12" hidden="1">#REF!</definedName>
    <definedName name="__123Graph_AECTOT" localSheetId="22" hidden="1">#REF!</definedName>
    <definedName name="__123Graph_AECTOT" localSheetId="26" hidden="1">#REF!</definedName>
    <definedName name="__123Graph_AECTOT" localSheetId="19" hidden="1">#REF!</definedName>
    <definedName name="__123Graph_AECTOT" localSheetId="39" hidden="1">#REF!</definedName>
    <definedName name="__123Graph_AECTOT" localSheetId="31" hidden="1">#REF!</definedName>
    <definedName name="__123Graph_AECTOT" localSheetId="41" hidden="1">#REF!</definedName>
    <definedName name="__123Graph_AECTOT" localSheetId="45" hidden="1">#REF!</definedName>
    <definedName name="__123Graph_AECTOT" localSheetId="75" hidden="1">#REF!</definedName>
    <definedName name="__123Graph_AECTOT" localSheetId="80" hidden="1">#REF!</definedName>
    <definedName name="__123Graph_AECTOT" localSheetId="52" hidden="1">#REF!</definedName>
    <definedName name="__123Graph_AECTOT" localSheetId="98" hidden="1">#REF!</definedName>
    <definedName name="__123Graph_AECTOT" localSheetId="77" hidden="1">#REF!</definedName>
    <definedName name="__123Graph_AECTOT" localSheetId="53" hidden="1">#REF!</definedName>
    <definedName name="__123Graph_AECTOT" localSheetId="59" hidden="1">#REF!</definedName>
    <definedName name="__123Graph_AECTOT" localSheetId="92" hidden="1">#REF!</definedName>
    <definedName name="__123Graph_AECTOT" localSheetId="81" hidden="1">#REF!</definedName>
    <definedName name="__123Graph_AECTOT" localSheetId="56" hidden="1">#REF!</definedName>
    <definedName name="__123Graph_AECTOT" localSheetId="79" hidden="1">#REF!</definedName>
    <definedName name="__123Graph_AECTOT" localSheetId="89" hidden="1">#REF!</definedName>
    <definedName name="__123Graph_AECTOT" localSheetId="76" hidden="1">#REF!</definedName>
    <definedName name="__123Graph_AECTOT" localSheetId="25" hidden="1">#REF!</definedName>
    <definedName name="__123Graph_AECTOT" localSheetId="34" hidden="1">#REF!</definedName>
    <definedName name="__123Graph_AECTOT" localSheetId="38" hidden="1">#REF!</definedName>
    <definedName name="__123Graph_AECTOT" localSheetId="9" hidden="1">#REF!</definedName>
    <definedName name="__123Graph_AECTOT" localSheetId="24" hidden="1">#REF!</definedName>
    <definedName name="__123Graph_AECTOT" localSheetId="32" hidden="1">#REF!</definedName>
    <definedName name="__123Graph_AECTOT" localSheetId="42" hidden="1">#REF!</definedName>
    <definedName name="__123Graph_AECTOT" localSheetId="29" hidden="1">#REF!</definedName>
    <definedName name="__123Graph_AECTOT" localSheetId="23" hidden="1">#REF!</definedName>
    <definedName name="__123Graph_AECTOT" localSheetId="36" hidden="1">#REF!</definedName>
    <definedName name="__123Graph_AECTOT" localSheetId="8" hidden="1">#REF!</definedName>
    <definedName name="__123Graph_AECTOT" localSheetId="27" hidden="1">#REF!</definedName>
    <definedName name="__123Graph_AECTOT" hidden="1">#REF!</definedName>
    <definedName name="__123Graph_AGRAPH1" localSheetId="0" hidden="1">'[1]GDP(O)'!$C$2427:$C$2427</definedName>
    <definedName name="__123Graph_AGRAPH1" hidden="1">'[1]GDP(O)'!$C$2427:$C$2427</definedName>
    <definedName name="__123Graph_AGRAPH2" localSheetId="28" hidden="1">#REF!</definedName>
    <definedName name="__123Graph_AGRAPH2" localSheetId="33" hidden="1">#REF!</definedName>
    <definedName name="__123Graph_AGRAPH2" localSheetId="47" hidden="1">#REF!</definedName>
    <definedName name="__123Graph_AGRAPH2" localSheetId="48" hidden="1">#REF!</definedName>
    <definedName name="__123Graph_AGRAPH2" localSheetId="49" hidden="1">#REF!</definedName>
    <definedName name="__123Graph_AGRAPH2" localSheetId="5" hidden="1">#REF!</definedName>
    <definedName name="__123Graph_AGRAPH2" localSheetId="7" hidden="1">#REF!</definedName>
    <definedName name="__123Graph_AGRAPH2" localSheetId="0" hidden="1">#REF!</definedName>
    <definedName name="__123Graph_AGRAPH2" localSheetId="35" hidden="1">#REF!</definedName>
    <definedName name="__123Graph_AGRAPH2" localSheetId="37" hidden="1">#REF!</definedName>
    <definedName name="__123Graph_AGRAPH2" localSheetId="21" hidden="1">#REF!</definedName>
    <definedName name="__123Graph_AGRAPH2" localSheetId="16" hidden="1">#REF!</definedName>
    <definedName name="__123Graph_AGRAPH2" localSheetId="51" hidden="1">#REF!</definedName>
    <definedName name="__123Graph_AGRAPH2" localSheetId="50" hidden="1">#REF!</definedName>
    <definedName name="__123Graph_AGRAPH2" localSheetId="18" hidden="1">#REF!</definedName>
    <definedName name="__123Graph_AGRAPH2" localSheetId="46" hidden="1">#REF!</definedName>
    <definedName name="__123Graph_AGRAPH2" localSheetId="30" hidden="1">#REF!</definedName>
    <definedName name="__123Graph_AGRAPH2" localSheetId="6" hidden="1">#REF!</definedName>
    <definedName name="__123Graph_AGRAPH2" localSheetId="20" hidden="1">#REF!</definedName>
    <definedName name="__123Graph_AGRAPH2" localSheetId="43" hidden="1">#REF!</definedName>
    <definedName name="__123Graph_AGRAPH2" localSheetId="44" hidden="1">#REF!</definedName>
    <definedName name="__123Graph_AGRAPH2" localSheetId="10" hidden="1">#REF!</definedName>
    <definedName name="__123Graph_AGRAPH2" localSheetId="14" hidden="1">#REF!</definedName>
    <definedName name="__123Graph_AGRAPH2" localSheetId="15" hidden="1">#REF!</definedName>
    <definedName name="__123Graph_AGRAPH2" localSheetId="40" hidden="1">#REF!</definedName>
    <definedName name="__123Graph_AGRAPH2" localSheetId="12" hidden="1">#REF!</definedName>
    <definedName name="__123Graph_AGRAPH2" localSheetId="22" hidden="1">#REF!</definedName>
    <definedName name="__123Graph_AGRAPH2" localSheetId="26" hidden="1">#REF!</definedName>
    <definedName name="__123Graph_AGRAPH2" localSheetId="19" hidden="1">#REF!</definedName>
    <definedName name="__123Graph_AGRAPH2" localSheetId="39" hidden="1">#REF!</definedName>
    <definedName name="__123Graph_AGRAPH2" localSheetId="31" hidden="1">#REF!</definedName>
    <definedName name="__123Graph_AGRAPH2" localSheetId="41" hidden="1">#REF!</definedName>
    <definedName name="__123Graph_AGRAPH2" localSheetId="45" hidden="1">#REF!</definedName>
    <definedName name="__123Graph_AGRAPH2" localSheetId="75" hidden="1">#REF!</definedName>
    <definedName name="__123Graph_AGRAPH2" localSheetId="80" hidden="1">#REF!</definedName>
    <definedName name="__123Graph_AGRAPH2" localSheetId="52" hidden="1">#REF!</definedName>
    <definedName name="__123Graph_AGRAPH2" localSheetId="98" hidden="1">#REF!</definedName>
    <definedName name="__123Graph_AGRAPH2" localSheetId="77" hidden="1">#REF!</definedName>
    <definedName name="__123Graph_AGRAPH2" localSheetId="53" hidden="1">#REF!</definedName>
    <definedName name="__123Graph_AGRAPH2" localSheetId="59" hidden="1">#REF!</definedName>
    <definedName name="__123Graph_AGRAPH2" localSheetId="92" hidden="1">#REF!</definedName>
    <definedName name="__123Graph_AGRAPH2" localSheetId="81" hidden="1">#REF!</definedName>
    <definedName name="__123Graph_AGRAPH2" localSheetId="79" hidden="1">#REF!</definedName>
    <definedName name="__123Graph_AGRAPH2" localSheetId="89" hidden="1">#REF!</definedName>
    <definedName name="__123Graph_AGRAPH2" localSheetId="76" hidden="1">#REF!</definedName>
    <definedName name="__123Graph_AGRAPH2" localSheetId="25" hidden="1">#REF!</definedName>
    <definedName name="__123Graph_AGRAPH2" localSheetId="34" hidden="1">#REF!</definedName>
    <definedName name="__123Graph_AGRAPH2" localSheetId="38" hidden="1">#REF!</definedName>
    <definedName name="__123Graph_AGRAPH2" localSheetId="9" hidden="1">#REF!</definedName>
    <definedName name="__123Graph_AGRAPH2" localSheetId="24" hidden="1">#REF!</definedName>
    <definedName name="__123Graph_AGRAPH2" localSheetId="32" hidden="1">#REF!</definedName>
    <definedName name="__123Graph_AGRAPH2" localSheetId="42" hidden="1">#REF!</definedName>
    <definedName name="__123Graph_AGRAPH2" localSheetId="29" hidden="1">#REF!</definedName>
    <definedName name="__123Graph_AGRAPH2" localSheetId="23" hidden="1">#REF!</definedName>
    <definedName name="__123Graph_AGRAPH2" localSheetId="36" hidden="1">#REF!</definedName>
    <definedName name="__123Graph_AGRAPH2" localSheetId="8" hidden="1">#REF!</definedName>
    <definedName name="__123Graph_AGRAPH2" localSheetId="27" hidden="1">#REF!</definedName>
    <definedName name="__123Graph_AGRAPH2" hidden="1">#REF!</definedName>
    <definedName name="__123Graph_AGRAPH41" localSheetId="28" hidden="1">#REF!</definedName>
    <definedName name="__123Graph_AGRAPH41" localSheetId="33" hidden="1">#REF!</definedName>
    <definedName name="__123Graph_AGRAPH41" localSheetId="47" hidden="1">#REF!</definedName>
    <definedName name="__123Graph_AGRAPH41" localSheetId="48" hidden="1">#REF!</definedName>
    <definedName name="__123Graph_AGRAPH41" localSheetId="49" hidden="1">#REF!</definedName>
    <definedName name="__123Graph_AGRAPH41" localSheetId="5" hidden="1">#REF!</definedName>
    <definedName name="__123Graph_AGRAPH41" localSheetId="7" hidden="1">#REF!</definedName>
    <definedName name="__123Graph_AGRAPH41" localSheetId="0" hidden="1">#REF!</definedName>
    <definedName name="__123Graph_AGRAPH41" localSheetId="35" hidden="1">#REF!</definedName>
    <definedName name="__123Graph_AGRAPH41" localSheetId="37" hidden="1">#REF!</definedName>
    <definedName name="__123Graph_AGRAPH41" localSheetId="21" hidden="1">#REF!</definedName>
    <definedName name="__123Graph_AGRAPH41" localSheetId="16" hidden="1">#REF!</definedName>
    <definedName name="__123Graph_AGRAPH41" localSheetId="51" hidden="1">#REF!</definedName>
    <definedName name="__123Graph_AGRAPH41" localSheetId="50" hidden="1">#REF!</definedName>
    <definedName name="__123Graph_AGRAPH41" localSheetId="18" hidden="1">#REF!</definedName>
    <definedName name="__123Graph_AGRAPH41" localSheetId="46" hidden="1">#REF!</definedName>
    <definedName name="__123Graph_AGRAPH41" localSheetId="30" hidden="1">#REF!</definedName>
    <definedName name="__123Graph_AGRAPH41" localSheetId="6" hidden="1">#REF!</definedName>
    <definedName name="__123Graph_AGRAPH41" localSheetId="20" hidden="1">#REF!</definedName>
    <definedName name="__123Graph_AGRAPH41" localSheetId="43" hidden="1">#REF!</definedName>
    <definedName name="__123Graph_AGRAPH41" localSheetId="44" hidden="1">#REF!</definedName>
    <definedName name="__123Graph_AGRAPH41" localSheetId="10" hidden="1">#REF!</definedName>
    <definedName name="__123Graph_AGRAPH41" localSheetId="14" hidden="1">#REF!</definedName>
    <definedName name="__123Graph_AGRAPH41" localSheetId="15" hidden="1">#REF!</definedName>
    <definedName name="__123Graph_AGRAPH41" localSheetId="40" hidden="1">#REF!</definedName>
    <definedName name="__123Graph_AGRAPH41" localSheetId="12" hidden="1">#REF!</definedName>
    <definedName name="__123Graph_AGRAPH41" localSheetId="22" hidden="1">#REF!</definedName>
    <definedName name="__123Graph_AGRAPH41" localSheetId="26" hidden="1">#REF!</definedName>
    <definedName name="__123Graph_AGRAPH41" localSheetId="19" hidden="1">#REF!</definedName>
    <definedName name="__123Graph_AGRAPH41" localSheetId="39" hidden="1">#REF!</definedName>
    <definedName name="__123Graph_AGRAPH41" localSheetId="31" hidden="1">#REF!</definedName>
    <definedName name="__123Graph_AGRAPH41" localSheetId="41" hidden="1">#REF!</definedName>
    <definedName name="__123Graph_AGRAPH41" localSheetId="45" hidden="1">#REF!</definedName>
    <definedName name="__123Graph_AGRAPH41" localSheetId="75" hidden="1">#REF!</definedName>
    <definedName name="__123Graph_AGRAPH41" localSheetId="80" hidden="1">#REF!</definedName>
    <definedName name="__123Graph_AGRAPH41" localSheetId="52" hidden="1">#REF!</definedName>
    <definedName name="__123Graph_AGRAPH41" localSheetId="98" hidden="1">#REF!</definedName>
    <definedName name="__123Graph_AGRAPH41" localSheetId="77" hidden="1">#REF!</definedName>
    <definedName name="__123Graph_AGRAPH41" localSheetId="53" hidden="1">#REF!</definedName>
    <definedName name="__123Graph_AGRAPH41" localSheetId="59" hidden="1">#REF!</definedName>
    <definedName name="__123Graph_AGRAPH41" localSheetId="92" hidden="1">#REF!</definedName>
    <definedName name="__123Graph_AGRAPH41" localSheetId="81" hidden="1">#REF!</definedName>
    <definedName name="__123Graph_AGRAPH41" localSheetId="79" hidden="1">#REF!</definedName>
    <definedName name="__123Graph_AGRAPH41" localSheetId="89" hidden="1">#REF!</definedName>
    <definedName name="__123Graph_AGRAPH41" localSheetId="76" hidden="1">#REF!</definedName>
    <definedName name="__123Graph_AGRAPH41" localSheetId="25" hidden="1">#REF!</definedName>
    <definedName name="__123Graph_AGRAPH41" localSheetId="34" hidden="1">#REF!</definedName>
    <definedName name="__123Graph_AGRAPH41" localSheetId="38" hidden="1">#REF!</definedName>
    <definedName name="__123Graph_AGRAPH41" localSheetId="9" hidden="1">#REF!</definedName>
    <definedName name="__123Graph_AGRAPH41" localSheetId="24" hidden="1">#REF!</definedName>
    <definedName name="__123Graph_AGRAPH41" localSheetId="32" hidden="1">#REF!</definedName>
    <definedName name="__123Graph_AGRAPH41" localSheetId="42" hidden="1">#REF!</definedName>
    <definedName name="__123Graph_AGRAPH41" localSheetId="29" hidden="1">#REF!</definedName>
    <definedName name="__123Graph_AGRAPH41" localSheetId="23" hidden="1">#REF!</definedName>
    <definedName name="__123Graph_AGRAPH41" localSheetId="36" hidden="1">#REF!</definedName>
    <definedName name="__123Graph_AGRAPH41" localSheetId="8" hidden="1">#REF!</definedName>
    <definedName name="__123Graph_AGRAPH41" localSheetId="27" hidden="1">#REF!</definedName>
    <definedName name="__123Graph_AGRAPH41" hidden="1">#REF!</definedName>
    <definedName name="__123Graph_AGRAPH42" localSheetId="28" hidden="1">#REF!</definedName>
    <definedName name="__123Graph_AGRAPH42" localSheetId="33" hidden="1">#REF!</definedName>
    <definedName name="__123Graph_AGRAPH42" localSheetId="47" hidden="1">#REF!</definedName>
    <definedName name="__123Graph_AGRAPH42" localSheetId="48" hidden="1">#REF!</definedName>
    <definedName name="__123Graph_AGRAPH42" localSheetId="49" hidden="1">#REF!</definedName>
    <definedName name="__123Graph_AGRAPH42" localSheetId="5" hidden="1">#REF!</definedName>
    <definedName name="__123Graph_AGRAPH42" localSheetId="7" hidden="1">#REF!</definedName>
    <definedName name="__123Graph_AGRAPH42" localSheetId="0" hidden="1">#REF!</definedName>
    <definedName name="__123Graph_AGRAPH42" localSheetId="35" hidden="1">#REF!</definedName>
    <definedName name="__123Graph_AGRAPH42" localSheetId="37" hidden="1">#REF!</definedName>
    <definedName name="__123Graph_AGRAPH42" localSheetId="21" hidden="1">#REF!</definedName>
    <definedName name="__123Graph_AGRAPH42" localSheetId="16" hidden="1">#REF!</definedName>
    <definedName name="__123Graph_AGRAPH42" localSheetId="51" hidden="1">#REF!</definedName>
    <definedName name="__123Graph_AGRAPH42" localSheetId="50" hidden="1">#REF!</definedName>
    <definedName name="__123Graph_AGRAPH42" localSheetId="18" hidden="1">#REF!</definedName>
    <definedName name="__123Graph_AGRAPH42" localSheetId="46" hidden="1">#REF!</definedName>
    <definedName name="__123Graph_AGRAPH42" localSheetId="30" hidden="1">#REF!</definedName>
    <definedName name="__123Graph_AGRAPH42" localSheetId="6" hidden="1">#REF!</definedName>
    <definedName name="__123Graph_AGRAPH42" localSheetId="20" hidden="1">#REF!</definedName>
    <definedName name="__123Graph_AGRAPH42" localSheetId="43" hidden="1">#REF!</definedName>
    <definedName name="__123Graph_AGRAPH42" localSheetId="44" hidden="1">#REF!</definedName>
    <definedName name="__123Graph_AGRAPH42" localSheetId="10" hidden="1">#REF!</definedName>
    <definedName name="__123Graph_AGRAPH42" localSheetId="14" hidden="1">#REF!</definedName>
    <definedName name="__123Graph_AGRAPH42" localSheetId="15" hidden="1">#REF!</definedName>
    <definedName name="__123Graph_AGRAPH42" localSheetId="40" hidden="1">#REF!</definedName>
    <definedName name="__123Graph_AGRAPH42" localSheetId="12" hidden="1">#REF!</definedName>
    <definedName name="__123Graph_AGRAPH42" localSheetId="22" hidden="1">#REF!</definedName>
    <definedName name="__123Graph_AGRAPH42" localSheetId="26" hidden="1">#REF!</definedName>
    <definedName name="__123Graph_AGRAPH42" localSheetId="19" hidden="1">#REF!</definedName>
    <definedName name="__123Graph_AGRAPH42" localSheetId="39" hidden="1">#REF!</definedName>
    <definedName name="__123Graph_AGRAPH42" localSheetId="31" hidden="1">#REF!</definedName>
    <definedName name="__123Graph_AGRAPH42" localSheetId="41" hidden="1">#REF!</definedName>
    <definedName name="__123Graph_AGRAPH42" localSheetId="45" hidden="1">#REF!</definedName>
    <definedName name="__123Graph_AGRAPH42" localSheetId="75" hidden="1">#REF!</definedName>
    <definedName name="__123Graph_AGRAPH42" localSheetId="80" hidden="1">#REF!</definedName>
    <definedName name="__123Graph_AGRAPH42" localSheetId="52" hidden="1">#REF!</definedName>
    <definedName name="__123Graph_AGRAPH42" localSheetId="98" hidden="1">#REF!</definedName>
    <definedName name="__123Graph_AGRAPH42" localSheetId="77" hidden="1">#REF!</definedName>
    <definedName name="__123Graph_AGRAPH42" localSheetId="53" hidden="1">#REF!</definedName>
    <definedName name="__123Graph_AGRAPH42" localSheetId="59" hidden="1">#REF!</definedName>
    <definedName name="__123Graph_AGRAPH42" localSheetId="92" hidden="1">#REF!</definedName>
    <definedName name="__123Graph_AGRAPH42" localSheetId="81" hidden="1">#REF!</definedName>
    <definedName name="__123Graph_AGRAPH42" localSheetId="79" hidden="1">#REF!</definedName>
    <definedName name="__123Graph_AGRAPH42" localSheetId="89" hidden="1">#REF!</definedName>
    <definedName name="__123Graph_AGRAPH42" localSheetId="76" hidden="1">#REF!</definedName>
    <definedName name="__123Graph_AGRAPH42" localSheetId="25" hidden="1">#REF!</definedName>
    <definedName name="__123Graph_AGRAPH42" localSheetId="34" hidden="1">#REF!</definedName>
    <definedName name="__123Graph_AGRAPH42" localSheetId="38" hidden="1">#REF!</definedName>
    <definedName name="__123Graph_AGRAPH42" localSheetId="9" hidden="1">#REF!</definedName>
    <definedName name="__123Graph_AGRAPH42" localSheetId="24" hidden="1">#REF!</definedName>
    <definedName name="__123Graph_AGRAPH42" localSheetId="32" hidden="1">#REF!</definedName>
    <definedName name="__123Graph_AGRAPH42" localSheetId="42" hidden="1">#REF!</definedName>
    <definedName name="__123Graph_AGRAPH42" localSheetId="29" hidden="1">#REF!</definedName>
    <definedName name="__123Graph_AGRAPH42" localSheetId="23" hidden="1">#REF!</definedName>
    <definedName name="__123Graph_AGRAPH42" localSheetId="36" hidden="1">#REF!</definedName>
    <definedName name="__123Graph_AGRAPH42" localSheetId="8" hidden="1">#REF!</definedName>
    <definedName name="__123Graph_AGRAPH42" localSheetId="27" hidden="1">#REF!</definedName>
    <definedName name="__123Graph_AGRAPH42" hidden="1">#REF!</definedName>
    <definedName name="__123Graph_AGRAPH44" localSheetId="28" hidden="1">#REF!</definedName>
    <definedName name="__123Graph_AGRAPH44" localSheetId="33" hidden="1">#REF!</definedName>
    <definedName name="__123Graph_AGRAPH44" localSheetId="47" hidden="1">#REF!</definedName>
    <definedName name="__123Graph_AGRAPH44" localSheetId="48" hidden="1">#REF!</definedName>
    <definedName name="__123Graph_AGRAPH44" localSheetId="49" hidden="1">#REF!</definedName>
    <definedName name="__123Graph_AGRAPH44" localSheetId="5" hidden="1">#REF!</definedName>
    <definedName name="__123Graph_AGRAPH44" localSheetId="7" hidden="1">#REF!</definedName>
    <definedName name="__123Graph_AGRAPH44" localSheetId="0" hidden="1">#REF!</definedName>
    <definedName name="__123Graph_AGRAPH44" localSheetId="35" hidden="1">#REF!</definedName>
    <definedName name="__123Graph_AGRAPH44" localSheetId="37" hidden="1">#REF!</definedName>
    <definedName name="__123Graph_AGRAPH44" localSheetId="21" hidden="1">#REF!</definedName>
    <definedName name="__123Graph_AGRAPH44" localSheetId="16" hidden="1">#REF!</definedName>
    <definedName name="__123Graph_AGRAPH44" localSheetId="51" hidden="1">#REF!</definedName>
    <definedName name="__123Graph_AGRAPH44" localSheetId="50" hidden="1">#REF!</definedName>
    <definedName name="__123Graph_AGRAPH44" localSheetId="18" hidden="1">#REF!</definedName>
    <definedName name="__123Graph_AGRAPH44" localSheetId="46" hidden="1">#REF!</definedName>
    <definedName name="__123Graph_AGRAPH44" localSheetId="30" hidden="1">#REF!</definedName>
    <definedName name="__123Graph_AGRAPH44" localSheetId="6" hidden="1">#REF!</definedName>
    <definedName name="__123Graph_AGRAPH44" localSheetId="20" hidden="1">#REF!</definedName>
    <definedName name="__123Graph_AGRAPH44" localSheetId="43" hidden="1">#REF!</definedName>
    <definedName name="__123Graph_AGRAPH44" localSheetId="44" hidden="1">#REF!</definedName>
    <definedName name="__123Graph_AGRAPH44" localSheetId="10" hidden="1">#REF!</definedName>
    <definedName name="__123Graph_AGRAPH44" localSheetId="14" hidden="1">#REF!</definedName>
    <definedName name="__123Graph_AGRAPH44" localSheetId="15" hidden="1">#REF!</definedName>
    <definedName name="__123Graph_AGRAPH44" localSheetId="40" hidden="1">#REF!</definedName>
    <definedName name="__123Graph_AGRAPH44" localSheetId="12" hidden="1">#REF!</definedName>
    <definedName name="__123Graph_AGRAPH44" localSheetId="22" hidden="1">#REF!</definedName>
    <definedName name="__123Graph_AGRAPH44" localSheetId="26" hidden="1">#REF!</definedName>
    <definedName name="__123Graph_AGRAPH44" localSheetId="19" hidden="1">#REF!</definedName>
    <definedName name="__123Graph_AGRAPH44" localSheetId="39" hidden="1">#REF!</definedName>
    <definedName name="__123Graph_AGRAPH44" localSheetId="31" hidden="1">#REF!</definedName>
    <definedName name="__123Graph_AGRAPH44" localSheetId="41" hidden="1">#REF!</definedName>
    <definedName name="__123Graph_AGRAPH44" localSheetId="45" hidden="1">#REF!</definedName>
    <definedName name="__123Graph_AGRAPH44" localSheetId="75" hidden="1">#REF!</definedName>
    <definedName name="__123Graph_AGRAPH44" localSheetId="80" hidden="1">#REF!</definedName>
    <definedName name="__123Graph_AGRAPH44" localSheetId="52" hidden="1">#REF!</definedName>
    <definedName name="__123Graph_AGRAPH44" localSheetId="98" hidden="1">#REF!</definedName>
    <definedName name="__123Graph_AGRAPH44" localSheetId="77" hidden="1">#REF!</definedName>
    <definedName name="__123Graph_AGRAPH44" localSheetId="53" hidden="1">#REF!</definedName>
    <definedName name="__123Graph_AGRAPH44" localSheetId="59" hidden="1">#REF!</definedName>
    <definedName name="__123Graph_AGRAPH44" localSheetId="92" hidden="1">#REF!</definedName>
    <definedName name="__123Graph_AGRAPH44" localSheetId="81" hidden="1">#REF!</definedName>
    <definedName name="__123Graph_AGRAPH44" localSheetId="79" hidden="1">#REF!</definedName>
    <definedName name="__123Graph_AGRAPH44" localSheetId="89" hidden="1">#REF!</definedName>
    <definedName name="__123Graph_AGRAPH44" localSheetId="76" hidden="1">#REF!</definedName>
    <definedName name="__123Graph_AGRAPH44" localSheetId="25" hidden="1">#REF!</definedName>
    <definedName name="__123Graph_AGRAPH44" localSheetId="34" hidden="1">#REF!</definedName>
    <definedName name="__123Graph_AGRAPH44" localSheetId="38" hidden="1">#REF!</definedName>
    <definedName name="__123Graph_AGRAPH44" localSheetId="9" hidden="1">#REF!</definedName>
    <definedName name="__123Graph_AGRAPH44" localSheetId="24" hidden="1">#REF!</definedName>
    <definedName name="__123Graph_AGRAPH44" localSheetId="32" hidden="1">#REF!</definedName>
    <definedName name="__123Graph_AGRAPH44" localSheetId="42" hidden="1">#REF!</definedName>
    <definedName name="__123Graph_AGRAPH44" localSheetId="29" hidden="1">#REF!</definedName>
    <definedName name="__123Graph_AGRAPH44" localSheetId="23" hidden="1">#REF!</definedName>
    <definedName name="__123Graph_AGRAPH44" localSheetId="36" hidden="1">#REF!</definedName>
    <definedName name="__123Graph_AGRAPH44" localSheetId="8" hidden="1">#REF!</definedName>
    <definedName name="__123Graph_AGRAPH44" localSheetId="27" hidden="1">#REF!</definedName>
    <definedName name="__123Graph_AGRAPH44" hidden="1">#REF!</definedName>
    <definedName name="__123Graph_APERIB" localSheetId="28" hidden="1">#REF!</definedName>
    <definedName name="__123Graph_APERIB" localSheetId="33" hidden="1">#REF!</definedName>
    <definedName name="__123Graph_APERIB" localSheetId="47" hidden="1">#REF!</definedName>
    <definedName name="__123Graph_APERIB" localSheetId="48" hidden="1">#REF!</definedName>
    <definedName name="__123Graph_APERIB" localSheetId="49" hidden="1">#REF!</definedName>
    <definedName name="__123Graph_APERIB" localSheetId="5" hidden="1">#REF!</definedName>
    <definedName name="__123Graph_APERIB" localSheetId="7" hidden="1">#REF!</definedName>
    <definedName name="__123Graph_APERIB" localSheetId="0" hidden="1">#REF!</definedName>
    <definedName name="__123Graph_APERIB" localSheetId="35" hidden="1">#REF!</definedName>
    <definedName name="__123Graph_APERIB" localSheetId="37" hidden="1">#REF!</definedName>
    <definedName name="__123Graph_APERIB" localSheetId="21" hidden="1">#REF!</definedName>
    <definedName name="__123Graph_APERIB" localSheetId="16" hidden="1">#REF!</definedName>
    <definedName name="__123Graph_APERIB" localSheetId="51" hidden="1">#REF!</definedName>
    <definedName name="__123Graph_APERIB" localSheetId="50" hidden="1">#REF!</definedName>
    <definedName name="__123Graph_APERIB" localSheetId="18" hidden="1">#REF!</definedName>
    <definedName name="__123Graph_APERIB" localSheetId="46" hidden="1">#REF!</definedName>
    <definedName name="__123Graph_APERIB" localSheetId="30" hidden="1">#REF!</definedName>
    <definedName name="__123Graph_APERIB" localSheetId="6" hidden="1">#REF!</definedName>
    <definedName name="__123Graph_APERIB" localSheetId="20" hidden="1">#REF!</definedName>
    <definedName name="__123Graph_APERIB" localSheetId="43" hidden="1">#REF!</definedName>
    <definedName name="__123Graph_APERIB" localSheetId="44" hidden="1">#REF!</definedName>
    <definedName name="__123Graph_APERIB" localSheetId="10" hidden="1">#REF!</definedName>
    <definedName name="__123Graph_APERIB" localSheetId="14" hidden="1">#REF!</definedName>
    <definedName name="__123Graph_APERIB" localSheetId="15" hidden="1">#REF!</definedName>
    <definedName name="__123Graph_APERIB" localSheetId="40" hidden="1">#REF!</definedName>
    <definedName name="__123Graph_APERIB" localSheetId="12" hidden="1">#REF!</definedName>
    <definedName name="__123Graph_APERIB" localSheetId="22" hidden="1">#REF!</definedName>
    <definedName name="__123Graph_APERIB" localSheetId="26" hidden="1">#REF!</definedName>
    <definedName name="__123Graph_APERIB" localSheetId="19" hidden="1">#REF!</definedName>
    <definedName name="__123Graph_APERIB" localSheetId="39" hidden="1">#REF!</definedName>
    <definedName name="__123Graph_APERIB" localSheetId="31" hidden="1">#REF!</definedName>
    <definedName name="__123Graph_APERIB" localSheetId="41" hidden="1">#REF!</definedName>
    <definedName name="__123Graph_APERIB" localSheetId="45" hidden="1">#REF!</definedName>
    <definedName name="__123Graph_APERIB" localSheetId="75" hidden="1">#REF!</definedName>
    <definedName name="__123Graph_APERIB" localSheetId="80" hidden="1">#REF!</definedName>
    <definedName name="__123Graph_APERIB" localSheetId="52" hidden="1">#REF!</definedName>
    <definedName name="__123Graph_APERIB" localSheetId="98" hidden="1">#REF!</definedName>
    <definedName name="__123Graph_APERIB" localSheetId="77" hidden="1">#REF!</definedName>
    <definedName name="__123Graph_APERIB" localSheetId="53" hidden="1">#REF!</definedName>
    <definedName name="__123Graph_APERIB" localSheetId="59" hidden="1">#REF!</definedName>
    <definedName name="__123Graph_APERIB" localSheetId="92" hidden="1">#REF!</definedName>
    <definedName name="__123Graph_APERIB" localSheetId="81" hidden="1">#REF!</definedName>
    <definedName name="__123Graph_APERIB" localSheetId="79" hidden="1">#REF!</definedName>
    <definedName name="__123Graph_APERIB" localSheetId="89" hidden="1">#REF!</definedName>
    <definedName name="__123Graph_APERIB" localSheetId="76" hidden="1">#REF!</definedName>
    <definedName name="__123Graph_APERIB" localSheetId="25" hidden="1">#REF!</definedName>
    <definedName name="__123Graph_APERIB" localSheetId="34" hidden="1">#REF!</definedName>
    <definedName name="__123Graph_APERIB" localSheetId="38" hidden="1">#REF!</definedName>
    <definedName name="__123Graph_APERIB" localSheetId="9" hidden="1">#REF!</definedName>
    <definedName name="__123Graph_APERIB" localSheetId="24" hidden="1">#REF!</definedName>
    <definedName name="__123Graph_APERIB" localSheetId="32" hidden="1">#REF!</definedName>
    <definedName name="__123Graph_APERIB" localSheetId="42" hidden="1">#REF!</definedName>
    <definedName name="__123Graph_APERIB" localSheetId="29" hidden="1">#REF!</definedName>
    <definedName name="__123Graph_APERIB" localSheetId="23" hidden="1">#REF!</definedName>
    <definedName name="__123Graph_APERIB" localSheetId="36" hidden="1">#REF!</definedName>
    <definedName name="__123Graph_APERIB" localSheetId="8" hidden="1">#REF!</definedName>
    <definedName name="__123Graph_APERIB" localSheetId="27" hidden="1">#REF!</definedName>
    <definedName name="__123Graph_APERIB" hidden="1">#REF!</definedName>
    <definedName name="__123Graph_APRODABSC" localSheetId="28" hidden="1">#REF!</definedName>
    <definedName name="__123Graph_APRODABSC" localSheetId="33" hidden="1">#REF!</definedName>
    <definedName name="__123Graph_APRODABSC" localSheetId="47" hidden="1">#REF!</definedName>
    <definedName name="__123Graph_APRODABSC" localSheetId="48" hidden="1">#REF!</definedName>
    <definedName name="__123Graph_APRODABSC" localSheetId="49" hidden="1">#REF!</definedName>
    <definedName name="__123Graph_APRODABSC" localSheetId="5" hidden="1">#REF!</definedName>
    <definedName name="__123Graph_APRODABSC" localSheetId="7" hidden="1">#REF!</definedName>
    <definedName name="__123Graph_APRODABSC" localSheetId="0" hidden="1">#REF!</definedName>
    <definedName name="__123Graph_APRODABSC" localSheetId="35" hidden="1">#REF!</definedName>
    <definedName name="__123Graph_APRODABSC" localSheetId="37" hidden="1">#REF!</definedName>
    <definedName name="__123Graph_APRODABSC" localSheetId="21" hidden="1">#REF!</definedName>
    <definedName name="__123Graph_APRODABSC" localSheetId="16" hidden="1">#REF!</definedName>
    <definedName name="__123Graph_APRODABSC" localSheetId="51" hidden="1">#REF!</definedName>
    <definedName name="__123Graph_APRODABSC" localSheetId="50" hidden="1">#REF!</definedName>
    <definedName name="__123Graph_APRODABSC" localSheetId="18" hidden="1">#REF!</definedName>
    <definedName name="__123Graph_APRODABSC" localSheetId="46" hidden="1">#REF!</definedName>
    <definedName name="__123Graph_APRODABSC" localSheetId="30" hidden="1">#REF!</definedName>
    <definedName name="__123Graph_APRODABSC" localSheetId="6" hidden="1">#REF!</definedName>
    <definedName name="__123Graph_APRODABSC" localSheetId="20" hidden="1">#REF!</definedName>
    <definedName name="__123Graph_APRODABSC" localSheetId="43" hidden="1">#REF!</definedName>
    <definedName name="__123Graph_APRODABSC" localSheetId="44" hidden="1">#REF!</definedName>
    <definedName name="__123Graph_APRODABSC" localSheetId="10" hidden="1">#REF!</definedName>
    <definedName name="__123Graph_APRODABSC" localSheetId="14" hidden="1">#REF!</definedName>
    <definedName name="__123Graph_APRODABSC" localSheetId="15" hidden="1">#REF!</definedName>
    <definedName name="__123Graph_APRODABSC" localSheetId="40" hidden="1">#REF!</definedName>
    <definedName name="__123Graph_APRODABSC" localSheetId="12" hidden="1">#REF!</definedName>
    <definedName name="__123Graph_APRODABSC" localSheetId="22" hidden="1">#REF!</definedName>
    <definedName name="__123Graph_APRODABSC" localSheetId="26" hidden="1">#REF!</definedName>
    <definedName name="__123Graph_APRODABSC" localSheetId="19" hidden="1">#REF!</definedName>
    <definedName name="__123Graph_APRODABSC" localSheetId="39" hidden="1">#REF!</definedName>
    <definedName name="__123Graph_APRODABSC" localSheetId="31" hidden="1">#REF!</definedName>
    <definedName name="__123Graph_APRODABSC" localSheetId="41" hidden="1">#REF!</definedName>
    <definedName name="__123Graph_APRODABSC" localSheetId="45" hidden="1">#REF!</definedName>
    <definedName name="__123Graph_APRODABSC" localSheetId="75" hidden="1">#REF!</definedName>
    <definedName name="__123Graph_APRODABSC" localSheetId="80" hidden="1">#REF!</definedName>
    <definedName name="__123Graph_APRODABSC" localSheetId="52" hidden="1">#REF!</definedName>
    <definedName name="__123Graph_APRODABSC" localSheetId="98" hidden="1">#REF!</definedName>
    <definedName name="__123Graph_APRODABSC" localSheetId="77" hidden="1">#REF!</definedName>
    <definedName name="__123Graph_APRODABSC" localSheetId="53" hidden="1">#REF!</definedName>
    <definedName name="__123Graph_APRODABSC" localSheetId="59" hidden="1">#REF!</definedName>
    <definedName name="__123Graph_APRODABSC" localSheetId="92" hidden="1">#REF!</definedName>
    <definedName name="__123Graph_APRODABSC" localSheetId="81" hidden="1">#REF!</definedName>
    <definedName name="__123Graph_APRODABSC" localSheetId="79" hidden="1">#REF!</definedName>
    <definedName name="__123Graph_APRODABSC" localSheetId="89" hidden="1">#REF!</definedName>
    <definedName name="__123Graph_APRODABSC" localSheetId="76" hidden="1">#REF!</definedName>
    <definedName name="__123Graph_APRODABSC" localSheetId="25" hidden="1">#REF!</definedName>
    <definedName name="__123Graph_APRODABSC" localSheetId="34" hidden="1">#REF!</definedName>
    <definedName name="__123Graph_APRODABSC" localSheetId="38" hidden="1">#REF!</definedName>
    <definedName name="__123Graph_APRODABSC" localSheetId="9" hidden="1">#REF!</definedName>
    <definedName name="__123Graph_APRODABSC" localSheetId="24" hidden="1">#REF!</definedName>
    <definedName name="__123Graph_APRODABSC" localSheetId="32" hidden="1">#REF!</definedName>
    <definedName name="__123Graph_APRODABSC" localSheetId="42" hidden="1">#REF!</definedName>
    <definedName name="__123Graph_APRODABSC" localSheetId="29" hidden="1">#REF!</definedName>
    <definedName name="__123Graph_APRODABSC" localSheetId="23" hidden="1">#REF!</definedName>
    <definedName name="__123Graph_APRODABSC" localSheetId="36" hidden="1">#REF!</definedName>
    <definedName name="__123Graph_APRODABSC" localSheetId="8" hidden="1">#REF!</definedName>
    <definedName name="__123Graph_APRODABSC" localSheetId="27" hidden="1">#REF!</definedName>
    <definedName name="__123Graph_APRODABSC" hidden="1">#REF!</definedName>
    <definedName name="__123Graph_APRODABSD" localSheetId="28" hidden="1">#REF!</definedName>
    <definedName name="__123Graph_APRODABSD" localSheetId="33" hidden="1">#REF!</definedName>
    <definedName name="__123Graph_APRODABSD" localSheetId="47" hidden="1">#REF!</definedName>
    <definedName name="__123Graph_APRODABSD" localSheetId="48" hidden="1">#REF!</definedName>
    <definedName name="__123Graph_APRODABSD" localSheetId="49" hidden="1">#REF!</definedName>
    <definedName name="__123Graph_APRODABSD" localSheetId="5" hidden="1">#REF!</definedName>
    <definedName name="__123Graph_APRODABSD" localSheetId="7" hidden="1">#REF!</definedName>
    <definedName name="__123Graph_APRODABSD" localSheetId="0" hidden="1">#REF!</definedName>
    <definedName name="__123Graph_APRODABSD" localSheetId="35" hidden="1">#REF!</definedName>
    <definedName name="__123Graph_APRODABSD" localSheetId="37" hidden="1">#REF!</definedName>
    <definedName name="__123Graph_APRODABSD" localSheetId="21" hidden="1">#REF!</definedName>
    <definedName name="__123Graph_APRODABSD" localSheetId="16" hidden="1">#REF!</definedName>
    <definedName name="__123Graph_APRODABSD" localSheetId="51" hidden="1">#REF!</definedName>
    <definedName name="__123Graph_APRODABSD" localSheetId="50" hidden="1">#REF!</definedName>
    <definedName name="__123Graph_APRODABSD" localSheetId="18" hidden="1">#REF!</definedName>
    <definedName name="__123Graph_APRODABSD" localSheetId="46" hidden="1">#REF!</definedName>
    <definedName name="__123Graph_APRODABSD" localSheetId="30" hidden="1">#REF!</definedName>
    <definedName name="__123Graph_APRODABSD" localSheetId="6" hidden="1">#REF!</definedName>
    <definedName name="__123Graph_APRODABSD" localSheetId="20" hidden="1">#REF!</definedName>
    <definedName name="__123Graph_APRODABSD" localSheetId="43" hidden="1">#REF!</definedName>
    <definedName name="__123Graph_APRODABSD" localSheetId="44" hidden="1">#REF!</definedName>
    <definedName name="__123Graph_APRODABSD" localSheetId="10" hidden="1">#REF!</definedName>
    <definedName name="__123Graph_APRODABSD" localSheetId="14" hidden="1">#REF!</definedName>
    <definedName name="__123Graph_APRODABSD" localSheetId="15" hidden="1">#REF!</definedName>
    <definedName name="__123Graph_APRODABSD" localSheetId="40" hidden="1">#REF!</definedName>
    <definedName name="__123Graph_APRODABSD" localSheetId="12" hidden="1">#REF!</definedName>
    <definedName name="__123Graph_APRODABSD" localSheetId="22" hidden="1">#REF!</definedName>
    <definedName name="__123Graph_APRODABSD" localSheetId="26" hidden="1">#REF!</definedName>
    <definedName name="__123Graph_APRODABSD" localSheetId="19" hidden="1">#REF!</definedName>
    <definedName name="__123Graph_APRODABSD" localSheetId="39" hidden="1">#REF!</definedName>
    <definedName name="__123Graph_APRODABSD" localSheetId="31" hidden="1">#REF!</definedName>
    <definedName name="__123Graph_APRODABSD" localSheetId="41" hidden="1">#REF!</definedName>
    <definedName name="__123Graph_APRODABSD" localSheetId="45" hidden="1">#REF!</definedName>
    <definedName name="__123Graph_APRODABSD" localSheetId="75" hidden="1">#REF!</definedName>
    <definedName name="__123Graph_APRODABSD" localSheetId="80" hidden="1">#REF!</definedName>
    <definedName name="__123Graph_APRODABSD" localSheetId="52" hidden="1">#REF!</definedName>
    <definedName name="__123Graph_APRODABSD" localSheetId="98" hidden="1">#REF!</definedName>
    <definedName name="__123Graph_APRODABSD" localSheetId="77" hidden="1">#REF!</definedName>
    <definedName name="__123Graph_APRODABSD" localSheetId="53" hidden="1">#REF!</definedName>
    <definedName name="__123Graph_APRODABSD" localSheetId="59" hidden="1">#REF!</definedName>
    <definedName name="__123Graph_APRODABSD" localSheetId="92" hidden="1">#REF!</definedName>
    <definedName name="__123Graph_APRODABSD" localSheetId="81" hidden="1">#REF!</definedName>
    <definedName name="__123Graph_APRODABSD" localSheetId="79" hidden="1">#REF!</definedName>
    <definedName name="__123Graph_APRODABSD" localSheetId="89" hidden="1">#REF!</definedName>
    <definedName name="__123Graph_APRODABSD" localSheetId="76" hidden="1">#REF!</definedName>
    <definedName name="__123Graph_APRODABSD" localSheetId="25" hidden="1">#REF!</definedName>
    <definedName name="__123Graph_APRODABSD" localSheetId="34" hidden="1">#REF!</definedName>
    <definedName name="__123Graph_APRODABSD" localSheetId="38" hidden="1">#REF!</definedName>
    <definedName name="__123Graph_APRODABSD" localSheetId="9" hidden="1">#REF!</definedName>
    <definedName name="__123Graph_APRODABSD" localSheetId="24" hidden="1">#REF!</definedName>
    <definedName name="__123Graph_APRODABSD" localSheetId="32" hidden="1">#REF!</definedName>
    <definedName name="__123Graph_APRODABSD" localSheetId="42" hidden="1">#REF!</definedName>
    <definedName name="__123Graph_APRODABSD" localSheetId="29" hidden="1">#REF!</definedName>
    <definedName name="__123Graph_APRODABSD" localSheetId="23" hidden="1">#REF!</definedName>
    <definedName name="__123Graph_APRODABSD" localSheetId="36" hidden="1">#REF!</definedName>
    <definedName name="__123Graph_APRODABSD" localSheetId="8" hidden="1">#REF!</definedName>
    <definedName name="__123Graph_APRODABSD" localSheetId="27" hidden="1">#REF!</definedName>
    <definedName name="__123Graph_APRODABSD" hidden="1">#REF!</definedName>
    <definedName name="__123Graph_APRODTRE2" localSheetId="28" hidden="1">#REF!</definedName>
    <definedName name="__123Graph_APRODTRE2" localSheetId="33" hidden="1">#REF!</definedName>
    <definedName name="__123Graph_APRODTRE2" localSheetId="47" hidden="1">#REF!</definedName>
    <definedName name="__123Graph_APRODTRE2" localSheetId="48" hidden="1">#REF!</definedName>
    <definedName name="__123Graph_APRODTRE2" localSheetId="49" hidden="1">#REF!</definedName>
    <definedName name="__123Graph_APRODTRE2" localSheetId="5" hidden="1">#REF!</definedName>
    <definedName name="__123Graph_APRODTRE2" localSheetId="7" hidden="1">#REF!</definedName>
    <definedName name="__123Graph_APRODTRE2" localSheetId="0" hidden="1">#REF!</definedName>
    <definedName name="__123Graph_APRODTRE2" localSheetId="35" hidden="1">#REF!</definedName>
    <definedName name="__123Graph_APRODTRE2" localSheetId="37" hidden="1">#REF!</definedName>
    <definedName name="__123Graph_APRODTRE2" localSheetId="21" hidden="1">#REF!</definedName>
    <definedName name="__123Graph_APRODTRE2" localSheetId="16" hidden="1">#REF!</definedName>
    <definedName name="__123Graph_APRODTRE2" localSheetId="51" hidden="1">#REF!</definedName>
    <definedName name="__123Graph_APRODTRE2" localSheetId="50" hidden="1">#REF!</definedName>
    <definedName name="__123Graph_APRODTRE2" localSheetId="18" hidden="1">#REF!</definedName>
    <definedName name="__123Graph_APRODTRE2" localSheetId="46" hidden="1">#REF!</definedName>
    <definedName name="__123Graph_APRODTRE2" localSheetId="30" hidden="1">#REF!</definedName>
    <definedName name="__123Graph_APRODTRE2" localSheetId="6" hidden="1">#REF!</definedName>
    <definedName name="__123Graph_APRODTRE2" localSheetId="20" hidden="1">#REF!</definedName>
    <definedName name="__123Graph_APRODTRE2" localSheetId="43" hidden="1">#REF!</definedName>
    <definedName name="__123Graph_APRODTRE2" localSheetId="44" hidden="1">#REF!</definedName>
    <definedName name="__123Graph_APRODTRE2" localSheetId="10" hidden="1">#REF!</definedName>
    <definedName name="__123Graph_APRODTRE2" localSheetId="14" hidden="1">#REF!</definedName>
    <definedName name="__123Graph_APRODTRE2" localSheetId="15" hidden="1">#REF!</definedName>
    <definedName name="__123Graph_APRODTRE2" localSheetId="40" hidden="1">#REF!</definedName>
    <definedName name="__123Graph_APRODTRE2" localSheetId="12" hidden="1">#REF!</definedName>
    <definedName name="__123Graph_APRODTRE2" localSheetId="22" hidden="1">#REF!</definedName>
    <definedName name="__123Graph_APRODTRE2" localSheetId="26" hidden="1">#REF!</definedName>
    <definedName name="__123Graph_APRODTRE2" localSheetId="19" hidden="1">#REF!</definedName>
    <definedName name="__123Graph_APRODTRE2" localSheetId="39" hidden="1">#REF!</definedName>
    <definedName name="__123Graph_APRODTRE2" localSheetId="31" hidden="1">#REF!</definedName>
    <definedName name="__123Graph_APRODTRE2" localSheetId="41" hidden="1">#REF!</definedName>
    <definedName name="__123Graph_APRODTRE2" localSheetId="45" hidden="1">#REF!</definedName>
    <definedName name="__123Graph_APRODTRE2" localSheetId="75" hidden="1">#REF!</definedName>
    <definedName name="__123Graph_APRODTRE2" localSheetId="80" hidden="1">#REF!</definedName>
    <definedName name="__123Graph_APRODTRE2" localSheetId="52" hidden="1">#REF!</definedName>
    <definedName name="__123Graph_APRODTRE2" localSheetId="98" hidden="1">#REF!</definedName>
    <definedName name="__123Graph_APRODTRE2" localSheetId="77" hidden="1">#REF!</definedName>
    <definedName name="__123Graph_APRODTRE2" localSheetId="53" hidden="1">#REF!</definedName>
    <definedName name="__123Graph_APRODTRE2" localSheetId="59" hidden="1">#REF!</definedName>
    <definedName name="__123Graph_APRODTRE2" localSheetId="92" hidden="1">#REF!</definedName>
    <definedName name="__123Graph_APRODTRE2" localSheetId="81" hidden="1">#REF!</definedName>
    <definedName name="__123Graph_APRODTRE2" localSheetId="79" hidden="1">#REF!</definedName>
    <definedName name="__123Graph_APRODTRE2" localSheetId="89" hidden="1">#REF!</definedName>
    <definedName name="__123Graph_APRODTRE2" localSheetId="76" hidden="1">#REF!</definedName>
    <definedName name="__123Graph_APRODTRE2" localSheetId="25" hidden="1">#REF!</definedName>
    <definedName name="__123Graph_APRODTRE2" localSheetId="34" hidden="1">#REF!</definedName>
    <definedName name="__123Graph_APRODTRE2" localSheetId="38" hidden="1">#REF!</definedName>
    <definedName name="__123Graph_APRODTRE2" localSheetId="9" hidden="1">#REF!</definedName>
    <definedName name="__123Graph_APRODTRE2" localSheetId="24" hidden="1">#REF!</definedName>
    <definedName name="__123Graph_APRODTRE2" localSheetId="32" hidden="1">#REF!</definedName>
    <definedName name="__123Graph_APRODTRE2" localSheetId="42" hidden="1">#REF!</definedName>
    <definedName name="__123Graph_APRODTRE2" localSheetId="29" hidden="1">#REF!</definedName>
    <definedName name="__123Graph_APRODTRE2" localSheetId="23" hidden="1">#REF!</definedName>
    <definedName name="__123Graph_APRODTRE2" localSheetId="36" hidden="1">#REF!</definedName>
    <definedName name="__123Graph_APRODTRE2" localSheetId="8" hidden="1">#REF!</definedName>
    <definedName name="__123Graph_APRODTRE2" localSheetId="27" hidden="1">#REF!</definedName>
    <definedName name="__123Graph_APRODTRE2" hidden="1">#REF!</definedName>
    <definedName name="__123Graph_APRODTRE3" localSheetId="28" hidden="1">#REF!</definedName>
    <definedName name="__123Graph_APRODTRE3" localSheetId="33" hidden="1">#REF!</definedName>
    <definedName name="__123Graph_APRODTRE3" localSheetId="47" hidden="1">#REF!</definedName>
    <definedName name="__123Graph_APRODTRE3" localSheetId="48" hidden="1">#REF!</definedName>
    <definedName name="__123Graph_APRODTRE3" localSheetId="49" hidden="1">#REF!</definedName>
    <definedName name="__123Graph_APRODTRE3" localSheetId="5" hidden="1">#REF!</definedName>
    <definedName name="__123Graph_APRODTRE3" localSheetId="7" hidden="1">#REF!</definedName>
    <definedName name="__123Graph_APRODTRE3" localSheetId="0" hidden="1">#REF!</definedName>
    <definedName name="__123Graph_APRODTRE3" localSheetId="35" hidden="1">#REF!</definedName>
    <definedName name="__123Graph_APRODTRE3" localSheetId="37" hidden="1">#REF!</definedName>
    <definedName name="__123Graph_APRODTRE3" localSheetId="21" hidden="1">#REF!</definedName>
    <definedName name="__123Graph_APRODTRE3" localSheetId="16" hidden="1">#REF!</definedName>
    <definedName name="__123Graph_APRODTRE3" localSheetId="51" hidden="1">#REF!</definedName>
    <definedName name="__123Graph_APRODTRE3" localSheetId="50" hidden="1">#REF!</definedName>
    <definedName name="__123Graph_APRODTRE3" localSheetId="18" hidden="1">#REF!</definedName>
    <definedName name="__123Graph_APRODTRE3" localSheetId="46" hidden="1">#REF!</definedName>
    <definedName name="__123Graph_APRODTRE3" localSheetId="30" hidden="1">#REF!</definedName>
    <definedName name="__123Graph_APRODTRE3" localSheetId="6" hidden="1">#REF!</definedName>
    <definedName name="__123Graph_APRODTRE3" localSheetId="20" hidden="1">#REF!</definedName>
    <definedName name="__123Graph_APRODTRE3" localSheetId="43" hidden="1">#REF!</definedName>
    <definedName name="__123Graph_APRODTRE3" localSheetId="44" hidden="1">#REF!</definedName>
    <definedName name="__123Graph_APRODTRE3" localSheetId="10" hidden="1">#REF!</definedName>
    <definedName name="__123Graph_APRODTRE3" localSheetId="14" hidden="1">#REF!</definedName>
    <definedName name="__123Graph_APRODTRE3" localSheetId="15" hidden="1">#REF!</definedName>
    <definedName name="__123Graph_APRODTRE3" localSheetId="40" hidden="1">#REF!</definedName>
    <definedName name="__123Graph_APRODTRE3" localSheetId="12" hidden="1">#REF!</definedName>
    <definedName name="__123Graph_APRODTRE3" localSheetId="22" hidden="1">#REF!</definedName>
    <definedName name="__123Graph_APRODTRE3" localSheetId="26" hidden="1">#REF!</definedName>
    <definedName name="__123Graph_APRODTRE3" localSheetId="19" hidden="1">#REF!</definedName>
    <definedName name="__123Graph_APRODTRE3" localSheetId="39" hidden="1">#REF!</definedName>
    <definedName name="__123Graph_APRODTRE3" localSheetId="31" hidden="1">#REF!</definedName>
    <definedName name="__123Graph_APRODTRE3" localSheetId="41" hidden="1">#REF!</definedName>
    <definedName name="__123Graph_APRODTRE3" localSheetId="45" hidden="1">#REF!</definedName>
    <definedName name="__123Graph_APRODTRE3" localSheetId="75" hidden="1">#REF!</definedName>
    <definedName name="__123Graph_APRODTRE3" localSheetId="80" hidden="1">#REF!</definedName>
    <definedName name="__123Graph_APRODTRE3" localSheetId="52" hidden="1">#REF!</definedName>
    <definedName name="__123Graph_APRODTRE3" localSheetId="98" hidden="1">#REF!</definedName>
    <definedName name="__123Graph_APRODTRE3" localSheetId="77" hidden="1">#REF!</definedName>
    <definedName name="__123Graph_APRODTRE3" localSheetId="53" hidden="1">#REF!</definedName>
    <definedName name="__123Graph_APRODTRE3" localSheetId="59" hidden="1">#REF!</definedName>
    <definedName name="__123Graph_APRODTRE3" localSheetId="92" hidden="1">#REF!</definedName>
    <definedName name="__123Graph_APRODTRE3" localSheetId="81" hidden="1">#REF!</definedName>
    <definedName name="__123Graph_APRODTRE3" localSheetId="79" hidden="1">#REF!</definedName>
    <definedName name="__123Graph_APRODTRE3" localSheetId="89" hidden="1">#REF!</definedName>
    <definedName name="__123Graph_APRODTRE3" localSheetId="76" hidden="1">#REF!</definedName>
    <definedName name="__123Graph_APRODTRE3" localSheetId="25" hidden="1">#REF!</definedName>
    <definedName name="__123Graph_APRODTRE3" localSheetId="34" hidden="1">#REF!</definedName>
    <definedName name="__123Graph_APRODTRE3" localSheetId="38" hidden="1">#REF!</definedName>
    <definedName name="__123Graph_APRODTRE3" localSheetId="9" hidden="1">#REF!</definedName>
    <definedName name="__123Graph_APRODTRE3" localSheetId="24" hidden="1">#REF!</definedName>
    <definedName name="__123Graph_APRODTRE3" localSheetId="32" hidden="1">#REF!</definedName>
    <definedName name="__123Graph_APRODTRE3" localSheetId="42" hidden="1">#REF!</definedName>
    <definedName name="__123Graph_APRODTRE3" localSheetId="29" hidden="1">#REF!</definedName>
    <definedName name="__123Graph_APRODTRE3" localSheetId="23" hidden="1">#REF!</definedName>
    <definedName name="__123Graph_APRODTRE3" localSheetId="36" hidden="1">#REF!</definedName>
    <definedName name="__123Graph_APRODTRE3" localSheetId="8" hidden="1">#REF!</definedName>
    <definedName name="__123Graph_APRODTRE3" localSheetId="27" hidden="1">#REF!</definedName>
    <definedName name="__123Graph_APRODTRE3" hidden="1">#REF!</definedName>
    <definedName name="__123Graph_APRODTRE4" localSheetId="28" hidden="1">#REF!</definedName>
    <definedName name="__123Graph_APRODTRE4" localSheetId="33" hidden="1">#REF!</definedName>
    <definedName name="__123Graph_APRODTRE4" localSheetId="47" hidden="1">#REF!</definedName>
    <definedName name="__123Graph_APRODTRE4" localSheetId="48" hidden="1">#REF!</definedName>
    <definedName name="__123Graph_APRODTRE4" localSheetId="49" hidden="1">#REF!</definedName>
    <definedName name="__123Graph_APRODTRE4" localSheetId="5" hidden="1">#REF!</definedName>
    <definedName name="__123Graph_APRODTRE4" localSheetId="7" hidden="1">#REF!</definedName>
    <definedName name="__123Graph_APRODTRE4" localSheetId="0" hidden="1">#REF!</definedName>
    <definedName name="__123Graph_APRODTRE4" localSheetId="35" hidden="1">#REF!</definedName>
    <definedName name="__123Graph_APRODTRE4" localSheetId="37" hidden="1">#REF!</definedName>
    <definedName name="__123Graph_APRODTRE4" localSheetId="21" hidden="1">#REF!</definedName>
    <definedName name="__123Graph_APRODTRE4" localSheetId="16" hidden="1">#REF!</definedName>
    <definedName name="__123Graph_APRODTRE4" localSheetId="51" hidden="1">#REF!</definedName>
    <definedName name="__123Graph_APRODTRE4" localSheetId="50" hidden="1">#REF!</definedName>
    <definedName name="__123Graph_APRODTRE4" localSheetId="18" hidden="1">#REF!</definedName>
    <definedName name="__123Graph_APRODTRE4" localSheetId="46" hidden="1">#REF!</definedName>
    <definedName name="__123Graph_APRODTRE4" localSheetId="30" hidden="1">#REF!</definedName>
    <definedName name="__123Graph_APRODTRE4" localSheetId="6" hidden="1">#REF!</definedName>
    <definedName name="__123Graph_APRODTRE4" localSheetId="20" hidden="1">#REF!</definedName>
    <definedName name="__123Graph_APRODTRE4" localSheetId="43" hidden="1">#REF!</definedName>
    <definedName name="__123Graph_APRODTRE4" localSheetId="44" hidden="1">#REF!</definedName>
    <definedName name="__123Graph_APRODTRE4" localSheetId="10" hidden="1">#REF!</definedName>
    <definedName name="__123Graph_APRODTRE4" localSheetId="14" hidden="1">#REF!</definedName>
    <definedName name="__123Graph_APRODTRE4" localSheetId="15" hidden="1">#REF!</definedName>
    <definedName name="__123Graph_APRODTRE4" localSheetId="40" hidden="1">#REF!</definedName>
    <definedName name="__123Graph_APRODTRE4" localSheetId="12" hidden="1">#REF!</definedName>
    <definedName name="__123Graph_APRODTRE4" localSheetId="22" hidden="1">#REF!</definedName>
    <definedName name="__123Graph_APRODTRE4" localSheetId="26" hidden="1">#REF!</definedName>
    <definedName name="__123Graph_APRODTRE4" localSheetId="19" hidden="1">#REF!</definedName>
    <definedName name="__123Graph_APRODTRE4" localSheetId="39" hidden="1">#REF!</definedName>
    <definedName name="__123Graph_APRODTRE4" localSheetId="31" hidden="1">#REF!</definedName>
    <definedName name="__123Graph_APRODTRE4" localSheetId="41" hidden="1">#REF!</definedName>
    <definedName name="__123Graph_APRODTRE4" localSheetId="45" hidden="1">#REF!</definedName>
    <definedName name="__123Graph_APRODTRE4" localSheetId="75" hidden="1">#REF!</definedName>
    <definedName name="__123Graph_APRODTRE4" localSheetId="80" hidden="1">#REF!</definedName>
    <definedName name="__123Graph_APRODTRE4" localSheetId="52" hidden="1">#REF!</definedName>
    <definedName name="__123Graph_APRODTRE4" localSheetId="98" hidden="1">#REF!</definedName>
    <definedName name="__123Graph_APRODTRE4" localSheetId="77" hidden="1">#REF!</definedName>
    <definedName name="__123Graph_APRODTRE4" localSheetId="53" hidden="1">#REF!</definedName>
    <definedName name="__123Graph_APRODTRE4" localSheetId="59" hidden="1">#REF!</definedName>
    <definedName name="__123Graph_APRODTRE4" localSheetId="92" hidden="1">#REF!</definedName>
    <definedName name="__123Graph_APRODTRE4" localSheetId="81" hidden="1">#REF!</definedName>
    <definedName name="__123Graph_APRODTRE4" localSheetId="79" hidden="1">#REF!</definedName>
    <definedName name="__123Graph_APRODTRE4" localSheetId="89" hidden="1">#REF!</definedName>
    <definedName name="__123Graph_APRODTRE4" localSheetId="76" hidden="1">#REF!</definedName>
    <definedName name="__123Graph_APRODTRE4" localSheetId="25" hidden="1">#REF!</definedName>
    <definedName name="__123Graph_APRODTRE4" localSheetId="34" hidden="1">#REF!</definedName>
    <definedName name="__123Graph_APRODTRE4" localSheetId="38" hidden="1">#REF!</definedName>
    <definedName name="__123Graph_APRODTRE4" localSheetId="9" hidden="1">#REF!</definedName>
    <definedName name="__123Graph_APRODTRE4" localSheetId="24" hidden="1">#REF!</definedName>
    <definedName name="__123Graph_APRODTRE4" localSheetId="32" hidden="1">#REF!</definedName>
    <definedName name="__123Graph_APRODTRE4" localSheetId="42" hidden="1">#REF!</definedName>
    <definedName name="__123Graph_APRODTRE4" localSheetId="29" hidden="1">#REF!</definedName>
    <definedName name="__123Graph_APRODTRE4" localSheetId="23" hidden="1">#REF!</definedName>
    <definedName name="__123Graph_APRODTRE4" localSheetId="36" hidden="1">#REF!</definedName>
    <definedName name="__123Graph_APRODTRE4" localSheetId="8" hidden="1">#REF!</definedName>
    <definedName name="__123Graph_APRODTRE4" localSheetId="27" hidden="1">#REF!</definedName>
    <definedName name="__123Graph_APRODTRE4" hidden="1">#REF!</definedName>
    <definedName name="__123Graph_APRODTREND" localSheetId="28" hidden="1">#REF!</definedName>
    <definedName name="__123Graph_APRODTREND" localSheetId="33" hidden="1">#REF!</definedName>
    <definedName name="__123Graph_APRODTREND" localSheetId="47" hidden="1">#REF!</definedName>
    <definedName name="__123Graph_APRODTREND" localSheetId="48" hidden="1">#REF!</definedName>
    <definedName name="__123Graph_APRODTREND" localSheetId="49" hidden="1">#REF!</definedName>
    <definedName name="__123Graph_APRODTREND" localSheetId="5" hidden="1">#REF!</definedName>
    <definedName name="__123Graph_APRODTREND" localSheetId="7" hidden="1">#REF!</definedName>
    <definedName name="__123Graph_APRODTREND" localSheetId="0" hidden="1">#REF!</definedName>
    <definedName name="__123Graph_APRODTREND" localSheetId="35" hidden="1">#REF!</definedName>
    <definedName name="__123Graph_APRODTREND" localSheetId="37" hidden="1">#REF!</definedName>
    <definedName name="__123Graph_APRODTREND" localSheetId="21" hidden="1">#REF!</definedName>
    <definedName name="__123Graph_APRODTREND" localSheetId="16" hidden="1">#REF!</definedName>
    <definedName name="__123Graph_APRODTREND" localSheetId="51" hidden="1">#REF!</definedName>
    <definedName name="__123Graph_APRODTREND" localSheetId="50" hidden="1">#REF!</definedName>
    <definedName name="__123Graph_APRODTREND" localSheetId="18" hidden="1">#REF!</definedName>
    <definedName name="__123Graph_APRODTREND" localSheetId="46" hidden="1">#REF!</definedName>
    <definedName name="__123Graph_APRODTREND" localSheetId="30" hidden="1">#REF!</definedName>
    <definedName name="__123Graph_APRODTREND" localSheetId="6" hidden="1">#REF!</definedName>
    <definedName name="__123Graph_APRODTREND" localSheetId="20" hidden="1">#REF!</definedName>
    <definedName name="__123Graph_APRODTREND" localSheetId="43" hidden="1">#REF!</definedName>
    <definedName name="__123Graph_APRODTREND" localSheetId="44" hidden="1">#REF!</definedName>
    <definedName name="__123Graph_APRODTREND" localSheetId="10" hidden="1">#REF!</definedName>
    <definedName name="__123Graph_APRODTREND" localSheetId="14" hidden="1">#REF!</definedName>
    <definedName name="__123Graph_APRODTREND" localSheetId="15" hidden="1">#REF!</definedName>
    <definedName name="__123Graph_APRODTREND" localSheetId="40" hidden="1">#REF!</definedName>
    <definedName name="__123Graph_APRODTREND" localSheetId="12" hidden="1">#REF!</definedName>
    <definedName name="__123Graph_APRODTREND" localSheetId="22" hidden="1">#REF!</definedName>
    <definedName name="__123Graph_APRODTREND" localSheetId="26" hidden="1">#REF!</definedName>
    <definedName name="__123Graph_APRODTREND" localSheetId="19" hidden="1">#REF!</definedName>
    <definedName name="__123Graph_APRODTREND" localSheetId="39" hidden="1">#REF!</definedName>
    <definedName name="__123Graph_APRODTREND" localSheetId="31" hidden="1">#REF!</definedName>
    <definedName name="__123Graph_APRODTREND" localSheetId="41" hidden="1">#REF!</definedName>
    <definedName name="__123Graph_APRODTREND" localSheetId="45" hidden="1">#REF!</definedName>
    <definedName name="__123Graph_APRODTREND" localSheetId="75" hidden="1">#REF!</definedName>
    <definedName name="__123Graph_APRODTREND" localSheetId="80" hidden="1">#REF!</definedName>
    <definedName name="__123Graph_APRODTREND" localSheetId="52" hidden="1">#REF!</definedName>
    <definedName name="__123Graph_APRODTREND" localSheetId="98" hidden="1">#REF!</definedName>
    <definedName name="__123Graph_APRODTREND" localSheetId="77" hidden="1">#REF!</definedName>
    <definedName name="__123Graph_APRODTREND" localSheetId="53" hidden="1">#REF!</definedName>
    <definedName name="__123Graph_APRODTREND" localSheetId="59" hidden="1">#REF!</definedName>
    <definedName name="__123Graph_APRODTREND" localSheetId="92" hidden="1">#REF!</definedName>
    <definedName name="__123Graph_APRODTREND" localSheetId="81" hidden="1">#REF!</definedName>
    <definedName name="__123Graph_APRODTREND" localSheetId="79" hidden="1">#REF!</definedName>
    <definedName name="__123Graph_APRODTREND" localSheetId="89" hidden="1">#REF!</definedName>
    <definedName name="__123Graph_APRODTREND" localSheetId="76" hidden="1">#REF!</definedName>
    <definedName name="__123Graph_APRODTREND" localSheetId="25" hidden="1">#REF!</definedName>
    <definedName name="__123Graph_APRODTREND" localSheetId="34" hidden="1">#REF!</definedName>
    <definedName name="__123Graph_APRODTREND" localSheetId="38" hidden="1">#REF!</definedName>
    <definedName name="__123Graph_APRODTREND" localSheetId="9" hidden="1">#REF!</definedName>
    <definedName name="__123Graph_APRODTREND" localSheetId="24" hidden="1">#REF!</definedName>
    <definedName name="__123Graph_APRODTREND" localSheetId="32" hidden="1">#REF!</definedName>
    <definedName name="__123Graph_APRODTREND" localSheetId="42" hidden="1">#REF!</definedName>
    <definedName name="__123Graph_APRODTREND" localSheetId="29" hidden="1">#REF!</definedName>
    <definedName name="__123Graph_APRODTREND" localSheetId="23" hidden="1">#REF!</definedName>
    <definedName name="__123Graph_APRODTREND" localSheetId="36" hidden="1">#REF!</definedName>
    <definedName name="__123Graph_APRODTREND" localSheetId="8" hidden="1">#REF!</definedName>
    <definedName name="__123Graph_APRODTREND" localSheetId="27" hidden="1">#REF!</definedName>
    <definedName name="__123Graph_APRODTREND" hidden="1">#REF!</definedName>
    <definedName name="__123Graph_AUTRECHT" localSheetId="28" hidden="1">#REF!</definedName>
    <definedName name="__123Graph_AUTRECHT" localSheetId="33" hidden="1">#REF!</definedName>
    <definedName name="__123Graph_AUTRECHT" localSheetId="47" hidden="1">#REF!</definedName>
    <definedName name="__123Graph_AUTRECHT" localSheetId="48" hidden="1">#REF!</definedName>
    <definedName name="__123Graph_AUTRECHT" localSheetId="49" hidden="1">#REF!</definedName>
    <definedName name="__123Graph_AUTRECHT" localSheetId="5" hidden="1">#REF!</definedName>
    <definedName name="__123Graph_AUTRECHT" localSheetId="7" hidden="1">#REF!</definedName>
    <definedName name="__123Graph_AUTRECHT" localSheetId="0" hidden="1">#REF!</definedName>
    <definedName name="__123Graph_AUTRECHT" localSheetId="35" hidden="1">#REF!</definedName>
    <definedName name="__123Graph_AUTRECHT" localSheetId="37" hidden="1">#REF!</definedName>
    <definedName name="__123Graph_AUTRECHT" localSheetId="21" hidden="1">#REF!</definedName>
    <definedName name="__123Graph_AUTRECHT" localSheetId="16" hidden="1">#REF!</definedName>
    <definedName name="__123Graph_AUTRECHT" localSheetId="51" hidden="1">#REF!</definedName>
    <definedName name="__123Graph_AUTRECHT" localSheetId="50" hidden="1">#REF!</definedName>
    <definedName name="__123Graph_AUTRECHT" localSheetId="18" hidden="1">#REF!</definedName>
    <definedName name="__123Graph_AUTRECHT" localSheetId="46" hidden="1">#REF!</definedName>
    <definedName name="__123Graph_AUTRECHT" localSheetId="30" hidden="1">#REF!</definedName>
    <definedName name="__123Graph_AUTRECHT" localSheetId="6" hidden="1">#REF!</definedName>
    <definedName name="__123Graph_AUTRECHT" localSheetId="20" hidden="1">#REF!</definedName>
    <definedName name="__123Graph_AUTRECHT" localSheetId="43" hidden="1">#REF!</definedName>
    <definedName name="__123Graph_AUTRECHT" localSheetId="44" hidden="1">#REF!</definedName>
    <definedName name="__123Graph_AUTRECHT" localSheetId="10" hidden="1">#REF!</definedName>
    <definedName name="__123Graph_AUTRECHT" localSheetId="14" hidden="1">#REF!</definedName>
    <definedName name="__123Graph_AUTRECHT" localSheetId="15" hidden="1">#REF!</definedName>
    <definedName name="__123Graph_AUTRECHT" localSheetId="40" hidden="1">#REF!</definedName>
    <definedName name="__123Graph_AUTRECHT" localSheetId="12" hidden="1">#REF!</definedName>
    <definedName name="__123Graph_AUTRECHT" localSheetId="22" hidden="1">#REF!</definedName>
    <definedName name="__123Graph_AUTRECHT" localSheetId="26" hidden="1">#REF!</definedName>
    <definedName name="__123Graph_AUTRECHT" localSheetId="19" hidden="1">#REF!</definedName>
    <definedName name="__123Graph_AUTRECHT" localSheetId="39" hidden="1">#REF!</definedName>
    <definedName name="__123Graph_AUTRECHT" localSheetId="31" hidden="1">#REF!</definedName>
    <definedName name="__123Graph_AUTRECHT" localSheetId="41" hidden="1">#REF!</definedName>
    <definedName name="__123Graph_AUTRECHT" localSheetId="45" hidden="1">#REF!</definedName>
    <definedName name="__123Graph_AUTRECHT" localSheetId="75" hidden="1">#REF!</definedName>
    <definedName name="__123Graph_AUTRECHT" localSheetId="80" hidden="1">#REF!</definedName>
    <definedName name="__123Graph_AUTRECHT" localSheetId="52" hidden="1">#REF!</definedName>
    <definedName name="__123Graph_AUTRECHT" localSheetId="98" hidden="1">#REF!</definedName>
    <definedName name="__123Graph_AUTRECHT" localSheetId="77" hidden="1">#REF!</definedName>
    <definedName name="__123Graph_AUTRECHT" localSheetId="53" hidden="1">#REF!</definedName>
    <definedName name="__123Graph_AUTRECHT" localSheetId="59" hidden="1">#REF!</definedName>
    <definedName name="__123Graph_AUTRECHT" localSheetId="92" hidden="1">#REF!</definedName>
    <definedName name="__123Graph_AUTRECHT" localSheetId="81" hidden="1">#REF!</definedName>
    <definedName name="__123Graph_AUTRECHT" localSheetId="79" hidden="1">#REF!</definedName>
    <definedName name="__123Graph_AUTRECHT" localSheetId="89" hidden="1">#REF!</definedName>
    <definedName name="__123Graph_AUTRECHT" localSheetId="76" hidden="1">#REF!</definedName>
    <definedName name="__123Graph_AUTRECHT" localSheetId="25" hidden="1">#REF!</definedName>
    <definedName name="__123Graph_AUTRECHT" localSheetId="34" hidden="1">#REF!</definedName>
    <definedName name="__123Graph_AUTRECHT" localSheetId="38" hidden="1">#REF!</definedName>
    <definedName name="__123Graph_AUTRECHT" localSheetId="9" hidden="1">#REF!</definedName>
    <definedName name="__123Graph_AUTRECHT" localSheetId="24" hidden="1">#REF!</definedName>
    <definedName name="__123Graph_AUTRECHT" localSheetId="32" hidden="1">#REF!</definedName>
    <definedName name="__123Graph_AUTRECHT" localSheetId="42" hidden="1">#REF!</definedName>
    <definedName name="__123Graph_AUTRECHT" localSheetId="29" hidden="1">#REF!</definedName>
    <definedName name="__123Graph_AUTRECHT" localSheetId="23" hidden="1">#REF!</definedName>
    <definedName name="__123Graph_AUTRECHT" localSheetId="36" hidden="1">#REF!</definedName>
    <definedName name="__123Graph_AUTRECHT" localSheetId="8" hidden="1">#REF!</definedName>
    <definedName name="__123Graph_AUTRECHT" localSheetId="27" hidden="1">#REF!</definedName>
    <definedName name="__123Graph_AUTRECHT" hidden="1">#REF!</definedName>
    <definedName name="__123Graph_B" localSheetId="28" hidden="1">#REF!</definedName>
    <definedName name="__123Graph_B" localSheetId="33" hidden="1">#REF!</definedName>
    <definedName name="__123Graph_B" localSheetId="47" hidden="1">#REF!</definedName>
    <definedName name="__123Graph_B" localSheetId="48" hidden="1">#REF!</definedName>
    <definedName name="__123Graph_B" localSheetId="49" hidden="1">#REF!</definedName>
    <definedName name="__123Graph_B" localSheetId="5" hidden="1">#REF!</definedName>
    <definedName name="__123Graph_B" localSheetId="7" hidden="1">#REF!</definedName>
    <definedName name="__123Graph_B" localSheetId="0" hidden="1">#REF!</definedName>
    <definedName name="__123Graph_B" localSheetId="35" hidden="1">#REF!</definedName>
    <definedName name="__123Graph_B" localSheetId="37" hidden="1">#REF!</definedName>
    <definedName name="__123Graph_B" localSheetId="21" hidden="1">#REF!</definedName>
    <definedName name="__123Graph_B" localSheetId="16" hidden="1">#REF!</definedName>
    <definedName name="__123Graph_B" localSheetId="51" hidden="1">#REF!</definedName>
    <definedName name="__123Graph_B" localSheetId="50" hidden="1">#REF!</definedName>
    <definedName name="__123Graph_B" localSheetId="18" hidden="1">#REF!</definedName>
    <definedName name="__123Graph_B" localSheetId="46" hidden="1">#REF!</definedName>
    <definedName name="__123Graph_B" localSheetId="30" hidden="1">#REF!</definedName>
    <definedName name="__123Graph_B" localSheetId="6" hidden="1">#REF!</definedName>
    <definedName name="__123Graph_B" localSheetId="20" hidden="1">#REF!</definedName>
    <definedName name="__123Graph_B" localSheetId="43" hidden="1">#REF!</definedName>
    <definedName name="__123Graph_B" localSheetId="44" hidden="1">#REF!</definedName>
    <definedName name="__123Graph_B" localSheetId="10" hidden="1">#REF!</definedName>
    <definedName name="__123Graph_B" localSheetId="14" hidden="1">#REF!</definedName>
    <definedName name="__123Graph_B" localSheetId="15" hidden="1">#REF!</definedName>
    <definedName name="__123Graph_B" localSheetId="40" hidden="1">#REF!</definedName>
    <definedName name="__123Graph_B" localSheetId="12" hidden="1">#REF!</definedName>
    <definedName name="__123Graph_B" localSheetId="22" hidden="1">#REF!</definedName>
    <definedName name="__123Graph_B" localSheetId="26" hidden="1">#REF!</definedName>
    <definedName name="__123Graph_B" localSheetId="19" hidden="1">#REF!</definedName>
    <definedName name="__123Graph_B" localSheetId="39" hidden="1">#REF!</definedName>
    <definedName name="__123Graph_B" localSheetId="31" hidden="1">#REF!</definedName>
    <definedName name="__123Graph_B" localSheetId="41" hidden="1">#REF!</definedName>
    <definedName name="__123Graph_B" localSheetId="45" hidden="1">#REF!</definedName>
    <definedName name="__123Graph_B" localSheetId="75" hidden="1">#REF!</definedName>
    <definedName name="__123Graph_B" localSheetId="80" hidden="1">#REF!</definedName>
    <definedName name="__123Graph_B" localSheetId="52" hidden="1">#REF!</definedName>
    <definedName name="__123Graph_B" localSheetId="98" hidden="1">#REF!</definedName>
    <definedName name="__123Graph_B" localSheetId="77" hidden="1">#REF!</definedName>
    <definedName name="__123Graph_B" localSheetId="53" hidden="1">#REF!</definedName>
    <definedName name="__123Graph_B" localSheetId="59" hidden="1">#REF!</definedName>
    <definedName name="__123Graph_B" localSheetId="92" hidden="1">#REF!</definedName>
    <definedName name="__123Graph_B" localSheetId="81" hidden="1">#REF!</definedName>
    <definedName name="__123Graph_B" localSheetId="56" hidden="1">#REF!</definedName>
    <definedName name="__123Graph_B" localSheetId="79" hidden="1">#REF!</definedName>
    <definedName name="__123Graph_B" localSheetId="89" hidden="1">#REF!</definedName>
    <definedName name="__123Graph_B" localSheetId="76" hidden="1">#REF!</definedName>
    <definedName name="__123Graph_B" localSheetId="25" hidden="1">#REF!</definedName>
    <definedName name="__123Graph_B" localSheetId="34" hidden="1">#REF!</definedName>
    <definedName name="__123Graph_B" localSheetId="38" hidden="1">#REF!</definedName>
    <definedName name="__123Graph_B" localSheetId="9" hidden="1">#REF!</definedName>
    <definedName name="__123Graph_B" localSheetId="24" hidden="1">#REF!</definedName>
    <definedName name="__123Graph_B" localSheetId="32" hidden="1">#REF!</definedName>
    <definedName name="__123Graph_B" localSheetId="42" hidden="1">#REF!</definedName>
    <definedName name="__123Graph_B" localSheetId="29" hidden="1">#REF!</definedName>
    <definedName name="__123Graph_B" localSheetId="23" hidden="1">#REF!</definedName>
    <definedName name="__123Graph_B" localSheetId="36" hidden="1">#REF!</definedName>
    <definedName name="__123Graph_B" localSheetId="8" hidden="1">#REF!</definedName>
    <definedName name="__123Graph_B" localSheetId="27" hidden="1">#REF!</definedName>
    <definedName name="__123Graph_B" hidden="1">#REF!</definedName>
    <definedName name="__123Graph_BBERLGRAP" localSheetId="28" hidden="1">#REF!</definedName>
    <definedName name="__123Graph_BBERLGRAP" localSheetId="33" hidden="1">#REF!</definedName>
    <definedName name="__123Graph_BBERLGRAP" localSheetId="47" hidden="1">#REF!</definedName>
    <definedName name="__123Graph_BBERLGRAP" localSheetId="48" hidden="1">#REF!</definedName>
    <definedName name="__123Graph_BBERLGRAP" localSheetId="49" hidden="1">#REF!</definedName>
    <definedName name="__123Graph_BBERLGRAP" localSheetId="5" hidden="1">#REF!</definedName>
    <definedName name="__123Graph_BBERLGRAP" localSheetId="7" hidden="1">#REF!</definedName>
    <definedName name="__123Graph_BBERLGRAP" localSheetId="0" hidden="1">#REF!</definedName>
    <definedName name="__123Graph_BBERLGRAP" localSheetId="35" hidden="1">#REF!</definedName>
    <definedName name="__123Graph_BBERLGRAP" localSheetId="37" hidden="1">#REF!</definedName>
    <definedName name="__123Graph_BBERLGRAP" localSheetId="21" hidden="1">#REF!</definedName>
    <definedName name="__123Graph_BBERLGRAP" localSheetId="16" hidden="1">#REF!</definedName>
    <definedName name="__123Graph_BBERLGRAP" localSheetId="51" hidden="1">#REF!</definedName>
    <definedName name="__123Graph_BBERLGRAP" localSheetId="50" hidden="1">#REF!</definedName>
    <definedName name="__123Graph_BBERLGRAP" localSheetId="18" hidden="1">#REF!</definedName>
    <definedName name="__123Graph_BBERLGRAP" localSheetId="46" hidden="1">#REF!</definedName>
    <definedName name="__123Graph_BBERLGRAP" localSheetId="30" hidden="1">#REF!</definedName>
    <definedName name="__123Graph_BBERLGRAP" localSheetId="6" hidden="1">#REF!</definedName>
    <definedName name="__123Graph_BBERLGRAP" localSheetId="20" hidden="1">#REF!</definedName>
    <definedName name="__123Graph_BBERLGRAP" localSheetId="43" hidden="1">#REF!</definedName>
    <definedName name="__123Graph_BBERLGRAP" localSheetId="44" hidden="1">#REF!</definedName>
    <definedName name="__123Graph_BBERLGRAP" localSheetId="10" hidden="1">#REF!</definedName>
    <definedName name="__123Graph_BBERLGRAP" localSheetId="14" hidden="1">#REF!</definedName>
    <definedName name="__123Graph_BBERLGRAP" localSheetId="15" hidden="1">#REF!</definedName>
    <definedName name="__123Graph_BBERLGRAP" localSheetId="40" hidden="1">#REF!</definedName>
    <definedName name="__123Graph_BBERLGRAP" localSheetId="12" hidden="1">#REF!</definedName>
    <definedName name="__123Graph_BBERLGRAP" localSheetId="22" hidden="1">#REF!</definedName>
    <definedName name="__123Graph_BBERLGRAP" localSheetId="26" hidden="1">#REF!</definedName>
    <definedName name="__123Graph_BBERLGRAP" localSheetId="19" hidden="1">#REF!</definedName>
    <definedName name="__123Graph_BBERLGRAP" localSheetId="39" hidden="1">#REF!</definedName>
    <definedName name="__123Graph_BBERLGRAP" localSheetId="31" hidden="1">#REF!</definedName>
    <definedName name="__123Graph_BBERLGRAP" localSheetId="41" hidden="1">#REF!</definedName>
    <definedName name="__123Graph_BBERLGRAP" localSheetId="45" hidden="1">#REF!</definedName>
    <definedName name="__123Graph_BBERLGRAP" localSheetId="75" hidden="1">#REF!</definedName>
    <definedName name="__123Graph_BBERLGRAP" localSheetId="80" hidden="1">#REF!</definedName>
    <definedName name="__123Graph_BBERLGRAP" localSheetId="52" hidden="1">#REF!</definedName>
    <definedName name="__123Graph_BBERLGRAP" localSheetId="98" hidden="1">#REF!</definedName>
    <definedName name="__123Graph_BBERLGRAP" localSheetId="77" hidden="1">#REF!</definedName>
    <definedName name="__123Graph_BBERLGRAP" localSheetId="53" hidden="1">#REF!</definedName>
    <definedName name="__123Graph_BBERLGRAP" localSheetId="59" hidden="1">#REF!</definedName>
    <definedName name="__123Graph_BBERLGRAP" localSheetId="92" hidden="1">#REF!</definedName>
    <definedName name="__123Graph_BBERLGRAP" localSheetId="81" hidden="1">#REF!</definedName>
    <definedName name="__123Graph_BBERLGRAP" localSheetId="79" hidden="1">#REF!</definedName>
    <definedName name="__123Graph_BBERLGRAP" localSheetId="89" hidden="1">#REF!</definedName>
    <definedName name="__123Graph_BBERLGRAP" localSheetId="76" hidden="1">#REF!</definedName>
    <definedName name="__123Graph_BBERLGRAP" localSheetId="25" hidden="1">#REF!</definedName>
    <definedName name="__123Graph_BBERLGRAP" localSheetId="34" hidden="1">#REF!</definedName>
    <definedName name="__123Graph_BBERLGRAP" localSheetId="38" hidden="1">#REF!</definedName>
    <definedName name="__123Graph_BBERLGRAP" localSheetId="9" hidden="1">#REF!</definedName>
    <definedName name="__123Graph_BBERLGRAP" localSheetId="24" hidden="1">#REF!</definedName>
    <definedName name="__123Graph_BBERLGRAP" localSheetId="32" hidden="1">#REF!</definedName>
    <definedName name="__123Graph_BBERLGRAP" localSheetId="42" hidden="1">#REF!</definedName>
    <definedName name="__123Graph_BBERLGRAP" localSheetId="29" hidden="1">#REF!</definedName>
    <definedName name="__123Graph_BBERLGRAP" localSheetId="23" hidden="1">#REF!</definedName>
    <definedName name="__123Graph_BBERLGRAP" localSheetId="36" hidden="1">#REF!</definedName>
    <definedName name="__123Graph_BBERLGRAP" localSheetId="8" hidden="1">#REF!</definedName>
    <definedName name="__123Graph_BBERLGRAP" localSheetId="27" hidden="1">#REF!</definedName>
    <definedName name="__123Graph_BBERLGRAP" hidden="1">#REF!</definedName>
    <definedName name="__123Graph_BCATCH1" localSheetId="28" hidden="1">#REF!</definedName>
    <definedName name="__123Graph_BCATCH1" localSheetId="33" hidden="1">#REF!</definedName>
    <definedName name="__123Graph_BCATCH1" localSheetId="47" hidden="1">#REF!</definedName>
    <definedName name="__123Graph_BCATCH1" localSheetId="48" hidden="1">#REF!</definedName>
    <definedName name="__123Graph_BCATCH1" localSheetId="49" hidden="1">#REF!</definedName>
    <definedName name="__123Graph_BCATCH1" localSheetId="5" hidden="1">#REF!</definedName>
    <definedName name="__123Graph_BCATCH1" localSheetId="7" hidden="1">#REF!</definedName>
    <definedName name="__123Graph_BCATCH1" localSheetId="0" hidden="1">#REF!</definedName>
    <definedName name="__123Graph_BCATCH1" localSheetId="35" hidden="1">#REF!</definedName>
    <definedName name="__123Graph_BCATCH1" localSheetId="37" hidden="1">#REF!</definedName>
    <definedName name="__123Graph_BCATCH1" localSheetId="21" hidden="1">#REF!</definedName>
    <definedName name="__123Graph_BCATCH1" localSheetId="16" hidden="1">#REF!</definedName>
    <definedName name="__123Graph_BCATCH1" localSheetId="51" hidden="1">#REF!</definedName>
    <definedName name="__123Graph_BCATCH1" localSheetId="50" hidden="1">#REF!</definedName>
    <definedName name="__123Graph_BCATCH1" localSheetId="18" hidden="1">#REF!</definedName>
    <definedName name="__123Graph_BCATCH1" localSheetId="46" hidden="1">#REF!</definedName>
    <definedName name="__123Graph_BCATCH1" localSheetId="30" hidden="1">#REF!</definedName>
    <definedName name="__123Graph_BCATCH1" localSheetId="6" hidden="1">#REF!</definedName>
    <definedName name="__123Graph_BCATCH1" localSheetId="20" hidden="1">#REF!</definedName>
    <definedName name="__123Graph_BCATCH1" localSheetId="43" hidden="1">#REF!</definedName>
    <definedName name="__123Graph_BCATCH1" localSheetId="44" hidden="1">#REF!</definedName>
    <definedName name="__123Graph_BCATCH1" localSheetId="10" hidden="1">#REF!</definedName>
    <definedName name="__123Graph_BCATCH1" localSheetId="14" hidden="1">#REF!</definedName>
    <definedName name="__123Graph_BCATCH1" localSheetId="15" hidden="1">#REF!</definedName>
    <definedName name="__123Graph_BCATCH1" localSheetId="40" hidden="1">#REF!</definedName>
    <definedName name="__123Graph_BCATCH1" localSheetId="12" hidden="1">#REF!</definedName>
    <definedName name="__123Graph_BCATCH1" localSheetId="22" hidden="1">#REF!</definedName>
    <definedName name="__123Graph_BCATCH1" localSheetId="26" hidden="1">#REF!</definedName>
    <definedName name="__123Graph_BCATCH1" localSheetId="19" hidden="1">#REF!</definedName>
    <definedName name="__123Graph_BCATCH1" localSheetId="39" hidden="1">#REF!</definedName>
    <definedName name="__123Graph_BCATCH1" localSheetId="31" hidden="1">#REF!</definedName>
    <definedName name="__123Graph_BCATCH1" localSheetId="41" hidden="1">#REF!</definedName>
    <definedName name="__123Graph_BCATCH1" localSheetId="45" hidden="1">#REF!</definedName>
    <definedName name="__123Graph_BCATCH1" localSheetId="75" hidden="1">#REF!</definedName>
    <definedName name="__123Graph_BCATCH1" localSheetId="80" hidden="1">#REF!</definedName>
    <definedName name="__123Graph_BCATCH1" localSheetId="52" hidden="1">#REF!</definedName>
    <definedName name="__123Graph_BCATCH1" localSheetId="98" hidden="1">#REF!</definedName>
    <definedName name="__123Graph_BCATCH1" localSheetId="77" hidden="1">#REF!</definedName>
    <definedName name="__123Graph_BCATCH1" localSheetId="53" hidden="1">#REF!</definedName>
    <definedName name="__123Graph_BCATCH1" localSheetId="59" hidden="1">#REF!</definedName>
    <definedName name="__123Graph_BCATCH1" localSheetId="92" hidden="1">#REF!</definedName>
    <definedName name="__123Graph_BCATCH1" localSheetId="81" hidden="1">#REF!</definedName>
    <definedName name="__123Graph_BCATCH1" localSheetId="79" hidden="1">#REF!</definedName>
    <definedName name="__123Graph_BCATCH1" localSheetId="89" hidden="1">#REF!</definedName>
    <definedName name="__123Graph_BCATCH1" localSheetId="76" hidden="1">#REF!</definedName>
    <definedName name="__123Graph_BCATCH1" localSheetId="25" hidden="1">#REF!</definedName>
    <definedName name="__123Graph_BCATCH1" localSheetId="34" hidden="1">#REF!</definedName>
    <definedName name="__123Graph_BCATCH1" localSheetId="38" hidden="1">#REF!</definedName>
    <definedName name="__123Graph_BCATCH1" localSheetId="9" hidden="1">#REF!</definedName>
    <definedName name="__123Graph_BCATCH1" localSheetId="24" hidden="1">#REF!</definedName>
    <definedName name="__123Graph_BCATCH1" localSheetId="32" hidden="1">#REF!</definedName>
    <definedName name="__123Graph_BCATCH1" localSheetId="42" hidden="1">#REF!</definedName>
    <definedName name="__123Graph_BCATCH1" localSheetId="29" hidden="1">#REF!</definedName>
    <definedName name="__123Graph_BCATCH1" localSheetId="23" hidden="1">#REF!</definedName>
    <definedName name="__123Graph_BCATCH1" localSheetId="36" hidden="1">#REF!</definedName>
    <definedName name="__123Graph_BCATCH1" localSheetId="8" hidden="1">#REF!</definedName>
    <definedName name="__123Graph_BCATCH1" localSheetId="27" hidden="1">#REF!</definedName>
    <definedName name="__123Graph_BCATCH1" hidden="1">#REF!</definedName>
    <definedName name="__123Graph_BCONVERG1" localSheetId="28" hidden="1">#REF!</definedName>
    <definedName name="__123Graph_BCONVERG1" localSheetId="33" hidden="1">#REF!</definedName>
    <definedName name="__123Graph_BCONVERG1" localSheetId="47" hidden="1">#REF!</definedName>
    <definedName name="__123Graph_BCONVERG1" localSheetId="48" hidden="1">#REF!</definedName>
    <definedName name="__123Graph_BCONVERG1" localSheetId="49" hidden="1">#REF!</definedName>
    <definedName name="__123Graph_BCONVERG1" localSheetId="5" hidden="1">#REF!</definedName>
    <definedName name="__123Graph_BCONVERG1" localSheetId="7" hidden="1">#REF!</definedName>
    <definedName name="__123Graph_BCONVERG1" localSheetId="0" hidden="1">#REF!</definedName>
    <definedName name="__123Graph_BCONVERG1" localSheetId="35" hidden="1">#REF!</definedName>
    <definedName name="__123Graph_BCONVERG1" localSheetId="37" hidden="1">#REF!</definedName>
    <definedName name="__123Graph_BCONVERG1" localSheetId="21" hidden="1">#REF!</definedName>
    <definedName name="__123Graph_BCONVERG1" localSheetId="16" hidden="1">#REF!</definedName>
    <definedName name="__123Graph_BCONVERG1" localSheetId="51" hidden="1">#REF!</definedName>
    <definedName name="__123Graph_BCONVERG1" localSheetId="50" hidden="1">#REF!</definedName>
    <definedName name="__123Graph_BCONVERG1" localSheetId="18" hidden="1">#REF!</definedName>
    <definedName name="__123Graph_BCONVERG1" localSheetId="46" hidden="1">#REF!</definedName>
    <definedName name="__123Graph_BCONVERG1" localSheetId="30" hidden="1">#REF!</definedName>
    <definedName name="__123Graph_BCONVERG1" localSheetId="6" hidden="1">#REF!</definedName>
    <definedName name="__123Graph_BCONVERG1" localSheetId="20" hidden="1">#REF!</definedName>
    <definedName name="__123Graph_BCONVERG1" localSheetId="43" hidden="1">#REF!</definedName>
    <definedName name="__123Graph_BCONVERG1" localSheetId="44" hidden="1">#REF!</definedName>
    <definedName name="__123Graph_BCONVERG1" localSheetId="10" hidden="1">#REF!</definedName>
    <definedName name="__123Graph_BCONVERG1" localSheetId="14" hidden="1">#REF!</definedName>
    <definedName name="__123Graph_BCONVERG1" localSheetId="15" hidden="1">#REF!</definedName>
    <definedName name="__123Graph_BCONVERG1" localSheetId="40" hidden="1">#REF!</definedName>
    <definedName name="__123Graph_BCONVERG1" localSheetId="12" hidden="1">#REF!</definedName>
    <definedName name="__123Graph_BCONVERG1" localSheetId="22" hidden="1">#REF!</definedName>
    <definedName name="__123Graph_BCONVERG1" localSheetId="26" hidden="1">#REF!</definedName>
    <definedName name="__123Graph_BCONVERG1" localSheetId="19" hidden="1">#REF!</definedName>
    <definedName name="__123Graph_BCONVERG1" localSheetId="39" hidden="1">#REF!</definedName>
    <definedName name="__123Graph_BCONVERG1" localSheetId="31" hidden="1">#REF!</definedName>
    <definedName name="__123Graph_BCONVERG1" localSheetId="41" hidden="1">#REF!</definedName>
    <definedName name="__123Graph_BCONVERG1" localSheetId="45" hidden="1">#REF!</definedName>
    <definedName name="__123Graph_BCONVERG1" localSheetId="75" hidden="1">#REF!</definedName>
    <definedName name="__123Graph_BCONVERG1" localSheetId="80" hidden="1">#REF!</definedName>
    <definedName name="__123Graph_BCONVERG1" localSheetId="52" hidden="1">#REF!</definedName>
    <definedName name="__123Graph_BCONVERG1" localSheetId="98" hidden="1">#REF!</definedName>
    <definedName name="__123Graph_BCONVERG1" localSheetId="77" hidden="1">#REF!</definedName>
    <definedName name="__123Graph_BCONVERG1" localSheetId="53" hidden="1">#REF!</definedName>
    <definedName name="__123Graph_BCONVERG1" localSheetId="59" hidden="1">#REF!</definedName>
    <definedName name="__123Graph_BCONVERG1" localSheetId="92" hidden="1">#REF!</definedName>
    <definedName name="__123Graph_BCONVERG1" localSheetId="81" hidden="1">#REF!</definedName>
    <definedName name="__123Graph_BCONVERG1" localSheetId="79" hidden="1">#REF!</definedName>
    <definedName name="__123Graph_BCONVERG1" localSheetId="89" hidden="1">#REF!</definedName>
    <definedName name="__123Graph_BCONVERG1" localSheetId="76" hidden="1">#REF!</definedName>
    <definedName name="__123Graph_BCONVERG1" localSheetId="25" hidden="1">#REF!</definedName>
    <definedName name="__123Graph_BCONVERG1" localSheetId="34" hidden="1">#REF!</definedName>
    <definedName name="__123Graph_BCONVERG1" localSheetId="38" hidden="1">#REF!</definedName>
    <definedName name="__123Graph_BCONVERG1" localSheetId="9" hidden="1">#REF!</definedName>
    <definedName name="__123Graph_BCONVERG1" localSheetId="24" hidden="1">#REF!</definedName>
    <definedName name="__123Graph_BCONVERG1" localSheetId="32" hidden="1">#REF!</definedName>
    <definedName name="__123Graph_BCONVERG1" localSheetId="42" hidden="1">#REF!</definedName>
    <definedName name="__123Graph_BCONVERG1" localSheetId="29" hidden="1">#REF!</definedName>
    <definedName name="__123Graph_BCONVERG1" localSheetId="23" hidden="1">#REF!</definedName>
    <definedName name="__123Graph_BCONVERG1" localSheetId="36" hidden="1">#REF!</definedName>
    <definedName name="__123Graph_BCONVERG1" localSheetId="8" hidden="1">#REF!</definedName>
    <definedName name="__123Graph_BCONVERG1" localSheetId="27" hidden="1">#REF!</definedName>
    <definedName name="__123Graph_BCONVERG1" hidden="1">#REF!</definedName>
    <definedName name="__123Graph_BECTOT" localSheetId="28" hidden="1">#REF!</definedName>
    <definedName name="__123Graph_BECTOT" localSheetId="33" hidden="1">#REF!</definedName>
    <definedName name="__123Graph_BECTOT" localSheetId="47" hidden="1">#REF!</definedName>
    <definedName name="__123Graph_BECTOT" localSheetId="48" hidden="1">#REF!</definedName>
    <definedName name="__123Graph_BECTOT" localSheetId="49" hidden="1">#REF!</definedName>
    <definedName name="__123Graph_BECTOT" localSheetId="5" hidden="1">#REF!</definedName>
    <definedName name="__123Graph_BECTOT" localSheetId="7" hidden="1">#REF!</definedName>
    <definedName name="__123Graph_BECTOT" localSheetId="0" hidden="1">#REF!</definedName>
    <definedName name="__123Graph_BECTOT" localSheetId="35" hidden="1">#REF!</definedName>
    <definedName name="__123Graph_BECTOT" localSheetId="37" hidden="1">#REF!</definedName>
    <definedName name="__123Graph_BECTOT" localSheetId="21" hidden="1">#REF!</definedName>
    <definedName name="__123Graph_BECTOT" localSheetId="16" hidden="1">#REF!</definedName>
    <definedName name="__123Graph_BECTOT" localSheetId="51" hidden="1">#REF!</definedName>
    <definedName name="__123Graph_BECTOT" localSheetId="50" hidden="1">#REF!</definedName>
    <definedName name="__123Graph_BECTOT" localSheetId="18" hidden="1">#REF!</definedName>
    <definedName name="__123Graph_BECTOT" localSheetId="46" hidden="1">#REF!</definedName>
    <definedName name="__123Graph_BECTOT" localSheetId="30" hidden="1">#REF!</definedName>
    <definedName name="__123Graph_BECTOT" localSheetId="6" hidden="1">#REF!</definedName>
    <definedName name="__123Graph_BECTOT" localSheetId="20" hidden="1">#REF!</definedName>
    <definedName name="__123Graph_BECTOT" localSheetId="43" hidden="1">#REF!</definedName>
    <definedName name="__123Graph_BECTOT" localSheetId="44" hidden="1">#REF!</definedName>
    <definedName name="__123Graph_BECTOT" localSheetId="10" hidden="1">#REF!</definedName>
    <definedName name="__123Graph_BECTOT" localSheetId="14" hidden="1">#REF!</definedName>
    <definedName name="__123Graph_BECTOT" localSheetId="15" hidden="1">#REF!</definedName>
    <definedName name="__123Graph_BECTOT" localSheetId="40" hidden="1">#REF!</definedName>
    <definedName name="__123Graph_BECTOT" localSheetId="12" hidden="1">#REF!</definedName>
    <definedName name="__123Graph_BECTOT" localSheetId="22" hidden="1">#REF!</definedName>
    <definedName name="__123Graph_BECTOT" localSheetId="26" hidden="1">#REF!</definedName>
    <definedName name="__123Graph_BECTOT" localSheetId="19" hidden="1">#REF!</definedName>
    <definedName name="__123Graph_BECTOT" localSheetId="39" hidden="1">#REF!</definedName>
    <definedName name="__123Graph_BECTOT" localSheetId="31" hidden="1">#REF!</definedName>
    <definedName name="__123Graph_BECTOT" localSheetId="41" hidden="1">#REF!</definedName>
    <definedName name="__123Graph_BECTOT" localSheetId="45" hidden="1">#REF!</definedName>
    <definedName name="__123Graph_BECTOT" localSheetId="75" hidden="1">#REF!</definedName>
    <definedName name="__123Graph_BECTOT" localSheetId="80" hidden="1">#REF!</definedName>
    <definedName name="__123Graph_BECTOT" localSheetId="52" hidden="1">#REF!</definedName>
    <definedName name="__123Graph_BECTOT" localSheetId="98" hidden="1">#REF!</definedName>
    <definedName name="__123Graph_BECTOT" localSheetId="77" hidden="1">#REF!</definedName>
    <definedName name="__123Graph_BECTOT" localSheetId="53" hidden="1">#REF!</definedName>
    <definedName name="__123Graph_BECTOT" localSheetId="59" hidden="1">#REF!</definedName>
    <definedName name="__123Graph_BECTOT" localSheetId="92" hidden="1">#REF!</definedName>
    <definedName name="__123Graph_BECTOT" localSheetId="81" hidden="1">#REF!</definedName>
    <definedName name="__123Graph_BECTOT" localSheetId="56" hidden="1">#REF!</definedName>
    <definedName name="__123Graph_BECTOT" localSheetId="79" hidden="1">#REF!</definedName>
    <definedName name="__123Graph_BECTOT" localSheetId="89" hidden="1">#REF!</definedName>
    <definedName name="__123Graph_BECTOT" localSheetId="76" hidden="1">#REF!</definedName>
    <definedName name="__123Graph_BECTOT" localSheetId="25" hidden="1">#REF!</definedName>
    <definedName name="__123Graph_BECTOT" localSheetId="34" hidden="1">#REF!</definedName>
    <definedName name="__123Graph_BECTOT" localSheetId="38" hidden="1">#REF!</definedName>
    <definedName name="__123Graph_BECTOT" localSheetId="9" hidden="1">#REF!</definedName>
    <definedName name="__123Graph_BECTOT" localSheetId="24" hidden="1">#REF!</definedName>
    <definedName name="__123Graph_BECTOT" localSheetId="32" hidden="1">#REF!</definedName>
    <definedName name="__123Graph_BECTOT" localSheetId="42" hidden="1">#REF!</definedName>
    <definedName name="__123Graph_BECTOT" localSheetId="29" hidden="1">#REF!</definedName>
    <definedName name="__123Graph_BECTOT" localSheetId="23" hidden="1">#REF!</definedName>
    <definedName name="__123Graph_BECTOT" localSheetId="36" hidden="1">#REF!</definedName>
    <definedName name="__123Graph_BECTOT" localSheetId="8" hidden="1">#REF!</definedName>
    <definedName name="__123Graph_BECTOT" localSheetId="27" hidden="1">#REF!</definedName>
    <definedName name="__123Graph_BECTOT" hidden="1">#REF!</definedName>
    <definedName name="__123Graph_BGRAPH1" localSheetId="0" hidden="1">'[1]GDP(O)'!$D$2427:$D$2427</definedName>
    <definedName name="__123Graph_BGRAPH1" hidden="1">'[1]GDP(O)'!$D$2427:$D$2427</definedName>
    <definedName name="__123Graph_BGRAPH2" localSheetId="28" hidden="1">#REF!</definedName>
    <definedName name="__123Graph_BGRAPH2" localSheetId="33" hidden="1">#REF!</definedName>
    <definedName name="__123Graph_BGRAPH2" localSheetId="47" hidden="1">#REF!</definedName>
    <definedName name="__123Graph_BGRAPH2" localSheetId="48" hidden="1">#REF!</definedName>
    <definedName name="__123Graph_BGRAPH2" localSheetId="49" hidden="1">#REF!</definedName>
    <definedName name="__123Graph_BGRAPH2" localSheetId="5" hidden="1">#REF!</definedName>
    <definedName name="__123Graph_BGRAPH2" localSheetId="7" hidden="1">#REF!</definedName>
    <definedName name="__123Graph_BGRAPH2" localSheetId="0" hidden="1">#REF!</definedName>
    <definedName name="__123Graph_BGRAPH2" localSheetId="35" hidden="1">#REF!</definedName>
    <definedName name="__123Graph_BGRAPH2" localSheetId="37" hidden="1">#REF!</definedName>
    <definedName name="__123Graph_BGRAPH2" localSheetId="21" hidden="1">#REF!</definedName>
    <definedName name="__123Graph_BGRAPH2" localSheetId="16" hidden="1">#REF!</definedName>
    <definedName name="__123Graph_BGRAPH2" localSheetId="51" hidden="1">#REF!</definedName>
    <definedName name="__123Graph_BGRAPH2" localSheetId="50" hidden="1">#REF!</definedName>
    <definedName name="__123Graph_BGRAPH2" localSheetId="18" hidden="1">#REF!</definedName>
    <definedName name="__123Graph_BGRAPH2" localSheetId="46" hidden="1">#REF!</definedName>
    <definedName name="__123Graph_BGRAPH2" localSheetId="30" hidden="1">#REF!</definedName>
    <definedName name="__123Graph_BGRAPH2" localSheetId="6" hidden="1">#REF!</definedName>
    <definedName name="__123Graph_BGRAPH2" localSheetId="20" hidden="1">#REF!</definedName>
    <definedName name="__123Graph_BGRAPH2" localSheetId="43" hidden="1">#REF!</definedName>
    <definedName name="__123Graph_BGRAPH2" localSheetId="44" hidden="1">#REF!</definedName>
    <definedName name="__123Graph_BGRAPH2" localSheetId="10" hidden="1">#REF!</definedName>
    <definedName name="__123Graph_BGRAPH2" localSheetId="14" hidden="1">#REF!</definedName>
    <definedName name="__123Graph_BGRAPH2" localSheetId="15" hidden="1">#REF!</definedName>
    <definedName name="__123Graph_BGRAPH2" localSheetId="40" hidden="1">#REF!</definedName>
    <definedName name="__123Graph_BGRAPH2" localSheetId="12" hidden="1">#REF!</definedName>
    <definedName name="__123Graph_BGRAPH2" localSheetId="22" hidden="1">#REF!</definedName>
    <definedName name="__123Graph_BGRAPH2" localSheetId="26" hidden="1">#REF!</definedName>
    <definedName name="__123Graph_BGRAPH2" localSheetId="19" hidden="1">#REF!</definedName>
    <definedName name="__123Graph_BGRAPH2" localSheetId="39" hidden="1">#REF!</definedName>
    <definedName name="__123Graph_BGRAPH2" localSheetId="31" hidden="1">#REF!</definedName>
    <definedName name="__123Graph_BGRAPH2" localSheetId="41" hidden="1">#REF!</definedName>
    <definedName name="__123Graph_BGRAPH2" localSheetId="45" hidden="1">#REF!</definedName>
    <definedName name="__123Graph_BGRAPH2" localSheetId="75" hidden="1">#REF!</definedName>
    <definedName name="__123Graph_BGRAPH2" localSheetId="80" hidden="1">#REF!</definedName>
    <definedName name="__123Graph_BGRAPH2" localSheetId="52" hidden="1">#REF!</definedName>
    <definedName name="__123Graph_BGRAPH2" localSheetId="98" hidden="1">#REF!</definedName>
    <definedName name="__123Graph_BGRAPH2" localSheetId="77" hidden="1">#REF!</definedName>
    <definedName name="__123Graph_BGRAPH2" localSheetId="53" hidden="1">#REF!</definedName>
    <definedName name="__123Graph_BGRAPH2" localSheetId="59" hidden="1">#REF!</definedName>
    <definedName name="__123Graph_BGRAPH2" localSheetId="92" hidden="1">#REF!</definedName>
    <definedName name="__123Graph_BGRAPH2" localSheetId="81" hidden="1">#REF!</definedName>
    <definedName name="__123Graph_BGRAPH2" localSheetId="79" hidden="1">#REF!</definedName>
    <definedName name="__123Graph_BGRAPH2" localSheetId="89" hidden="1">#REF!</definedName>
    <definedName name="__123Graph_BGRAPH2" localSheetId="76" hidden="1">#REF!</definedName>
    <definedName name="__123Graph_BGRAPH2" localSheetId="25" hidden="1">#REF!</definedName>
    <definedName name="__123Graph_BGRAPH2" localSheetId="34" hidden="1">#REF!</definedName>
    <definedName name="__123Graph_BGRAPH2" localSheetId="38" hidden="1">#REF!</definedName>
    <definedName name="__123Graph_BGRAPH2" localSheetId="9" hidden="1">#REF!</definedName>
    <definedName name="__123Graph_BGRAPH2" localSheetId="24" hidden="1">#REF!</definedName>
    <definedName name="__123Graph_BGRAPH2" localSheetId="32" hidden="1">#REF!</definedName>
    <definedName name="__123Graph_BGRAPH2" localSheetId="42" hidden="1">#REF!</definedName>
    <definedName name="__123Graph_BGRAPH2" localSheetId="29" hidden="1">#REF!</definedName>
    <definedName name="__123Graph_BGRAPH2" localSheetId="23" hidden="1">#REF!</definedName>
    <definedName name="__123Graph_BGRAPH2" localSheetId="36" hidden="1">#REF!</definedName>
    <definedName name="__123Graph_BGRAPH2" localSheetId="8" hidden="1">#REF!</definedName>
    <definedName name="__123Graph_BGRAPH2" localSheetId="27" hidden="1">#REF!</definedName>
    <definedName name="__123Graph_BGRAPH2" hidden="1">#REF!</definedName>
    <definedName name="__123Graph_BGRAPH41" localSheetId="28" hidden="1">#REF!</definedName>
    <definedName name="__123Graph_BGRAPH41" localSheetId="33" hidden="1">#REF!</definedName>
    <definedName name="__123Graph_BGRAPH41" localSheetId="47" hidden="1">#REF!</definedName>
    <definedName name="__123Graph_BGRAPH41" localSheetId="48" hidden="1">#REF!</definedName>
    <definedName name="__123Graph_BGRAPH41" localSheetId="49" hidden="1">#REF!</definedName>
    <definedName name="__123Graph_BGRAPH41" localSheetId="5" hidden="1">#REF!</definedName>
    <definedName name="__123Graph_BGRAPH41" localSheetId="7" hidden="1">#REF!</definedName>
    <definedName name="__123Graph_BGRAPH41" localSheetId="0" hidden="1">#REF!</definedName>
    <definedName name="__123Graph_BGRAPH41" localSheetId="35" hidden="1">#REF!</definedName>
    <definedName name="__123Graph_BGRAPH41" localSheetId="37" hidden="1">#REF!</definedName>
    <definedName name="__123Graph_BGRAPH41" localSheetId="21" hidden="1">#REF!</definedName>
    <definedName name="__123Graph_BGRAPH41" localSheetId="16" hidden="1">#REF!</definedName>
    <definedName name="__123Graph_BGRAPH41" localSheetId="51" hidden="1">#REF!</definedName>
    <definedName name="__123Graph_BGRAPH41" localSheetId="50" hidden="1">#REF!</definedName>
    <definedName name="__123Graph_BGRAPH41" localSheetId="18" hidden="1">#REF!</definedName>
    <definedName name="__123Graph_BGRAPH41" localSheetId="46" hidden="1">#REF!</definedName>
    <definedName name="__123Graph_BGRAPH41" localSheetId="30" hidden="1">#REF!</definedName>
    <definedName name="__123Graph_BGRAPH41" localSheetId="6" hidden="1">#REF!</definedName>
    <definedName name="__123Graph_BGRAPH41" localSheetId="20" hidden="1">#REF!</definedName>
    <definedName name="__123Graph_BGRAPH41" localSheetId="43" hidden="1">#REF!</definedName>
    <definedName name="__123Graph_BGRAPH41" localSheetId="44" hidden="1">#REF!</definedName>
    <definedName name="__123Graph_BGRAPH41" localSheetId="10" hidden="1">#REF!</definedName>
    <definedName name="__123Graph_BGRAPH41" localSheetId="14" hidden="1">#REF!</definedName>
    <definedName name="__123Graph_BGRAPH41" localSheetId="15" hidden="1">#REF!</definedName>
    <definedName name="__123Graph_BGRAPH41" localSheetId="40" hidden="1">#REF!</definedName>
    <definedName name="__123Graph_BGRAPH41" localSheetId="12" hidden="1">#REF!</definedName>
    <definedName name="__123Graph_BGRAPH41" localSheetId="22" hidden="1">#REF!</definedName>
    <definedName name="__123Graph_BGRAPH41" localSheetId="26" hidden="1">#REF!</definedName>
    <definedName name="__123Graph_BGRAPH41" localSheetId="19" hidden="1">#REF!</definedName>
    <definedName name="__123Graph_BGRAPH41" localSheetId="39" hidden="1">#REF!</definedName>
    <definedName name="__123Graph_BGRAPH41" localSheetId="31" hidden="1">#REF!</definedName>
    <definedName name="__123Graph_BGRAPH41" localSheetId="41" hidden="1">#REF!</definedName>
    <definedName name="__123Graph_BGRAPH41" localSheetId="45" hidden="1">#REF!</definedName>
    <definedName name="__123Graph_BGRAPH41" localSheetId="75" hidden="1">#REF!</definedName>
    <definedName name="__123Graph_BGRAPH41" localSheetId="80" hidden="1">#REF!</definedName>
    <definedName name="__123Graph_BGRAPH41" localSheetId="52" hidden="1">#REF!</definedName>
    <definedName name="__123Graph_BGRAPH41" localSheetId="98" hidden="1">#REF!</definedName>
    <definedName name="__123Graph_BGRAPH41" localSheetId="77" hidden="1">#REF!</definedName>
    <definedName name="__123Graph_BGRAPH41" localSheetId="53" hidden="1">#REF!</definedName>
    <definedName name="__123Graph_BGRAPH41" localSheetId="59" hidden="1">#REF!</definedName>
    <definedName name="__123Graph_BGRAPH41" localSheetId="92" hidden="1">#REF!</definedName>
    <definedName name="__123Graph_BGRAPH41" localSheetId="81" hidden="1">#REF!</definedName>
    <definedName name="__123Graph_BGRAPH41" localSheetId="79" hidden="1">#REF!</definedName>
    <definedName name="__123Graph_BGRAPH41" localSheetId="89" hidden="1">#REF!</definedName>
    <definedName name="__123Graph_BGRAPH41" localSheetId="76" hidden="1">#REF!</definedName>
    <definedName name="__123Graph_BGRAPH41" localSheetId="25" hidden="1">#REF!</definedName>
    <definedName name="__123Graph_BGRAPH41" localSheetId="34" hidden="1">#REF!</definedName>
    <definedName name="__123Graph_BGRAPH41" localSheetId="38" hidden="1">#REF!</definedName>
    <definedName name="__123Graph_BGRAPH41" localSheetId="9" hidden="1">#REF!</definedName>
    <definedName name="__123Graph_BGRAPH41" localSheetId="24" hidden="1">#REF!</definedName>
    <definedName name="__123Graph_BGRAPH41" localSheetId="32" hidden="1">#REF!</definedName>
    <definedName name="__123Graph_BGRAPH41" localSheetId="42" hidden="1">#REF!</definedName>
    <definedName name="__123Graph_BGRAPH41" localSheetId="29" hidden="1">#REF!</definedName>
    <definedName name="__123Graph_BGRAPH41" localSheetId="23" hidden="1">#REF!</definedName>
    <definedName name="__123Graph_BGRAPH41" localSheetId="36" hidden="1">#REF!</definedName>
    <definedName name="__123Graph_BGRAPH41" localSheetId="8" hidden="1">#REF!</definedName>
    <definedName name="__123Graph_BGRAPH41" localSheetId="27" hidden="1">#REF!</definedName>
    <definedName name="__123Graph_BGRAPH41" hidden="1">#REF!</definedName>
    <definedName name="__123Graph_BPERIB" localSheetId="28" hidden="1">#REF!</definedName>
    <definedName name="__123Graph_BPERIB" localSheetId="33" hidden="1">#REF!</definedName>
    <definedName name="__123Graph_BPERIB" localSheetId="47" hidden="1">#REF!</definedName>
    <definedName name="__123Graph_BPERIB" localSheetId="48" hidden="1">#REF!</definedName>
    <definedName name="__123Graph_BPERIB" localSheetId="49" hidden="1">#REF!</definedName>
    <definedName name="__123Graph_BPERIB" localSheetId="5" hidden="1">#REF!</definedName>
    <definedName name="__123Graph_BPERIB" localSheetId="7" hidden="1">#REF!</definedName>
    <definedName name="__123Graph_BPERIB" localSheetId="0" hidden="1">#REF!</definedName>
    <definedName name="__123Graph_BPERIB" localSheetId="35" hidden="1">#REF!</definedName>
    <definedName name="__123Graph_BPERIB" localSheetId="37" hidden="1">#REF!</definedName>
    <definedName name="__123Graph_BPERIB" localSheetId="21" hidden="1">#REF!</definedName>
    <definedName name="__123Graph_BPERIB" localSheetId="16" hidden="1">#REF!</definedName>
    <definedName name="__123Graph_BPERIB" localSheetId="51" hidden="1">#REF!</definedName>
    <definedName name="__123Graph_BPERIB" localSheetId="50" hidden="1">#REF!</definedName>
    <definedName name="__123Graph_BPERIB" localSheetId="18" hidden="1">#REF!</definedName>
    <definedName name="__123Graph_BPERIB" localSheetId="46" hidden="1">#REF!</definedName>
    <definedName name="__123Graph_BPERIB" localSheetId="30" hidden="1">#REF!</definedName>
    <definedName name="__123Graph_BPERIB" localSheetId="6" hidden="1">#REF!</definedName>
    <definedName name="__123Graph_BPERIB" localSheetId="20" hidden="1">#REF!</definedName>
    <definedName name="__123Graph_BPERIB" localSheetId="43" hidden="1">#REF!</definedName>
    <definedName name="__123Graph_BPERIB" localSheetId="44" hidden="1">#REF!</definedName>
    <definedName name="__123Graph_BPERIB" localSheetId="10" hidden="1">#REF!</definedName>
    <definedName name="__123Graph_BPERIB" localSheetId="14" hidden="1">#REF!</definedName>
    <definedName name="__123Graph_BPERIB" localSheetId="15" hidden="1">#REF!</definedName>
    <definedName name="__123Graph_BPERIB" localSheetId="40" hidden="1">#REF!</definedName>
    <definedName name="__123Graph_BPERIB" localSheetId="12" hidden="1">#REF!</definedName>
    <definedName name="__123Graph_BPERIB" localSheetId="22" hidden="1">#REF!</definedName>
    <definedName name="__123Graph_BPERIB" localSheetId="26" hidden="1">#REF!</definedName>
    <definedName name="__123Graph_BPERIB" localSheetId="19" hidden="1">#REF!</definedName>
    <definedName name="__123Graph_BPERIB" localSheetId="39" hidden="1">#REF!</definedName>
    <definedName name="__123Graph_BPERIB" localSheetId="31" hidden="1">#REF!</definedName>
    <definedName name="__123Graph_BPERIB" localSheetId="41" hidden="1">#REF!</definedName>
    <definedName name="__123Graph_BPERIB" localSheetId="45" hidden="1">#REF!</definedName>
    <definedName name="__123Graph_BPERIB" localSheetId="75" hidden="1">#REF!</definedName>
    <definedName name="__123Graph_BPERIB" localSheetId="80" hidden="1">#REF!</definedName>
    <definedName name="__123Graph_BPERIB" localSheetId="52" hidden="1">#REF!</definedName>
    <definedName name="__123Graph_BPERIB" localSheetId="98" hidden="1">#REF!</definedName>
    <definedName name="__123Graph_BPERIB" localSheetId="77" hidden="1">#REF!</definedName>
    <definedName name="__123Graph_BPERIB" localSheetId="53" hidden="1">#REF!</definedName>
    <definedName name="__123Graph_BPERIB" localSheetId="59" hidden="1">#REF!</definedName>
    <definedName name="__123Graph_BPERIB" localSheetId="92" hidden="1">#REF!</definedName>
    <definedName name="__123Graph_BPERIB" localSheetId="81" hidden="1">#REF!</definedName>
    <definedName name="__123Graph_BPERIB" localSheetId="79" hidden="1">#REF!</definedName>
    <definedName name="__123Graph_BPERIB" localSheetId="89" hidden="1">#REF!</definedName>
    <definedName name="__123Graph_BPERIB" localSheetId="76" hidden="1">#REF!</definedName>
    <definedName name="__123Graph_BPERIB" localSheetId="25" hidden="1">#REF!</definedName>
    <definedName name="__123Graph_BPERIB" localSheetId="34" hidden="1">#REF!</definedName>
    <definedName name="__123Graph_BPERIB" localSheetId="38" hidden="1">#REF!</definedName>
    <definedName name="__123Graph_BPERIB" localSheetId="9" hidden="1">#REF!</definedName>
    <definedName name="__123Graph_BPERIB" localSheetId="24" hidden="1">#REF!</definedName>
    <definedName name="__123Graph_BPERIB" localSheetId="32" hidden="1">#REF!</definedName>
    <definedName name="__123Graph_BPERIB" localSheetId="42" hidden="1">#REF!</definedName>
    <definedName name="__123Graph_BPERIB" localSheetId="29" hidden="1">#REF!</definedName>
    <definedName name="__123Graph_BPERIB" localSheetId="23" hidden="1">#REF!</definedName>
    <definedName name="__123Graph_BPERIB" localSheetId="36" hidden="1">#REF!</definedName>
    <definedName name="__123Graph_BPERIB" localSheetId="8" hidden="1">#REF!</definedName>
    <definedName name="__123Graph_BPERIB" localSheetId="27" hidden="1">#REF!</definedName>
    <definedName name="__123Graph_BPERIB" hidden="1">#REF!</definedName>
    <definedName name="__123Graph_BPRODABSC" localSheetId="28" hidden="1">#REF!</definedName>
    <definedName name="__123Graph_BPRODABSC" localSheetId="33" hidden="1">#REF!</definedName>
    <definedName name="__123Graph_BPRODABSC" localSheetId="47" hidden="1">#REF!</definedName>
    <definedName name="__123Graph_BPRODABSC" localSheetId="48" hidden="1">#REF!</definedName>
    <definedName name="__123Graph_BPRODABSC" localSheetId="49" hidden="1">#REF!</definedName>
    <definedName name="__123Graph_BPRODABSC" localSheetId="5" hidden="1">#REF!</definedName>
    <definedName name="__123Graph_BPRODABSC" localSheetId="7" hidden="1">#REF!</definedName>
    <definedName name="__123Graph_BPRODABSC" localSheetId="0" hidden="1">#REF!</definedName>
    <definedName name="__123Graph_BPRODABSC" localSheetId="35" hidden="1">#REF!</definedName>
    <definedName name="__123Graph_BPRODABSC" localSheetId="37" hidden="1">#REF!</definedName>
    <definedName name="__123Graph_BPRODABSC" localSheetId="21" hidden="1">#REF!</definedName>
    <definedName name="__123Graph_BPRODABSC" localSheetId="16" hidden="1">#REF!</definedName>
    <definedName name="__123Graph_BPRODABSC" localSheetId="51" hidden="1">#REF!</definedName>
    <definedName name="__123Graph_BPRODABSC" localSheetId="50" hidden="1">#REF!</definedName>
    <definedName name="__123Graph_BPRODABSC" localSheetId="18" hidden="1">#REF!</definedName>
    <definedName name="__123Graph_BPRODABSC" localSheetId="46" hidden="1">#REF!</definedName>
    <definedName name="__123Graph_BPRODABSC" localSheetId="30" hidden="1">#REF!</definedName>
    <definedName name="__123Graph_BPRODABSC" localSheetId="6" hidden="1">#REF!</definedName>
    <definedName name="__123Graph_BPRODABSC" localSheetId="20" hidden="1">#REF!</definedName>
    <definedName name="__123Graph_BPRODABSC" localSheetId="43" hidden="1">#REF!</definedName>
    <definedName name="__123Graph_BPRODABSC" localSheetId="44" hidden="1">#REF!</definedName>
    <definedName name="__123Graph_BPRODABSC" localSheetId="10" hidden="1">#REF!</definedName>
    <definedName name="__123Graph_BPRODABSC" localSheetId="14" hidden="1">#REF!</definedName>
    <definedName name="__123Graph_BPRODABSC" localSheetId="15" hidden="1">#REF!</definedName>
    <definedName name="__123Graph_BPRODABSC" localSheetId="40" hidden="1">#REF!</definedName>
    <definedName name="__123Graph_BPRODABSC" localSheetId="12" hidden="1">#REF!</definedName>
    <definedName name="__123Graph_BPRODABSC" localSheetId="22" hidden="1">#REF!</definedName>
    <definedName name="__123Graph_BPRODABSC" localSheetId="26" hidden="1">#REF!</definedName>
    <definedName name="__123Graph_BPRODABSC" localSheetId="19" hidden="1">#REF!</definedName>
    <definedName name="__123Graph_BPRODABSC" localSheetId="39" hidden="1">#REF!</definedName>
    <definedName name="__123Graph_BPRODABSC" localSheetId="31" hidden="1">#REF!</definedName>
    <definedName name="__123Graph_BPRODABSC" localSheetId="41" hidden="1">#REF!</definedName>
    <definedName name="__123Graph_BPRODABSC" localSheetId="45" hidden="1">#REF!</definedName>
    <definedName name="__123Graph_BPRODABSC" localSheetId="75" hidden="1">#REF!</definedName>
    <definedName name="__123Graph_BPRODABSC" localSheetId="80" hidden="1">#REF!</definedName>
    <definedName name="__123Graph_BPRODABSC" localSheetId="52" hidden="1">#REF!</definedName>
    <definedName name="__123Graph_BPRODABSC" localSheetId="98" hidden="1">#REF!</definedName>
    <definedName name="__123Graph_BPRODABSC" localSheetId="77" hidden="1">#REF!</definedName>
    <definedName name="__123Graph_BPRODABSC" localSheetId="53" hidden="1">#REF!</definedName>
    <definedName name="__123Graph_BPRODABSC" localSheetId="59" hidden="1">#REF!</definedName>
    <definedName name="__123Graph_BPRODABSC" localSheetId="92" hidden="1">#REF!</definedName>
    <definedName name="__123Graph_BPRODABSC" localSheetId="81" hidden="1">#REF!</definedName>
    <definedName name="__123Graph_BPRODABSC" localSheetId="79" hidden="1">#REF!</definedName>
    <definedName name="__123Graph_BPRODABSC" localSheetId="89" hidden="1">#REF!</definedName>
    <definedName name="__123Graph_BPRODABSC" localSheetId="76" hidden="1">#REF!</definedName>
    <definedName name="__123Graph_BPRODABSC" localSheetId="25" hidden="1">#REF!</definedName>
    <definedName name="__123Graph_BPRODABSC" localSheetId="34" hidden="1">#REF!</definedName>
    <definedName name="__123Graph_BPRODABSC" localSheetId="38" hidden="1">#REF!</definedName>
    <definedName name="__123Graph_BPRODABSC" localSheetId="9" hidden="1">#REF!</definedName>
    <definedName name="__123Graph_BPRODABSC" localSheetId="24" hidden="1">#REF!</definedName>
    <definedName name="__123Graph_BPRODABSC" localSheetId="32" hidden="1">#REF!</definedName>
    <definedName name="__123Graph_BPRODABSC" localSheetId="42" hidden="1">#REF!</definedName>
    <definedName name="__123Graph_BPRODABSC" localSheetId="29" hidden="1">#REF!</definedName>
    <definedName name="__123Graph_BPRODABSC" localSheetId="23" hidden="1">#REF!</definedName>
    <definedName name="__123Graph_BPRODABSC" localSheetId="36" hidden="1">#REF!</definedName>
    <definedName name="__123Graph_BPRODABSC" localSheetId="8" hidden="1">#REF!</definedName>
    <definedName name="__123Graph_BPRODABSC" localSheetId="27" hidden="1">#REF!</definedName>
    <definedName name="__123Graph_BPRODABSC" hidden="1">#REF!</definedName>
    <definedName name="__123Graph_BPRODABSD" localSheetId="28" hidden="1">#REF!</definedName>
    <definedName name="__123Graph_BPRODABSD" localSheetId="33" hidden="1">#REF!</definedName>
    <definedName name="__123Graph_BPRODABSD" localSheetId="47" hidden="1">#REF!</definedName>
    <definedName name="__123Graph_BPRODABSD" localSheetId="48" hidden="1">#REF!</definedName>
    <definedName name="__123Graph_BPRODABSD" localSheetId="49" hidden="1">#REF!</definedName>
    <definedName name="__123Graph_BPRODABSD" localSheetId="5" hidden="1">#REF!</definedName>
    <definedName name="__123Graph_BPRODABSD" localSheetId="7" hidden="1">#REF!</definedName>
    <definedName name="__123Graph_BPRODABSD" localSheetId="0" hidden="1">#REF!</definedName>
    <definedName name="__123Graph_BPRODABSD" localSheetId="35" hidden="1">#REF!</definedName>
    <definedName name="__123Graph_BPRODABSD" localSheetId="37" hidden="1">#REF!</definedName>
    <definedName name="__123Graph_BPRODABSD" localSheetId="21" hidden="1">#REF!</definedName>
    <definedName name="__123Graph_BPRODABSD" localSheetId="16" hidden="1">#REF!</definedName>
    <definedName name="__123Graph_BPRODABSD" localSheetId="51" hidden="1">#REF!</definedName>
    <definedName name="__123Graph_BPRODABSD" localSheetId="50" hidden="1">#REF!</definedName>
    <definedName name="__123Graph_BPRODABSD" localSheetId="18" hidden="1">#REF!</definedName>
    <definedName name="__123Graph_BPRODABSD" localSheetId="46" hidden="1">#REF!</definedName>
    <definedName name="__123Graph_BPRODABSD" localSheetId="30" hidden="1">#REF!</definedName>
    <definedName name="__123Graph_BPRODABSD" localSheetId="6" hidden="1">#REF!</definedName>
    <definedName name="__123Graph_BPRODABSD" localSheetId="20" hidden="1">#REF!</definedName>
    <definedName name="__123Graph_BPRODABSD" localSheetId="43" hidden="1">#REF!</definedName>
    <definedName name="__123Graph_BPRODABSD" localSheetId="44" hidden="1">#REF!</definedName>
    <definedName name="__123Graph_BPRODABSD" localSheetId="10" hidden="1">#REF!</definedName>
    <definedName name="__123Graph_BPRODABSD" localSheetId="14" hidden="1">#REF!</definedName>
    <definedName name="__123Graph_BPRODABSD" localSheetId="15" hidden="1">#REF!</definedName>
    <definedName name="__123Graph_BPRODABSD" localSheetId="40" hidden="1">#REF!</definedName>
    <definedName name="__123Graph_BPRODABSD" localSheetId="12" hidden="1">#REF!</definedName>
    <definedName name="__123Graph_BPRODABSD" localSheetId="22" hidden="1">#REF!</definedName>
    <definedName name="__123Graph_BPRODABSD" localSheetId="26" hidden="1">#REF!</definedName>
    <definedName name="__123Graph_BPRODABSD" localSheetId="19" hidden="1">#REF!</definedName>
    <definedName name="__123Graph_BPRODABSD" localSheetId="39" hidden="1">#REF!</definedName>
    <definedName name="__123Graph_BPRODABSD" localSheetId="31" hidden="1">#REF!</definedName>
    <definedName name="__123Graph_BPRODABSD" localSheetId="41" hidden="1">#REF!</definedName>
    <definedName name="__123Graph_BPRODABSD" localSheetId="45" hidden="1">#REF!</definedName>
    <definedName name="__123Graph_BPRODABSD" localSheetId="75" hidden="1">#REF!</definedName>
    <definedName name="__123Graph_BPRODABSD" localSheetId="80" hidden="1">#REF!</definedName>
    <definedName name="__123Graph_BPRODABSD" localSheetId="52" hidden="1">#REF!</definedName>
    <definedName name="__123Graph_BPRODABSD" localSheetId="98" hidden="1">#REF!</definedName>
    <definedName name="__123Graph_BPRODABSD" localSheetId="77" hidden="1">#REF!</definedName>
    <definedName name="__123Graph_BPRODABSD" localSheetId="53" hidden="1">#REF!</definedName>
    <definedName name="__123Graph_BPRODABSD" localSheetId="59" hidden="1">#REF!</definedName>
    <definedName name="__123Graph_BPRODABSD" localSheetId="92" hidden="1">#REF!</definedName>
    <definedName name="__123Graph_BPRODABSD" localSheetId="81" hidden="1">#REF!</definedName>
    <definedName name="__123Graph_BPRODABSD" localSheetId="79" hidden="1">#REF!</definedName>
    <definedName name="__123Graph_BPRODABSD" localSheetId="89" hidden="1">#REF!</definedName>
    <definedName name="__123Graph_BPRODABSD" localSheetId="76" hidden="1">#REF!</definedName>
    <definedName name="__123Graph_BPRODABSD" localSheetId="25" hidden="1">#REF!</definedName>
    <definedName name="__123Graph_BPRODABSD" localSheetId="34" hidden="1">#REF!</definedName>
    <definedName name="__123Graph_BPRODABSD" localSheetId="38" hidden="1">#REF!</definedName>
    <definedName name="__123Graph_BPRODABSD" localSheetId="9" hidden="1">#REF!</definedName>
    <definedName name="__123Graph_BPRODABSD" localSheetId="24" hidden="1">#REF!</definedName>
    <definedName name="__123Graph_BPRODABSD" localSheetId="32" hidden="1">#REF!</definedName>
    <definedName name="__123Graph_BPRODABSD" localSheetId="42" hidden="1">#REF!</definedName>
    <definedName name="__123Graph_BPRODABSD" localSheetId="29" hidden="1">#REF!</definedName>
    <definedName name="__123Graph_BPRODABSD" localSheetId="23" hidden="1">#REF!</definedName>
    <definedName name="__123Graph_BPRODABSD" localSheetId="36" hidden="1">#REF!</definedName>
    <definedName name="__123Graph_BPRODABSD" localSheetId="8" hidden="1">#REF!</definedName>
    <definedName name="__123Graph_BPRODABSD" localSheetId="27" hidden="1">#REF!</definedName>
    <definedName name="__123Graph_BPRODABSD" hidden="1">#REF!</definedName>
    <definedName name="__123Graph_C" localSheetId="28" hidden="1">#REF!</definedName>
    <definedName name="__123Graph_C" localSheetId="33" hidden="1">#REF!</definedName>
    <definedName name="__123Graph_C" localSheetId="47" hidden="1">#REF!</definedName>
    <definedName name="__123Graph_C" localSheetId="48" hidden="1">#REF!</definedName>
    <definedName name="__123Graph_C" localSheetId="49" hidden="1">#REF!</definedName>
    <definedName name="__123Graph_C" localSheetId="5" hidden="1">#REF!</definedName>
    <definedName name="__123Graph_C" localSheetId="7" hidden="1">#REF!</definedName>
    <definedName name="__123Graph_C" localSheetId="0" hidden="1">#REF!</definedName>
    <definedName name="__123Graph_C" localSheetId="35" hidden="1">#REF!</definedName>
    <definedName name="__123Graph_C" localSheetId="37" hidden="1">#REF!</definedName>
    <definedName name="__123Graph_C" localSheetId="21" hidden="1">#REF!</definedName>
    <definedName name="__123Graph_C" localSheetId="16" hidden="1">#REF!</definedName>
    <definedName name="__123Graph_C" localSheetId="51" hidden="1">#REF!</definedName>
    <definedName name="__123Graph_C" localSheetId="50" hidden="1">#REF!</definedName>
    <definedName name="__123Graph_C" localSheetId="18" hidden="1">#REF!</definedName>
    <definedName name="__123Graph_C" localSheetId="46" hidden="1">#REF!</definedName>
    <definedName name="__123Graph_C" localSheetId="30" hidden="1">#REF!</definedName>
    <definedName name="__123Graph_C" localSheetId="6" hidden="1">#REF!</definedName>
    <definedName name="__123Graph_C" localSheetId="20" hidden="1">#REF!</definedName>
    <definedName name="__123Graph_C" localSheetId="43" hidden="1">#REF!</definedName>
    <definedName name="__123Graph_C" localSheetId="44" hidden="1">#REF!</definedName>
    <definedName name="__123Graph_C" localSheetId="10" hidden="1">#REF!</definedName>
    <definedName name="__123Graph_C" localSheetId="14" hidden="1">#REF!</definedName>
    <definedName name="__123Graph_C" localSheetId="15" hidden="1">#REF!</definedName>
    <definedName name="__123Graph_C" localSheetId="40" hidden="1">#REF!</definedName>
    <definedName name="__123Graph_C" localSheetId="12" hidden="1">#REF!</definedName>
    <definedName name="__123Graph_C" localSheetId="22" hidden="1">#REF!</definedName>
    <definedName name="__123Graph_C" localSheetId="26" hidden="1">#REF!</definedName>
    <definedName name="__123Graph_C" localSheetId="19" hidden="1">#REF!</definedName>
    <definedName name="__123Graph_C" localSheetId="39" hidden="1">#REF!</definedName>
    <definedName name="__123Graph_C" localSheetId="31" hidden="1">#REF!</definedName>
    <definedName name="__123Graph_C" localSheetId="41" hidden="1">#REF!</definedName>
    <definedName name="__123Graph_C" localSheetId="45" hidden="1">#REF!</definedName>
    <definedName name="__123Graph_C" localSheetId="75" hidden="1">#REF!</definedName>
    <definedName name="__123Graph_C" localSheetId="80" hidden="1">#REF!</definedName>
    <definedName name="__123Graph_C" localSheetId="52" hidden="1">#REF!</definedName>
    <definedName name="__123Graph_C" localSheetId="98" hidden="1">#REF!</definedName>
    <definedName name="__123Graph_C" localSheetId="77" hidden="1">#REF!</definedName>
    <definedName name="__123Graph_C" localSheetId="53" hidden="1">#REF!</definedName>
    <definedName name="__123Graph_C" localSheetId="59" hidden="1">#REF!</definedName>
    <definedName name="__123Graph_C" localSheetId="92" hidden="1">#REF!</definedName>
    <definedName name="__123Graph_C" localSheetId="81" hidden="1">#REF!</definedName>
    <definedName name="__123Graph_C" localSheetId="56" hidden="1">#REF!</definedName>
    <definedName name="__123Graph_C" localSheetId="79" hidden="1">#REF!</definedName>
    <definedName name="__123Graph_C" localSheetId="89" hidden="1">#REF!</definedName>
    <definedName name="__123Graph_C" localSheetId="76" hidden="1">#REF!</definedName>
    <definedName name="__123Graph_C" localSheetId="25" hidden="1">#REF!</definedName>
    <definedName name="__123Graph_C" localSheetId="34" hidden="1">#REF!</definedName>
    <definedName name="__123Graph_C" localSheetId="38" hidden="1">#REF!</definedName>
    <definedName name="__123Graph_C" localSheetId="9" hidden="1">#REF!</definedName>
    <definedName name="__123Graph_C" localSheetId="24" hidden="1">#REF!</definedName>
    <definedName name="__123Graph_C" localSheetId="32" hidden="1">#REF!</definedName>
    <definedName name="__123Graph_C" localSheetId="42" hidden="1">#REF!</definedName>
    <definedName name="__123Graph_C" localSheetId="29" hidden="1">#REF!</definedName>
    <definedName name="__123Graph_C" localSheetId="23" hidden="1">#REF!</definedName>
    <definedName name="__123Graph_C" localSheetId="36" hidden="1">#REF!</definedName>
    <definedName name="__123Graph_C" localSheetId="8" hidden="1">#REF!</definedName>
    <definedName name="__123Graph_C" localSheetId="27" hidden="1">#REF!</definedName>
    <definedName name="__123Graph_C" hidden="1">#REF!</definedName>
    <definedName name="__123Graph_CBERLGRAP" localSheetId="28" hidden="1">#REF!</definedName>
    <definedName name="__123Graph_CBERLGRAP" localSheetId="33" hidden="1">#REF!</definedName>
    <definedName name="__123Graph_CBERLGRAP" localSheetId="47" hidden="1">#REF!</definedName>
    <definedName name="__123Graph_CBERLGRAP" localSheetId="48" hidden="1">#REF!</definedName>
    <definedName name="__123Graph_CBERLGRAP" localSheetId="49" hidden="1">#REF!</definedName>
    <definedName name="__123Graph_CBERLGRAP" localSheetId="5" hidden="1">#REF!</definedName>
    <definedName name="__123Graph_CBERLGRAP" localSheetId="7" hidden="1">#REF!</definedName>
    <definedName name="__123Graph_CBERLGRAP" localSheetId="0" hidden="1">#REF!</definedName>
    <definedName name="__123Graph_CBERLGRAP" localSheetId="35" hidden="1">#REF!</definedName>
    <definedName name="__123Graph_CBERLGRAP" localSheetId="37" hidden="1">#REF!</definedName>
    <definedName name="__123Graph_CBERLGRAP" localSheetId="21" hidden="1">#REF!</definedName>
    <definedName name="__123Graph_CBERLGRAP" localSheetId="16" hidden="1">#REF!</definedName>
    <definedName name="__123Graph_CBERLGRAP" localSheetId="51" hidden="1">#REF!</definedName>
    <definedName name="__123Graph_CBERLGRAP" localSheetId="50" hidden="1">#REF!</definedName>
    <definedName name="__123Graph_CBERLGRAP" localSheetId="18" hidden="1">#REF!</definedName>
    <definedName name="__123Graph_CBERLGRAP" localSheetId="46" hidden="1">#REF!</definedName>
    <definedName name="__123Graph_CBERLGRAP" localSheetId="30" hidden="1">#REF!</definedName>
    <definedName name="__123Graph_CBERLGRAP" localSheetId="6" hidden="1">#REF!</definedName>
    <definedName name="__123Graph_CBERLGRAP" localSheetId="20" hidden="1">#REF!</definedName>
    <definedName name="__123Graph_CBERLGRAP" localSheetId="43" hidden="1">#REF!</definedName>
    <definedName name="__123Graph_CBERLGRAP" localSheetId="44" hidden="1">#REF!</definedName>
    <definedName name="__123Graph_CBERLGRAP" localSheetId="10" hidden="1">#REF!</definedName>
    <definedName name="__123Graph_CBERLGRAP" localSheetId="14" hidden="1">#REF!</definedName>
    <definedName name="__123Graph_CBERLGRAP" localSheetId="15" hidden="1">#REF!</definedName>
    <definedName name="__123Graph_CBERLGRAP" localSheetId="40" hidden="1">#REF!</definedName>
    <definedName name="__123Graph_CBERLGRAP" localSheetId="12" hidden="1">#REF!</definedName>
    <definedName name="__123Graph_CBERLGRAP" localSheetId="22" hidden="1">#REF!</definedName>
    <definedName name="__123Graph_CBERLGRAP" localSheetId="26" hidden="1">#REF!</definedName>
    <definedName name="__123Graph_CBERLGRAP" localSheetId="19" hidden="1">#REF!</definedName>
    <definedName name="__123Graph_CBERLGRAP" localSheetId="39" hidden="1">#REF!</definedName>
    <definedName name="__123Graph_CBERLGRAP" localSheetId="31" hidden="1">#REF!</definedName>
    <definedName name="__123Graph_CBERLGRAP" localSheetId="41" hidden="1">#REF!</definedName>
    <definedName name="__123Graph_CBERLGRAP" localSheetId="45" hidden="1">#REF!</definedName>
    <definedName name="__123Graph_CBERLGRAP" localSheetId="75" hidden="1">#REF!</definedName>
    <definedName name="__123Graph_CBERLGRAP" localSheetId="80" hidden="1">#REF!</definedName>
    <definedName name="__123Graph_CBERLGRAP" localSheetId="52" hidden="1">#REF!</definedName>
    <definedName name="__123Graph_CBERLGRAP" localSheetId="98" hidden="1">#REF!</definedName>
    <definedName name="__123Graph_CBERLGRAP" localSheetId="77" hidden="1">#REF!</definedName>
    <definedName name="__123Graph_CBERLGRAP" localSheetId="53" hidden="1">#REF!</definedName>
    <definedName name="__123Graph_CBERLGRAP" localSheetId="59" hidden="1">#REF!</definedName>
    <definedName name="__123Graph_CBERLGRAP" localSheetId="92" hidden="1">#REF!</definedName>
    <definedName name="__123Graph_CBERLGRAP" localSheetId="81" hidden="1">#REF!</definedName>
    <definedName name="__123Graph_CBERLGRAP" localSheetId="79" hidden="1">#REF!</definedName>
    <definedName name="__123Graph_CBERLGRAP" localSheetId="89" hidden="1">#REF!</definedName>
    <definedName name="__123Graph_CBERLGRAP" localSheetId="76" hidden="1">#REF!</definedName>
    <definedName name="__123Graph_CBERLGRAP" localSheetId="25" hidden="1">#REF!</definedName>
    <definedName name="__123Graph_CBERLGRAP" localSheetId="34" hidden="1">#REF!</definedName>
    <definedName name="__123Graph_CBERLGRAP" localSheetId="38" hidden="1">#REF!</definedName>
    <definedName name="__123Graph_CBERLGRAP" localSheetId="9" hidden="1">#REF!</definedName>
    <definedName name="__123Graph_CBERLGRAP" localSheetId="24" hidden="1">#REF!</definedName>
    <definedName name="__123Graph_CBERLGRAP" localSheetId="32" hidden="1">#REF!</definedName>
    <definedName name="__123Graph_CBERLGRAP" localSheetId="42" hidden="1">#REF!</definedName>
    <definedName name="__123Graph_CBERLGRAP" localSheetId="29" hidden="1">#REF!</definedName>
    <definedName name="__123Graph_CBERLGRAP" localSheetId="23" hidden="1">#REF!</definedName>
    <definedName name="__123Graph_CBERLGRAP" localSheetId="36" hidden="1">#REF!</definedName>
    <definedName name="__123Graph_CBERLGRAP" localSheetId="8" hidden="1">#REF!</definedName>
    <definedName name="__123Graph_CBERLGRAP" localSheetId="27" hidden="1">#REF!</definedName>
    <definedName name="__123Graph_CBERLGRAP" hidden="1">#REF!</definedName>
    <definedName name="__123Graph_CCATCH1" localSheetId="28" hidden="1">#REF!</definedName>
    <definedName name="__123Graph_CCATCH1" localSheetId="33" hidden="1">#REF!</definedName>
    <definedName name="__123Graph_CCATCH1" localSheetId="47" hidden="1">#REF!</definedName>
    <definedName name="__123Graph_CCATCH1" localSheetId="48" hidden="1">#REF!</definedName>
    <definedName name="__123Graph_CCATCH1" localSheetId="49" hidden="1">#REF!</definedName>
    <definedName name="__123Graph_CCATCH1" localSheetId="5" hidden="1">#REF!</definedName>
    <definedName name="__123Graph_CCATCH1" localSheetId="7" hidden="1">#REF!</definedName>
    <definedName name="__123Graph_CCATCH1" localSheetId="0" hidden="1">#REF!</definedName>
    <definedName name="__123Graph_CCATCH1" localSheetId="35" hidden="1">#REF!</definedName>
    <definedName name="__123Graph_CCATCH1" localSheetId="37" hidden="1">#REF!</definedName>
    <definedName name="__123Graph_CCATCH1" localSheetId="21" hidden="1">#REF!</definedName>
    <definedName name="__123Graph_CCATCH1" localSheetId="16" hidden="1">#REF!</definedName>
    <definedName name="__123Graph_CCATCH1" localSheetId="51" hidden="1">#REF!</definedName>
    <definedName name="__123Graph_CCATCH1" localSheetId="50" hidden="1">#REF!</definedName>
    <definedName name="__123Graph_CCATCH1" localSheetId="18" hidden="1">#REF!</definedName>
    <definedName name="__123Graph_CCATCH1" localSheetId="46" hidden="1">#REF!</definedName>
    <definedName name="__123Graph_CCATCH1" localSheetId="30" hidden="1">#REF!</definedName>
    <definedName name="__123Graph_CCATCH1" localSheetId="6" hidden="1">#REF!</definedName>
    <definedName name="__123Graph_CCATCH1" localSheetId="20" hidden="1">#REF!</definedName>
    <definedName name="__123Graph_CCATCH1" localSheetId="43" hidden="1">#REF!</definedName>
    <definedName name="__123Graph_CCATCH1" localSheetId="44" hidden="1">#REF!</definedName>
    <definedName name="__123Graph_CCATCH1" localSheetId="10" hidden="1">#REF!</definedName>
    <definedName name="__123Graph_CCATCH1" localSheetId="14" hidden="1">#REF!</definedName>
    <definedName name="__123Graph_CCATCH1" localSheetId="15" hidden="1">#REF!</definedName>
    <definedName name="__123Graph_CCATCH1" localSheetId="40" hidden="1">#REF!</definedName>
    <definedName name="__123Graph_CCATCH1" localSheetId="12" hidden="1">#REF!</definedName>
    <definedName name="__123Graph_CCATCH1" localSheetId="22" hidden="1">#REF!</definedName>
    <definedName name="__123Graph_CCATCH1" localSheetId="26" hidden="1">#REF!</definedName>
    <definedName name="__123Graph_CCATCH1" localSheetId="19" hidden="1">#REF!</definedName>
    <definedName name="__123Graph_CCATCH1" localSheetId="39" hidden="1">#REF!</definedName>
    <definedName name="__123Graph_CCATCH1" localSheetId="31" hidden="1">#REF!</definedName>
    <definedName name="__123Graph_CCATCH1" localSheetId="41" hidden="1">#REF!</definedName>
    <definedName name="__123Graph_CCATCH1" localSheetId="45" hidden="1">#REF!</definedName>
    <definedName name="__123Graph_CCATCH1" localSheetId="75" hidden="1">#REF!</definedName>
    <definedName name="__123Graph_CCATCH1" localSheetId="80" hidden="1">#REF!</definedName>
    <definedName name="__123Graph_CCATCH1" localSheetId="52" hidden="1">#REF!</definedName>
    <definedName name="__123Graph_CCATCH1" localSheetId="98" hidden="1">#REF!</definedName>
    <definedName name="__123Graph_CCATCH1" localSheetId="77" hidden="1">#REF!</definedName>
    <definedName name="__123Graph_CCATCH1" localSheetId="53" hidden="1">#REF!</definedName>
    <definedName name="__123Graph_CCATCH1" localSheetId="59" hidden="1">#REF!</definedName>
    <definedName name="__123Graph_CCATCH1" localSheetId="92" hidden="1">#REF!</definedName>
    <definedName name="__123Graph_CCATCH1" localSheetId="81" hidden="1">#REF!</definedName>
    <definedName name="__123Graph_CCATCH1" localSheetId="79" hidden="1">#REF!</definedName>
    <definedName name="__123Graph_CCATCH1" localSheetId="89" hidden="1">#REF!</definedName>
    <definedName name="__123Graph_CCATCH1" localSheetId="76" hidden="1">#REF!</definedName>
    <definedName name="__123Graph_CCATCH1" localSheetId="25" hidden="1">#REF!</definedName>
    <definedName name="__123Graph_CCATCH1" localSheetId="34" hidden="1">#REF!</definedName>
    <definedName name="__123Graph_CCATCH1" localSheetId="38" hidden="1">#REF!</definedName>
    <definedName name="__123Graph_CCATCH1" localSheetId="9" hidden="1">#REF!</definedName>
    <definedName name="__123Graph_CCATCH1" localSheetId="24" hidden="1">#REF!</definedName>
    <definedName name="__123Graph_CCATCH1" localSheetId="32" hidden="1">#REF!</definedName>
    <definedName name="__123Graph_CCATCH1" localSheetId="42" hidden="1">#REF!</definedName>
    <definedName name="__123Graph_CCATCH1" localSheetId="29" hidden="1">#REF!</definedName>
    <definedName name="__123Graph_CCATCH1" localSheetId="23" hidden="1">#REF!</definedName>
    <definedName name="__123Graph_CCATCH1" localSheetId="36" hidden="1">#REF!</definedName>
    <definedName name="__123Graph_CCATCH1" localSheetId="8" hidden="1">#REF!</definedName>
    <definedName name="__123Graph_CCATCH1" localSheetId="27" hidden="1">#REF!</definedName>
    <definedName name="__123Graph_CCATCH1" hidden="1">#REF!</definedName>
    <definedName name="__123Graph_CCONVERG1" localSheetId="28" hidden="1">#REF!</definedName>
    <definedName name="__123Graph_CCONVERG1" localSheetId="33" hidden="1">#REF!</definedName>
    <definedName name="__123Graph_CCONVERG1" localSheetId="47" hidden="1">#REF!</definedName>
    <definedName name="__123Graph_CCONVERG1" localSheetId="48" hidden="1">#REF!</definedName>
    <definedName name="__123Graph_CCONVERG1" localSheetId="49" hidden="1">#REF!</definedName>
    <definedName name="__123Graph_CCONVERG1" localSheetId="5" hidden="1">#REF!</definedName>
    <definedName name="__123Graph_CCONVERG1" localSheetId="7" hidden="1">#REF!</definedName>
    <definedName name="__123Graph_CCONVERG1" localSheetId="0" hidden="1">#REF!</definedName>
    <definedName name="__123Graph_CCONVERG1" localSheetId="35" hidden="1">#REF!</definedName>
    <definedName name="__123Graph_CCONVERG1" localSheetId="37" hidden="1">#REF!</definedName>
    <definedName name="__123Graph_CCONVERG1" localSheetId="21" hidden="1">#REF!</definedName>
    <definedName name="__123Graph_CCONVERG1" localSheetId="16" hidden="1">#REF!</definedName>
    <definedName name="__123Graph_CCONVERG1" localSheetId="51" hidden="1">#REF!</definedName>
    <definedName name="__123Graph_CCONVERG1" localSheetId="50" hidden="1">#REF!</definedName>
    <definedName name="__123Graph_CCONVERG1" localSheetId="18" hidden="1">#REF!</definedName>
    <definedName name="__123Graph_CCONVERG1" localSheetId="46" hidden="1">#REF!</definedName>
    <definedName name="__123Graph_CCONVERG1" localSheetId="30" hidden="1">#REF!</definedName>
    <definedName name="__123Graph_CCONVERG1" localSheetId="6" hidden="1">#REF!</definedName>
    <definedName name="__123Graph_CCONVERG1" localSheetId="20" hidden="1">#REF!</definedName>
    <definedName name="__123Graph_CCONVERG1" localSheetId="43" hidden="1">#REF!</definedName>
    <definedName name="__123Graph_CCONVERG1" localSheetId="44" hidden="1">#REF!</definedName>
    <definedName name="__123Graph_CCONVERG1" localSheetId="10" hidden="1">#REF!</definedName>
    <definedName name="__123Graph_CCONVERG1" localSheetId="14" hidden="1">#REF!</definedName>
    <definedName name="__123Graph_CCONVERG1" localSheetId="15" hidden="1">#REF!</definedName>
    <definedName name="__123Graph_CCONVERG1" localSheetId="40" hidden="1">#REF!</definedName>
    <definedName name="__123Graph_CCONVERG1" localSheetId="12" hidden="1">#REF!</definedName>
    <definedName name="__123Graph_CCONVERG1" localSheetId="22" hidden="1">#REF!</definedName>
    <definedName name="__123Graph_CCONVERG1" localSheetId="26" hidden="1">#REF!</definedName>
    <definedName name="__123Graph_CCONVERG1" localSheetId="19" hidden="1">#REF!</definedName>
    <definedName name="__123Graph_CCONVERG1" localSheetId="39" hidden="1">#REF!</definedName>
    <definedName name="__123Graph_CCONVERG1" localSheetId="31" hidden="1">#REF!</definedName>
    <definedName name="__123Graph_CCONVERG1" localSheetId="41" hidden="1">#REF!</definedName>
    <definedName name="__123Graph_CCONVERG1" localSheetId="45" hidden="1">#REF!</definedName>
    <definedName name="__123Graph_CCONVERG1" localSheetId="75" hidden="1">#REF!</definedName>
    <definedName name="__123Graph_CCONVERG1" localSheetId="80" hidden="1">#REF!</definedName>
    <definedName name="__123Graph_CCONVERG1" localSheetId="52" hidden="1">#REF!</definedName>
    <definedName name="__123Graph_CCONVERG1" localSheetId="98" hidden="1">#REF!</definedName>
    <definedName name="__123Graph_CCONVERG1" localSheetId="77" hidden="1">#REF!</definedName>
    <definedName name="__123Graph_CCONVERG1" localSheetId="53" hidden="1">#REF!</definedName>
    <definedName name="__123Graph_CCONVERG1" localSheetId="59" hidden="1">#REF!</definedName>
    <definedName name="__123Graph_CCONVERG1" localSheetId="92" hidden="1">#REF!</definedName>
    <definedName name="__123Graph_CCONVERG1" localSheetId="81" hidden="1">#REF!</definedName>
    <definedName name="__123Graph_CCONVERG1" localSheetId="56" hidden="1">#REF!</definedName>
    <definedName name="__123Graph_CCONVERG1" localSheetId="79" hidden="1">#REF!</definedName>
    <definedName name="__123Graph_CCONVERG1" localSheetId="89" hidden="1">#REF!</definedName>
    <definedName name="__123Graph_CCONVERG1" localSheetId="76" hidden="1">#REF!</definedName>
    <definedName name="__123Graph_CCONVERG1" localSheetId="25" hidden="1">#REF!</definedName>
    <definedName name="__123Graph_CCONVERG1" localSheetId="34" hidden="1">#REF!</definedName>
    <definedName name="__123Graph_CCONVERG1" localSheetId="38" hidden="1">#REF!</definedName>
    <definedName name="__123Graph_CCONVERG1" localSheetId="9" hidden="1">#REF!</definedName>
    <definedName name="__123Graph_CCONVERG1" localSheetId="24" hidden="1">#REF!</definedName>
    <definedName name="__123Graph_CCONVERG1" localSheetId="32" hidden="1">#REF!</definedName>
    <definedName name="__123Graph_CCONVERG1" localSheetId="42" hidden="1">#REF!</definedName>
    <definedName name="__123Graph_CCONVERG1" localSheetId="29" hidden="1">#REF!</definedName>
    <definedName name="__123Graph_CCONVERG1" localSheetId="23" hidden="1">#REF!</definedName>
    <definedName name="__123Graph_CCONVERG1" localSheetId="36" hidden="1">#REF!</definedName>
    <definedName name="__123Graph_CCONVERG1" localSheetId="8" hidden="1">#REF!</definedName>
    <definedName name="__123Graph_CCONVERG1" localSheetId="27" hidden="1">#REF!</definedName>
    <definedName name="__123Graph_CCONVERG1" hidden="1">#REF!</definedName>
    <definedName name="__123Graph_CECTOT" localSheetId="28" hidden="1">#REF!</definedName>
    <definedName name="__123Graph_CECTOT" localSheetId="33" hidden="1">#REF!</definedName>
    <definedName name="__123Graph_CECTOT" localSheetId="47" hidden="1">#REF!</definedName>
    <definedName name="__123Graph_CECTOT" localSheetId="48" hidden="1">#REF!</definedName>
    <definedName name="__123Graph_CECTOT" localSheetId="49" hidden="1">#REF!</definedName>
    <definedName name="__123Graph_CECTOT" localSheetId="5" hidden="1">#REF!</definedName>
    <definedName name="__123Graph_CECTOT" localSheetId="7" hidden="1">#REF!</definedName>
    <definedName name="__123Graph_CECTOT" localSheetId="0" hidden="1">#REF!</definedName>
    <definedName name="__123Graph_CECTOT" localSheetId="35" hidden="1">#REF!</definedName>
    <definedName name="__123Graph_CECTOT" localSheetId="37" hidden="1">#REF!</definedName>
    <definedName name="__123Graph_CECTOT" localSheetId="21" hidden="1">#REF!</definedName>
    <definedName name="__123Graph_CECTOT" localSheetId="16" hidden="1">#REF!</definedName>
    <definedName name="__123Graph_CECTOT" localSheetId="51" hidden="1">#REF!</definedName>
    <definedName name="__123Graph_CECTOT" localSheetId="50" hidden="1">#REF!</definedName>
    <definedName name="__123Graph_CECTOT" localSheetId="18" hidden="1">#REF!</definedName>
    <definedName name="__123Graph_CECTOT" localSheetId="46" hidden="1">#REF!</definedName>
    <definedName name="__123Graph_CECTOT" localSheetId="30" hidden="1">#REF!</definedName>
    <definedName name="__123Graph_CECTOT" localSheetId="6" hidden="1">#REF!</definedName>
    <definedName name="__123Graph_CECTOT" localSheetId="20" hidden="1">#REF!</definedName>
    <definedName name="__123Graph_CECTOT" localSheetId="43" hidden="1">#REF!</definedName>
    <definedName name="__123Graph_CECTOT" localSheetId="44" hidden="1">#REF!</definedName>
    <definedName name="__123Graph_CECTOT" localSheetId="10" hidden="1">#REF!</definedName>
    <definedName name="__123Graph_CECTOT" localSheetId="14" hidden="1">#REF!</definedName>
    <definedName name="__123Graph_CECTOT" localSheetId="15" hidden="1">#REF!</definedName>
    <definedName name="__123Graph_CECTOT" localSheetId="40" hidden="1">#REF!</definedName>
    <definedName name="__123Graph_CECTOT" localSheetId="12" hidden="1">#REF!</definedName>
    <definedName name="__123Graph_CECTOT" localSheetId="22" hidden="1">#REF!</definedName>
    <definedName name="__123Graph_CECTOT" localSheetId="26" hidden="1">#REF!</definedName>
    <definedName name="__123Graph_CECTOT" localSheetId="19" hidden="1">#REF!</definedName>
    <definedName name="__123Graph_CECTOT" localSheetId="39" hidden="1">#REF!</definedName>
    <definedName name="__123Graph_CECTOT" localSheetId="31" hidden="1">#REF!</definedName>
    <definedName name="__123Graph_CECTOT" localSheetId="41" hidden="1">#REF!</definedName>
    <definedName name="__123Graph_CECTOT" localSheetId="45" hidden="1">#REF!</definedName>
    <definedName name="__123Graph_CECTOT" localSheetId="75" hidden="1">#REF!</definedName>
    <definedName name="__123Graph_CECTOT" localSheetId="80" hidden="1">#REF!</definedName>
    <definedName name="__123Graph_CECTOT" localSheetId="52" hidden="1">#REF!</definedName>
    <definedName name="__123Graph_CECTOT" localSheetId="98" hidden="1">#REF!</definedName>
    <definedName name="__123Graph_CECTOT" localSheetId="77" hidden="1">#REF!</definedName>
    <definedName name="__123Graph_CECTOT" localSheetId="53" hidden="1">#REF!</definedName>
    <definedName name="__123Graph_CECTOT" localSheetId="59" hidden="1">#REF!</definedName>
    <definedName name="__123Graph_CECTOT" localSheetId="92" hidden="1">#REF!</definedName>
    <definedName name="__123Graph_CECTOT" localSheetId="81" hidden="1">#REF!</definedName>
    <definedName name="__123Graph_CECTOT" localSheetId="56" hidden="1">#REF!</definedName>
    <definedName name="__123Graph_CECTOT" localSheetId="79" hidden="1">#REF!</definedName>
    <definedName name="__123Graph_CECTOT" localSheetId="89" hidden="1">#REF!</definedName>
    <definedName name="__123Graph_CECTOT" localSheetId="76" hidden="1">#REF!</definedName>
    <definedName name="__123Graph_CECTOT" localSheetId="25" hidden="1">#REF!</definedName>
    <definedName name="__123Graph_CECTOT" localSheetId="34" hidden="1">#REF!</definedName>
    <definedName name="__123Graph_CECTOT" localSheetId="38" hidden="1">#REF!</definedName>
    <definedName name="__123Graph_CECTOT" localSheetId="9" hidden="1">#REF!</definedName>
    <definedName name="__123Graph_CECTOT" localSheetId="24" hidden="1">#REF!</definedName>
    <definedName name="__123Graph_CECTOT" localSheetId="32" hidden="1">#REF!</definedName>
    <definedName name="__123Graph_CECTOT" localSheetId="42" hidden="1">#REF!</definedName>
    <definedName name="__123Graph_CECTOT" localSheetId="29" hidden="1">#REF!</definedName>
    <definedName name="__123Graph_CECTOT" localSheetId="23" hidden="1">#REF!</definedName>
    <definedName name="__123Graph_CECTOT" localSheetId="36" hidden="1">#REF!</definedName>
    <definedName name="__123Graph_CECTOT" localSheetId="8" hidden="1">#REF!</definedName>
    <definedName name="__123Graph_CECTOT" localSheetId="27" hidden="1">#REF!</definedName>
    <definedName name="__123Graph_CECTOT" hidden="1">#REF!</definedName>
    <definedName name="__123Graph_CGRAPH1" localSheetId="0" hidden="1">'[1]GDP(O)'!$E$2427:$E$2427</definedName>
    <definedName name="__123Graph_CGRAPH1" hidden="1">'[1]GDP(O)'!$E$2427:$E$2427</definedName>
    <definedName name="__123Graph_CGRAPH41" localSheetId="28" hidden="1">#REF!</definedName>
    <definedName name="__123Graph_CGRAPH41" localSheetId="33" hidden="1">#REF!</definedName>
    <definedName name="__123Graph_CGRAPH41" localSheetId="47" hidden="1">#REF!</definedName>
    <definedName name="__123Graph_CGRAPH41" localSheetId="48" hidden="1">#REF!</definedName>
    <definedName name="__123Graph_CGRAPH41" localSheetId="49" hidden="1">#REF!</definedName>
    <definedName name="__123Graph_CGRAPH41" localSheetId="5" hidden="1">#REF!</definedName>
    <definedName name="__123Graph_CGRAPH41" localSheetId="7" hidden="1">#REF!</definedName>
    <definedName name="__123Graph_CGRAPH41" localSheetId="0" hidden="1">#REF!</definedName>
    <definedName name="__123Graph_CGRAPH41" localSheetId="35" hidden="1">#REF!</definedName>
    <definedName name="__123Graph_CGRAPH41" localSheetId="37" hidden="1">#REF!</definedName>
    <definedName name="__123Graph_CGRAPH41" localSheetId="21" hidden="1">#REF!</definedName>
    <definedName name="__123Graph_CGRAPH41" localSheetId="16" hidden="1">#REF!</definedName>
    <definedName name="__123Graph_CGRAPH41" localSheetId="51" hidden="1">#REF!</definedName>
    <definedName name="__123Graph_CGRAPH41" localSheetId="50" hidden="1">#REF!</definedName>
    <definedName name="__123Graph_CGRAPH41" localSheetId="18" hidden="1">#REF!</definedName>
    <definedName name="__123Graph_CGRAPH41" localSheetId="46" hidden="1">#REF!</definedName>
    <definedName name="__123Graph_CGRAPH41" localSheetId="30" hidden="1">#REF!</definedName>
    <definedName name="__123Graph_CGRAPH41" localSheetId="6" hidden="1">#REF!</definedName>
    <definedName name="__123Graph_CGRAPH41" localSheetId="20" hidden="1">#REF!</definedName>
    <definedName name="__123Graph_CGRAPH41" localSheetId="43" hidden="1">#REF!</definedName>
    <definedName name="__123Graph_CGRAPH41" localSheetId="44" hidden="1">#REF!</definedName>
    <definedName name="__123Graph_CGRAPH41" localSheetId="10" hidden="1">#REF!</definedName>
    <definedName name="__123Graph_CGRAPH41" localSheetId="14" hidden="1">#REF!</definedName>
    <definedName name="__123Graph_CGRAPH41" localSheetId="15" hidden="1">#REF!</definedName>
    <definedName name="__123Graph_CGRAPH41" localSheetId="40" hidden="1">#REF!</definedName>
    <definedName name="__123Graph_CGRAPH41" localSheetId="12" hidden="1">#REF!</definedName>
    <definedName name="__123Graph_CGRAPH41" localSheetId="22" hidden="1">#REF!</definedName>
    <definedName name="__123Graph_CGRAPH41" localSheetId="26" hidden="1">#REF!</definedName>
    <definedName name="__123Graph_CGRAPH41" localSheetId="19" hidden="1">#REF!</definedName>
    <definedName name="__123Graph_CGRAPH41" localSheetId="39" hidden="1">#REF!</definedName>
    <definedName name="__123Graph_CGRAPH41" localSheetId="31" hidden="1">#REF!</definedName>
    <definedName name="__123Graph_CGRAPH41" localSheetId="41" hidden="1">#REF!</definedName>
    <definedName name="__123Graph_CGRAPH41" localSheetId="45" hidden="1">#REF!</definedName>
    <definedName name="__123Graph_CGRAPH41" localSheetId="75" hidden="1">#REF!</definedName>
    <definedName name="__123Graph_CGRAPH41" localSheetId="80" hidden="1">#REF!</definedName>
    <definedName name="__123Graph_CGRAPH41" localSheetId="52" hidden="1">#REF!</definedName>
    <definedName name="__123Graph_CGRAPH41" localSheetId="98" hidden="1">#REF!</definedName>
    <definedName name="__123Graph_CGRAPH41" localSheetId="77" hidden="1">#REF!</definedName>
    <definedName name="__123Graph_CGRAPH41" localSheetId="53" hidden="1">#REF!</definedName>
    <definedName name="__123Graph_CGRAPH41" localSheetId="59" hidden="1">#REF!</definedName>
    <definedName name="__123Graph_CGRAPH41" localSheetId="92" hidden="1">#REF!</definedName>
    <definedName name="__123Graph_CGRAPH41" localSheetId="81" hidden="1">#REF!</definedName>
    <definedName name="__123Graph_CGRAPH41" localSheetId="79" hidden="1">#REF!</definedName>
    <definedName name="__123Graph_CGRAPH41" localSheetId="89" hidden="1">#REF!</definedName>
    <definedName name="__123Graph_CGRAPH41" localSheetId="76" hidden="1">#REF!</definedName>
    <definedName name="__123Graph_CGRAPH41" localSheetId="25" hidden="1">#REF!</definedName>
    <definedName name="__123Graph_CGRAPH41" localSheetId="34" hidden="1">#REF!</definedName>
    <definedName name="__123Graph_CGRAPH41" localSheetId="38" hidden="1">#REF!</definedName>
    <definedName name="__123Graph_CGRAPH41" localSheetId="9" hidden="1">#REF!</definedName>
    <definedName name="__123Graph_CGRAPH41" localSheetId="24" hidden="1">#REF!</definedName>
    <definedName name="__123Graph_CGRAPH41" localSheetId="32" hidden="1">#REF!</definedName>
    <definedName name="__123Graph_CGRAPH41" localSheetId="42" hidden="1">#REF!</definedName>
    <definedName name="__123Graph_CGRAPH41" localSheetId="29" hidden="1">#REF!</definedName>
    <definedName name="__123Graph_CGRAPH41" localSheetId="23" hidden="1">#REF!</definedName>
    <definedName name="__123Graph_CGRAPH41" localSheetId="36" hidden="1">#REF!</definedName>
    <definedName name="__123Graph_CGRAPH41" localSheetId="8" hidden="1">#REF!</definedName>
    <definedName name="__123Graph_CGRAPH41" localSheetId="27" hidden="1">#REF!</definedName>
    <definedName name="__123Graph_CGRAPH41" hidden="1">#REF!</definedName>
    <definedName name="__123Graph_CGRAPH44" localSheetId="28" hidden="1">#REF!</definedName>
    <definedName name="__123Graph_CGRAPH44" localSheetId="33" hidden="1">#REF!</definedName>
    <definedName name="__123Graph_CGRAPH44" localSheetId="47" hidden="1">#REF!</definedName>
    <definedName name="__123Graph_CGRAPH44" localSheetId="48" hidden="1">#REF!</definedName>
    <definedName name="__123Graph_CGRAPH44" localSheetId="49" hidden="1">#REF!</definedName>
    <definedName name="__123Graph_CGRAPH44" localSheetId="5" hidden="1">#REF!</definedName>
    <definedName name="__123Graph_CGRAPH44" localSheetId="7" hidden="1">#REF!</definedName>
    <definedName name="__123Graph_CGRAPH44" localSheetId="0" hidden="1">#REF!</definedName>
    <definedName name="__123Graph_CGRAPH44" localSheetId="35" hidden="1">#REF!</definedName>
    <definedName name="__123Graph_CGRAPH44" localSheetId="37" hidden="1">#REF!</definedName>
    <definedName name="__123Graph_CGRAPH44" localSheetId="21" hidden="1">#REF!</definedName>
    <definedName name="__123Graph_CGRAPH44" localSheetId="16" hidden="1">#REF!</definedName>
    <definedName name="__123Graph_CGRAPH44" localSheetId="51" hidden="1">#REF!</definedName>
    <definedName name="__123Graph_CGRAPH44" localSheetId="50" hidden="1">#REF!</definedName>
    <definedName name="__123Graph_CGRAPH44" localSheetId="18" hidden="1">#REF!</definedName>
    <definedName name="__123Graph_CGRAPH44" localSheetId="46" hidden="1">#REF!</definedName>
    <definedName name="__123Graph_CGRAPH44" localSheetId="30" hidden="1">#REF!</definedName>
    <definedName name="__123Graph_CGRAPH44" localSheetId="6" hidden="1">#REF!</definedName>
    <definedName name="__123Graph_CGRAPH44" localSheetId="20" hidden="1">#REF!</definedName>
    <definedName name="__123Graph_CGRAPH44" localSheetId="43" hidden="1">#REF!</definedName>
    <definedName name="__123Graph_CGRAPH44" localSheetId="44" hidden="1">#REF!</definedName>
    <definedName name="__123Graph_CGRAPH44" localSheetId="10" hidden="1">#REF!</definedName>
    <definedName name="__123Graph_CGRAPH44" localSheetId="14" hidden="1">#REF!</definedName>
    <definedName name="__123Graph_CGRAPH44" localSheetId="15" hidden="1">#REF!</definedName>
    <definedName name="__123Graph_CGRAPH44" localSheetId="40" hidden="1">#REF!</definedName>
    <definedName name="__123Graph_CGRAPH44" localSheetId="12" hidden="1">#REF!</definedName>
    <definedName name="__123Graph_CGRAPH44" localSheetId="22" hidden="1">#REF!</definedName>
    <definedName name="__123Graph_CGRAPH44" localSheetId="26" hidden="1">#REF!</definedName>
    <definedName name="__123Graph_CGRAPH44" localSheetId="19" hidden="1">#REF!</definedName>
    <definedName name="__123Graph_CGRAPH44" localSheetId="39" hidden="1">#REF!</definedName>
    <definedName name="__123Graph_CGRAPH44" localSheetId="31" hidden="1">#REF!</definedName>
    <definedName name="__123Graph_CGRAPH44" localSheetId="41" hidden="1">#REF!</definedName>
    <definedName name="__123Graph_CGRAPH44" localSheetId="45" hidden="1">#REF!</definedName>
    <definedName name="__123Graph_CGRAPH44" localSheetId="75" hidden="1">#REF!</definedName>
    <definedName name="__123Graph_CGRAPH44" localSheetId="80" hidden="1">#REF!</definedName>
    <definedName name="__123Graph_CGRAPH44" localSheetId="52" hidden="1">#REF!</definedName>
    <definedName name="__123Graph_CGRAPH44" localSheetId="98" hidden="1">#REF!</definedName>
    <definedName name="__123Graph_CGRAPH44" localSheetId="77" hidden="1">#REF!</definedName>
    <definedName name="__123Graph_CGRAPH44" localSheetId="53" hidden="1">#REF!</definedName>
    <definedName name="__123Graph_CGRAPH44" localSheetId="59" hidden="1">#REF!</definedName>
    <definedName name="__123Graph_CGRAPH44" localSheetId="92" hidden="1">#REF!</definedName>
    <definedName name="__123Graph_CGRAPH44" localSheetId="81" hidden="1">#REF!</definedName>
    <definedName name="__123Graph_CGRAPH44" localSheetId="79" hidden="1">#REF!</definedName>
    <definedName name="__123Graph_CGRAPH44" localSheetId="89" hidden="1">#REF!</definedName>
    <definedName name="__123Graph_CGRAPH44" localSheetId="76" hidden="1">#REF!</definedName>
    <definedName name="__123Graph_CGRAPH44" localSheetId="25" hidden="1">#REF!</definedName>
    <definedName name="__123Graph_CGRAPH44" localSheetId="34" hidden="1">#REF!</definedName>
    <definedName name="__123Graph_CGRAPH44" localSheetId="38" hidden="1">#REF!</definedName>
    <definedName name="__123Graph_CGRAPH44" localSheetId="9" hidden="1">#REF!</definedName>
    <definedName name="__123Graph_CGRAPH44" localSheetId="24" hidden="1">#REF!</definedName>
    <definedName name="__123Graph_CGRAPH44" localSheetId="32" hidden="1">#REF!</definedName>
    <definedName name="__123Graph_CGRAPH44" localSheetId="42" hidden="1">#REF!</definedName>
    <definedName name="__123Graph_CGRAPH44" localSheetId="29" hidden="1">#REF!</definedName>
    <definedName name="__123Graph_CGRAPH44" localSheetId="23" hidden="1">#REF!</definedName>
    <definedName name="__123Graph_CGRAPH44" localSheetId="36" hidden="1">#REF!</definedName>
    <definedName name="__123Graph_CGRAPH44" localSheetId="8" hidden="1">#REF!</definedName>
    <definedName name="__123Graph_CGRAPH44" localSheetId="27" hidden="1">#REF!</definedName>
    <definedName name="__123Graph_CGRAPH44" hidden="1">#REF!</definedName>
    <definedName name="__123Graph_CPERIA" localSheetId="28" hidden="1">#REF!</definedName>
    <definedName name="__123Graph_CPERIA" localSheetId="33" hidden="1">#REF!</definedName>
    <definedName name="__123Graph_CPERIA" localSheetId="47" hidden="1">#REF!</definedName>
    <definedName name="__123Graph_CPERIA" localSheetId="48" hidden="1">#REF!</definedName>
    <definedName name="__123Graph_CPERIA" localSheetId="49" hidden="1">#REF!</definedName>
    <definedName name="__123Graph_CPERIA" localSheetId="5" hidden="1">#REF!</definedName>
    <definedName name="__123Graph_CPERIA" localSheetId="7" hidden="1">#REF!</definedName>
    <definedName name="__123Graph_CPERIA" localSheetId="0" hidden="1">#REF!</definedName>
    <definedName name="__123Graph_CPERIA" localSheetId="35" hidden="1">#REF!</definedName>
    <definedName name="__123Graph_CPERIA" localSheetId="37" hidden="1">#REF!</definedName>
    <definedName name="__123Graph_CPERIA" localSheetId="21" hidden="1">#REF!</definedName>
    <definedName name="__123Graph_CPERIA" localSheetId="16" hidden="1">#REF!</definedName>
    <definedName name="__123Graph_CPERIA" localSheetId="51" hidden="1">#REF!</definedName>
    <definedName name="__123Graph_CPERIA" localSheetId="50" hidden="1">#REF!</definedName>
    <definedName name="__123Graph_CPERIA" localSheetId="18" hidden="1">#REF!</definedName>
    <definedName name="__123Graph_CPERIA" localSheetId="46" hidden="1">#REF!</definedName>
    <definedName name="__123Graph_CPERIA" localSheetId="30" hidden="1">#REF!</definedName>
    <definedName name="__123Graph_CPERIA" localSheetId="6" hidden="1">#REF!</definedName>
    <definedName name="__123Graph_CPERIA" localSheetId="20" hidden="1">#REF!</definedName>
    <definedName name="__123Graph_CPERIA" localSheetId="43" hidden="1">#REF!</definedName>
    <definedName name="__123Graph_CPERIA" localSheetId="44" hidden="1">#REF!</definedName>
    <definedName name="__123Graph_CPERIA" localSheetId="10" hidden="1">#REF!</definedName>
    <definedName name="__123Graph_CPERIA" localSheetId="14" hidden="1">#REF!</definedName>
    <definedName name="__123Graph_CPERIA" localSheetId="15" hidden="1">#REF!</definedName>
    <definedName name="__123Graph_CPERIA" localSheetId="40" hidden="1">#REF!</definedName>
    <definedName name="__123Graph_CPERIA" localSheetId="12" hidden="1">#REF!</definedName>
    <definedName name="__123Graph_CPERIA" localSheetId="22" hidden="1">#REF!</definedName>
    <definedName name="__123Graph_CPERIA" localSheetId="26" hidden="1">#REF!</definedName>
    <definedName name="__123Graph_CPERIA" localSheetId="19" hidden="1">#REF!</definedName>
    <definedName name="__123Graph_CPERIA" localSheetId="39" hidden="1">#REF!</definedName>
    <definedName name="__123Graph_CPERIA" localSheetId="31" hidden="1">#REF!</definedName>
    <definedName name="__123Graph_CPERIA" localSheetId="41" hidden="1">#REF!</definedName>
    <definedName name="__123Graph_CPERIA" localSheetId="45" hidden="1">#REF!</definedName>
    <definedName name="__123Graph_CPERIA" localSheetId="75" hidden="1">#REF!</definedName>
    <definedName name="__123Graph_CPERIA" localSheetId="80" hidden="1">#REF!</definedName>
    <definedName name="__123Graph_CPERIA" localSheetId="52" hidden="1">#REF!</definedName>
    <definedName name="__123Graph_CPERIA" localSheetId="98" hidden="1">#REF!</definedName>
    <definedName name="__123Graph_CPERIA" localSheetId="77" hidden="1">#REF!</definedName>
    <definedName name="__123Graph_CPERIA" localSheetId="53" hidden="1">#REF!</definedName>
    <definedName name="__123Graph_CPERIA" localSheetId="59" hidden="1">#REF!</definedName>
    <definedName name="__123Graph_CPERIA" localSheetId="92" hidden="1">#REF!</definedName>
    <definedName name="__123Graph_CPERIA" localSheetId="81" hidden="1">#REF!</definedName>
    <definedName name="__123Graph_CPERIA" localSheetId="79" hidden="1">#REF!</definedName>
    <definedName name="__123Graph_CPERIA" localSheetId="89" hidden="1">#REF!</definedName>
    <definedName name="__123Graph_CPERIA" localSheetId="76" hidden="1">#REF!</definedName>
    <definedName name="__123Graph_CPERIA" localSheetId="25" hidden="1">#REF!</definedName>
    <definedName name="__123Graph_CPERIA" localSheetId="34" hidden="1">#REF!</definedName>
    <definedName name="__123Graph_CPERIA" localSheetId="38" hidden="1">#REF!</definedName>
    <definedName name="__123Graph_CPERIA" localSheetId="9" hidden="1">#REF!</definedName>
    <definedName name="__123Graph_CPERIA" localSheetId="24" hidden="1">#REF!</definedName>
    <definedName name="__123Graph_CPERIA" localSheetId="32" hidden="1">#REF!</definedName>
    <definedName name="__123Graph_CPERIA" localSheetId="42" hidden="1">#REF!</definedName>
    <definedName name="__123Graph_CPERIA" localSheetId="29" hidden="1">#REF!</definedName>
    <definedName name="__123Graph_CPERIA" localSheetId="23" hidden="1">#REF!</definedName>
    <definedName name="__123Graph_CPERIA" localSheetId="36" hidden="1">#REF!</definedName>
    <definedName name="__123Graph_CPERIA" localSheetId="8" hidden="1">#REF!</definedName>
    <definedName name="__123Graph_CPERIA" localSheetId="27" hidden="1">#REF!</definedName>
    <definedName name="__123Graph_CPERIA" hidden="1">#REF!</definedName>
    <definedName name="__123Graph_CPERIB" localSheetId="28" hidden="1">#REF!</definedName>
    <definedName name="__123Graph_CPERIB" localSheetId="33" hidden="1">#REF!</definedName>
    <definedName name="__123Graph_CPERIB" localSheetId="47" hidden="1">#REF!</definedName>
    <definedName name="__123Graph_CPERIB" localSheetId="48" hidden="1">#REF!</definedName>
    <definedName name="__123Graph_CPERIB" localSheetId="49" hidden="1">#REF!</definedName>
    <definedName name="__123Graph_CPERIB" localSheetId="5" hidden="1">#REF!</definedName>
    <definedName name="__123Graph_CPERIB" localSheetId="7" hidden="1">#REF!</definedName>
    <definedName name="__123Graph_CPERIB" localSheetId="0" hidden="1">#REF!</definedName>
    <definedName name="__123Graph_CPERIB" localSheetId="35" hidden="1">#REF!</definedName>
    <definedName name="__123Graph_CPERIB" localSheetId="37" hidden="1">#REF!</definedName>
    <definedName name="__123Graph_CPERIB" localSheetId="21" hidden="1">#REF!</definedName>
    <definedName name="__123Graph_CPERIB" localSheetId="16" hidden="1">#REF!</definedName>
    <definedName name="__123Graph_CPERIB" localSheetId="51" hidden="1">#REF!</definedName>
    <definedName name="__123Graph_CPERIB" localSheetId="50" hidden="1">#REF!</definedName>
    <definedName name="__123Graph_CPERIB" localSheetId="18" hidden="1">#REF!</definedName>
    <definedName name="__123Graph_CPERIB" localSheetId="46" hidden="1">#REF!</definedName>
    <definedName name="__123Graph_CPERIB" localSheetId="30" hidden="1">#REF!</definedName>
    <definedName name="__123Graph_CPERIB" localSheetId="6" hidden="1">#REF!</definedName>
    <definedName name="__123Graph_CPERIB" localSheetId="20" hidden="1">#REF!</definedName>
    <definedName name="__123Graph_CPERIB" localSheetId="43" hidden="1">#REF!</definedName>
    <definedName name="__123Graph_CPERIB" localSheetId="44" hidden="1">#REF!</definedName>
    <definedName name="__123Graph_CPERIB" localSheetId="10" hidden="1">#REF!</definedName>
    <definedName name="__123Graph_CPERIB" localSheetId="14" hidden="1">#REF!</definedName>
    <definedName name="__123Graph_CPERIB" localSheetId="15" hidden="1">#REF!</definedName>
    <definedName name="__123Graph_CPERIB" localSheetId="40" hidden="1">#REF!</definedName>
    <definedName name="__123Graph_CPERIB" localSheetId="12" hidden="1">#REF!</definedName>
    <definedName name="__123Graph_CPERIB" localSheetId="22" hidden="1">#REF!</definedName>
    <definedName name="__123Graph_CPERIB" localSheetId="26" hidden="1">#REF!</definedName>
    <definedName name="__123Graph_CPERIB" localSheetId="19" hidden="1">#REF!</definedName>
    <definedName name="__123Graph_CPERIB" localSheetId="39" hidden="1">#REF!</definedName>
    <definedName name="__123Graph_CPERIB" localSheetId="31" hidden="1">#REF!</definedName>
    <definedName name="__123Graph_CPERIB" localSheetId="41" hidden="1">#REF!</definedName>
    <definedName name="__123Graph_CPERIB" localSheetId="45" hidden="1">#REF!</definedName>
    <definedName name="__123Graph_CPERIB" localSheetId="75" hidden="1">#REF!</definedName>
    <definedName name="__123Graph_CPERIB" localSheetId="80" hidden="1">#REF!</definedName>
    <definedName name="__123Graph_CPERIB" localSheetId="52" hidden="1">#REF!</definedName>
    <definedName name="__123Graph_CPERIB" localSheetId="98" hidden="1">#REF!</definedName>
    <definedName name="__123Graph_CPERIB" localSheetId="77" hidden="1">#REF!</definedName>
    <definedName name="__123Graph_CPERIB" localSheetId="53" hidden="1">#REF!</definedName>
    <definedName name="__123Graph_CPERIB" localSheetId="59" hidden="1">#REF!</definedName>
    <definedName name="__123Graph_CPERIB" localSheetId="92" hidden="1">#REF!</definedName>
    <definedName name="__123Graph_CPERIB" localSheetId="81" hidden="1">#REF!</definedName>
    <definedName name="__123Graph_CPERIB" localSheetId="79" hidden="1">#REF!</definedName>
    <definedName name="__123Graph_CPERIB" localSheetId="89" hidden="1">#REF!</definedName>
    <definedName name="__123Graph_CPERIB" localSheetId="76" hidden="1">#REF!</definedName>
    <definedName name="__123Graph_CPERIB" localSheetId="25" hidden="1">#REF!</definedName>
    <definedName name="__123Graph_CPERIB" localSheetId="34" hidden="1">#REF!</definedName>
    <definedName name="__123Graph_CPERIB" localSheetId="38" hidden="1">#REF!</definedName>
    <definedName name="__123Graph_CPERIB" localSheetId="9" hidden="1">#REF!</definedName>
    <definedName name="__123Graph_CPERIB" localSheetId="24" hidden="1">#REF!</definedName>
    <definedName name="__123Graph_CPERIB" localSheetId="32" hidden="1">#REF!</definedName>
    <definedName name="__123Graph_CPERIB" localSheetId="42" hidden="1">#REF!</definedName>
    <definedName name="__123Graph_CPERIB" localSheetId="29" hidden="1">#REF!</definedName>
    <definedName name="__123Graph_CPERIB" localSheetId="23" hidden="1">#REF!</definedName>
    <definedName name="__123Graph_CPERIB" localSheetId="36" hidden="1">#REF!</definedName>
    <definedName name="__123Graph_CPERIB" localSheetId="8" hidden="1">#REF!</definedName>
    <definedName name="__123Graph_CPERIB" localSheetId="27" hidden="1">#REF!</definedName>
    <definedName name="__123Graph_CPERIB" hidden="1">#REF!</definedName>
    <definedName name="__123Graph_CPRODABSC" localSheetId="28" hidden="1">#REF!</definedName>
    <definedName name="__123Graph_CPRODABSC" localSheetId="33" hidden="1">#REF!</definedName>
    <definedName name="__123Graph_CPRODABSC" localSheetId="47" hidden="1">#REF!</definedName>
    <definedName name="__123Graph_CPRODABSC" localSheetId="48" hidden="1">#REF!</definedName>
    <definedName name="__123Graph_CPRODABSC" localSheetId="49" hidden="1">#REF!</definedName>
    <definedName name="__123Graph_CPRODABSC" localSheetId="5" hidden="1">#REF!</definedName>
    <definedName name="__123Graph_CPRODABSC" localSheetId="7" hidden="1">#REF!</definedName>
    <definedName name="__123Graph_CPRODABSC" localSheetId="0" hidden="1">#REF!</definedName>
    <definedName name="__123Graph_CPRODABSC" localSheetId="35" hidden="1">#REF!</definedName>
    <definedName name="__123Graph_CPRODABSC" localSheetId="37" hidden="1">#REF!</definedName>
    <definedName name="__123Graph_CPRODABSC" localSheetId="21" hidden="1">#REF!</definedName>
    <definedName name="__123Graph_CPRODABSC" localSheetId="16" hidden="1">#REF!</definedName>
    <definedName name="__123Graph_CPRODABSC" localSheetId="51" hidden="1">#REF!</definedName>
    <definedName name="__123Graph_CPRODABSC" localSheetId="50" hidden="1">#REF!</definedName>
    <definedName name="__123Graph_CPRODABSC" localSheetId="18" hidden="1">#REF!</definedName>
    <definedName name="__123Graph_CPRODABSC" localSheetId="46" hidden="1">#REF!</definedName>
    <definedName name="__123Graph_CPRODABSC" localSheetId="30" hidden="1">#REF!</definedName>
    <definedName name="__123Graph_CPRODABSC" localSheetId="6" hidden="1">#REF!</definedName>
    <definedName name="__123Graph_CPRODABSC" localSheetId="20" hidden="1">#REF!</definedName>
    <definedName name="__123Graph_CPRODABSC" localSheetId="43" hidden="1">#REF!</definedName>
    <definedName name="__123Graph_CPRODABSC" localSheetId="44" hidden="1">#REF!</definedName>
    <definedName name="__123Graph_CPRODABSC" localSheetId="10" hidden="1">#REF!</definedName>
    <definedName name="__123Graph_CPRODABSC" localSheetId="14" hidden="1">#REF!</definedName>
    <definedName name="__123Graph_CPRODABSC" localSheetId="15" hidden="1">#REF!</definedName>
    <definedName name="__123Graph_CPRODABSC" localSheetId="40" hidden="1">#REF!</definedName>
    <definedName name="__123Graph_CPRODABSC" localSheetId="12" hidden="1">#REF!</definedName>
    <definedName name="__123Graph_CPRODABSC" localSheetId="22" hidden="1">#REF!</definedName>
    <definedName name="__123Graph_CPRODABSC" localSheetId="26" hidden="1">#REF!</definedName>
    <definedName name="__123Graph_CPRODABSC" localSheetId="19" hidden="1">#REF!</definedName>
    <definedName name="__123Graph_CPRODABSC" localSheetId="39" hidden="1">#REF!</definedName>
    <definedName name="__123Graph_CPRODABSC" localSheetId="31" hidden="1">#REF!</definedName>
    <definedName name="__123Graph_CPRODABSC" localSheetId="41" hidden="1">#REF!</definedName>
    <definedName name="__123Graph_CPRODABSC" localSheetId="45" hidden="1">#REF!</definedName>
    <definedName name="__123Graph_CPRODABSC" localSheetId="75" hidden="1">#REF!</definedName>
    <definedName name="__123Graph_CPRODABSC" localSheetId="80" hidden="1">#REF!</definedName>
    <definedName name="__123Graph_CPRODABSC" localSheetId="52" hidden="1">#REF!</definedName>
    <definedName name="__123Graph_CPRODABSC" localSheetId="98" hidden="1">#REF!</definedName>
    <definedName name="__123Graph_CPRODABSC" localSheetId="77" hidden="1">#REF!</definedName>
    <definedName name="__123Graph_CPRODABSC" localSheetId="53" hidden="1">#REF!</definedName>
    <definedName name="__123Graph_CPRODABSC" localSheetId="59" hidden="1">#REF!</definedName>
    <definedName name="__123Graph_CPRODABSC" localSheetId="92" hidden="1">#REF!</definedName>
    <definedName name="__123Graph_CPRODABSC" localSheetId="81" hidden="1">#REF!</definedName>
    <definedName name="__123Graph_CPRODABSC" localSheetId="79" hidden="1">#REF!</definedName>
    <definedName name="__123Graph_CPRODABSC" localSheetId="89" hidden="1">#REF!</definedName>
    <definedName name="__123Graph_CPRODABSC" localSheetId="76" hidden="1">#REF!</definedName>
    <definedName name="__123Graph_CPRODABSC" localSheetId="25" hidden="1">#REF!</definedName>
    <definedName name="__123Graph_CPRODABSC" localSheetId="34" hidden="1">#REF!</definedName>
    <definedName name="__123Graph_CPRODABSC" localSheetId="38" hidden="1">#REF!</definedName>
    <definedName name="__123Graph_CPRODABSC" localSheetId="9" hidden="1">#REF!</definedName>
    <definedName name="__123Graph_CPRODABSC" localSheetId="24" hidden="1">#REF!</definedName>
    <definedName name="__123Graph_CPRODABSC" localSheetId="32" hidden="1">#REF!</definedName>
    <definedName name="__123Graph_CPRODABSC" localSheetId="42" hidden="1">#REF!</definedName>
    <definedName name="__123Graph_CPRODABSC" localSheetId="29" hidden="1">#REF!</definedName>
    <definedName name="__123Graph_CPRODABSC" localSheetId="23" hidden="1">#REF!</definedName>
    <definedName name="__123Graph_CPRODABSC" localSheetId="36" hidden="1">#REF!</definedName>
    <definedName name="__123Graph_CPRODABSC" localSheetId="8" hidden="1">#REF!</definedName>
    <definedName name="__123Graph_CPRODABSC" localSheetId="27" hidden="1">#REF!</definedName>
    <definedName name="__123Graph_CPRODABSC" hidden="1">#REF!</definedName>
    <definedName name="__123Graph_CPRODTRE2" localSheetId="28" hidden="1">#REF!</definedName>
    <definedName name="__123Graph_CPRODTRE2" localSheetId="33" hidden="1">#REF!</definedName>
    <definedName name="__123Graph_CPRODTRE2" localSheetId="47" hidden="1">#REF!</definedName>
    <definedName name="__123Graph_CPRODTRE2" localSheetId="48" hidden="1">#REF!</definedName>
    <definedName name="__123Graph_CPRODTRE2" localSheetId="49" hidden="1">#REF!</definedName>
    <definedName name="__123Graph_CPRODTRE2" localSheetId="5" hidden="1">#REF!</definedName>
    <definedName name="__123Graph_CPRODTRE2" localSheetId="7" hidden="1">#REF!</definedName>
    <definedName name="__123Graph_CPRODTRE2" localSheetId="0" hidden="1">#REF!</definedName>
    <definedName name="__123Graph_CPRODTRE2" localSheetId="35" hidden="1">#REF!</definedName>
    <definedName name="__123Graph_CPRODTRE2" localSheetId="37" hidden="1">#REF!</definedName>
    <definedName name="__123Graph_CPRODTRE2" localSheetId="21" hidden="1">#REF!</definedName>
    <definedName name="__123Graph_CPRODTRE2" localSheetId="16" hidden="1">#REF!</definedName>
    <definedName name="__123Graph_CPRODTRE2" localSheetId="51" hidden="1">#REF!</definedName>
    <definedName name="__123Graph_CPRODTRE2" localSheetId="50" hidden="1">#REF!</definedName>
    <definedName name="__123Graph_CPRODTRE2" localSheetId="18" hidden="1">#REF!</definedName>
    <definedName name="__123Graph_CPRODTRE2" localSheetId="46" hidden="1">#REF!</definedName>
    <definedName name="__123Graph_CPRODTRE2" localSheetId="30" hidden="1">#REF!</definedName>
    <definedName name="__123Graph_CPRODTRE2" localSheetId="6" hidden="1">#REF!</definedName>
    <definedName name="__123Graph_CPRODTRE2" localSheetId="20" hidden="1">#REF!</definedName>
    <definedName name="__123Graph_CPRODTRE2" localSheetId="43" hidden="1">#REF!</definedName>
    <definedName name="__123Graph_CPRODTRE2" localSheetId="44" hidden="1">#REF!</definedName>
    <definedName name="__123Graph_CPRODTRE2" localSheetId="10" hidden="1">#REF!</definedName>
    <definedName name="__123Graph_CPRODTRE2" localSheetId="14" hidden="1">#REF!</definedName>
    <definedName name="__123Graph_CPRODTRE2" localSheetId="15" hidden="1">#REF!</definedName>
    <definedName name="__123Graph_CPRODTRE2" localSheetId="40" hidden="1">#REF!</definedName>
    <definedName name="__123Graph_CPRODTRE2" localSheetId="12" hidden="1">#REF!</definedName>
    <definedName name="__123Graph_CPRODTRE2" localSheetId="22" hidden="1">#REF!</definedName>
    <definedName name="__123Graph_CPRODTRE2" localSheetId="26" hidden="1">#REF!</definedName>
    <definedName name="__123Graph_CPRODTRE2" localSheetId="19" hidden="1">#REF!</definedName>
    <definedName name="__123Graph_CPRODTRE2" localSheetId="39" hidden="1">#REF!</definedName>
    <definedName name="__123Graph_CPRODTRE2" localSheetId="31" hidden="1">#REF!</definedName>
    <definedName name="__123Graph_CPRODTRE2" localSheetId="41" hidden="1">#REF!</definedName>
    <definedName name="__123Graph_CPRODTRE2" localSheetId="45" hidden="1">#REF!</definedName>
    <definedName name="__123Graph_CPRODTRE2" localSheetId="75" hidden="1">#REF!</definedName>
    <definedName name="__123Graph_CPRODTRE2" localSheetId="80" hidden="1">#REF!</definedName>
    <definedName name="__123Graph_CPRODTRE2" localSheetId="52" hidden="1">#REF!</definedName>
    <definedName name="__123Graph_CPRODTRE2" localSheetId="98" hidden="1">#REF!</definedName>
    <definedName name="__123Graph_CPRODTRE2" localSheetId="77" hidden="1">#REF!</definedName>
    <definedName name="__123Graph_CPRODTRE2" localSheetId="53" hidden="1">#REF!</definedName>
    <definedName name="__123Graph_CPRODTRE2" localSheetId="59" hidden="1">#REF!</definedName>
    <definedName name="__123Graph_CPRODTRE2" localSheetId="92" hidden="1">#REF!</definedName>
    <definedName name="__123Graph_CPRODTRE2" localSheetId="81" hidden="1">#REF!</definedName>
    <definedName name="__123Graph_CPRODTRE2" localSheetId="79" hidden="1">#REF!</definedName>
    <definedName name="__123Graph_CPRODTRE2" localSheetId="89" hidden="1">#REF!</definedName>
    <definedName name="__123Graph_CPRODTRE2" localSheetId="76" hidden="1">#REF!</definedName>
    <definedName name="__123Graph_CPRODTRE2" localSheetId="25" hidden="1">#REF!</definedName>
    <definedName name="__123Graph_CPRODTRE2" localSheetId="34" hidden="1">#REF!</definedName>
    <definedName name="__123Graph_CPRODTRE2" localSheetId="38" hidden="1">#REF!</definedName>
    <definedName name="__123Graph_CPRODTRE2" localSheetId="9" hidden="1">#REF!</definedName>
    <definedName name="__123Graph_CPRODTRE2" localSheetId="24" hidden="1">#REF!</definedName>
    <definedName name="__123Graph_CPRODTRE2" localSheetId="32" hidden="1">#REF!</definedName>
    <definedName name="__123Graph_CPRODTRE2" localSheetId="42" hidden="1">#REF!</definedName>
    <definedName name="__123Graph_CPRODTRE2" localSheetId="29" hidden="1">#REF!</definedName>
    <definedName name="__123Graph_CPRODTRE2" localSheetId="23" hidden="1">#REF!</definedName>
    <definedName name="__123Graph_CPRODTRE2" localSheetId="36" hidden="1">#REF!</definedName>
    <definedName name="__123Graph_CPRODTRE2" localSheetId="8" hidden="1">#REF!</definedName>
    <definedName name="__123Graph_CPRODTRE2" localSheetId="27" hidden="1">#REF!</definedName>
    <definedName name="__123Graph_CPRODTRE2" hidden="1">#REF!</definedName>
    <definedName name="__123Graph_CPRODTREND" localSheetId="28" hidden="1">#REF!</definedName>
    <definedName name="__123Graph_CPRODTREND" localSheetId="33" hidden="1">#REF!</definedName>
    <definedName name="__123Graph_CPRODTREND" localSheetId="47" hidden="1">#REF!</definedName>
    <definedName name="__123Graph_CPRODTREND" localSheetId="48" hidden="1">#REF!</definedName>
    <definedName name="__123Graph_CPRODTREND" localSheetId="49" hidden="1">#REF!</definedName>
    <definedName name="__123Graph_CPRODTREND" localSheetId="5" hidden="1">#REF!</definedName>
    <definedName name="__123Graph_CPRODTREND" localSheetId="7" hidden="1">#REF!</definedName>
    <definedName name="__123Graph_CPRODTREND" localSheetId="0" hidden="1">#REF!</definedName>
    <definedName name="__123Graph_CPRODTREND" localSheetId="35" hidden="1">#REF!</definedName>
    <definedName name="__123Graph_CPRODTREND" localSheetId="37" hidden="1">#REF!</definedName>
    <definedName name="__123Graph_CPRODTREND" localSheetId="21" hidden="1">#REF!</definedName>
    <definedName name="__123Graph_CPRODTREND" localSheetId="16" hidden="1">#REF!</definedName>
    <definedName name="__123Graph_CPRODTREND" localSheetId="51" hidden="1">#REF!</definedName>
    <definedName name="__123Graph_CPRODTREND" localSheetId="50" hidden="1">#REF!</definedName>
    <definedName name="__123Graph_CPRODTREND" localSheetId="18" hidden="1">#REF!</definedName>
    <definedName name="__123Graph_CPRODTREND" localSheetId="46" hidden="1">#REF!</definedName>
    <definedName name="__123Graph_CPRODTREND" localSheetId="30" hidden="1">#REF!</definedName>
    <definedName name="__123Graph_CPRODTREND" localSheetId="6" hidden="1">#REF!</definedName>
    <definedName name="__123Graph_CPRODTREND" localSheetId="20" hidden="1">#REF!</definedName>
    <definedName name="__123Graph_CPRODTREND" localSheetId="43" hidden="1">#REF!</definedName>
    <definedName name="__123Graph_CPRODTREND" localSheetId="44" hidden="1">#REF!</definedName>
    <definedName name="__123Graph_CPRODTREND" localSheetId="10" hidden="1">#REF!</definedName>
    <definedName name="__123Graph_CPRODTREND" localSheetId="14" hidden="1">#REF!</definedName>
    <definedName name="__123Graph_CPRODTREND" localSheetId="15" hidden="1">#REF!</definedName>
    <definedName name="__123Graph_CPRODTREND" localSheetId="40" hidden="1">#REF!</definedName>
    <definedName name="__123Graph_CPRODTREND" localSheetId="12" hidden="1">#REF!</definedName>
    <definedName name="__123Graph_CPRODTREND" localSheetId="22" hidden="1">#REF!</definedName>
    <definedName name="__123Graph_CPRODTREND" localSheetId="26" hidden="1">#REF!</definedName>
    <definedName name="__123Graph_CPRODTREND" localSheetId="19" hidden="1">#REF!</definedName>
    <definedName name="__123Graph_CPRODTREND" localSheetId="39" hidden="1">#REF!</definedName>
    <definedName name="__123Graph_CPRODTREND" localSheetId="31" hidden="1">#REF!</definedName>
    <definedName name="__123Graph_CPRODTREND" localSheetId="41" hidden="1">#REF!</definedName>
    <definedName name="__123Graph_CPRODTREND" localSheetId="45" hidden="1">#REF!</definedName>
    <definedName name="__123Graph_CPRODTREND" localSheetId="75" hidden="1">#REF!</definedName>
    <definedName name="__123Graph_CPRODTREND" localSheetId="80" hidden="1">#REF!</definedName>
    <definedName name="__123Graph_CPRODTREND" localSheetId="52" hidden="1">#REF!</definedName>
    <definedName name="__123Graph_CPRODTREND" localSheetId="98" hidden="1">#REF!</definedName>
    <definedName name="__123Graph_CPRODTREND" localSheetId="77" hidden="1">#REF!</definedName>
    <definedName name="__123Graph_CPRODTREND" localSheetId="53" hidden="1">#REF!</definedName>
    <definedName name="__123Graph_CPRODTREND" localSheetId="59" hidden="1">#REF!</definedName>
    <definedName name="__123Graph_CPRODTREND" localSheetId="92" hidden="1">#REF!</definedName>
    <definedName name="__123Graph_CPRODTREND" localSheetId="81" hidden="1">#REF!</definedName>
    <definedName name="__123Graph_CPRODTREND" localSheetId="79" hidden="1">#REF!</definedName>
    <definedName name="__123Graph_CPRODTREND" localSheetId="89" hidden="1">#REF!</definedName>
    <definedName name="__123Graph_CPRODTREND" localSheetId="76" hidden="1">#REF!</definedName>
    <definedName name="__123Graph_CPRODTREND" localSheetId="25" hidden="1">#REF!</definedName>
    <definedName name="__123Graph_CPRODTREND" localSheetId="34" hidden="1">#REF!</definedName>
    <definedName name="__123Graph_CPRODTREND" localSheetId="38" hidden="1">#REF!</definedName>
    <definedName name="__123Graph_CPRODTREND" localSheetId="9" hidden="1">#REF!</definedName>
    <definedName name="__123Graph_CPRODTREND" localSheetId="24" hidden="1">#REF!</definedName>
    <definedName name="__123Graph_CPRODTREND" localSheetId="32" hidden="1">#REF!</definedName>
    <definedName name="__123Graph_CPRODTREND" localSheetId="42" hidden="1">#REF!</definedName>
    <definedName name="__123Graph_CPRODTREND" localSheetId="29" hidden="1">#REF!</definedName>
    <definedName name="__123Graph_CPRODTREND" localSheetId="23" hidden="1">#REF!</definedName>
    <definedName name="__123Graph_CPRODTREND" localSheetId="36" hidden="1">#REF!</definedName>
    <definedName name="__123Graph_CPRODTREND" localSheetId="8" hidden="1">#REF!</definedName>
    <definedName name="__123Graph_CPRODTREND" localSheetId="27" hidden="1">#REF!</definedName>
    <definedName name="__123Graph_CPRODTREND" hidden="1">#REF!</definedName>
    <definedName name="__123Graph_CUTRECHT" localSheetId="28" hidden="1">#REF!</definedName>
    <definedName name="__123Graph_CUTRECHT" localSheetId="33" hidden="1">#REF!</definedName>
    <definedName name="__123Graph_CUTRECHT" localSheetId="47" hidden="1">#REF!</definedName>
    <definedName name="__123Graph_CUTRECHT" localSheetId="48" hidden="1">#REF!</definedName>
    <definedName name="__123Graph_CUTRECHT" localSheetId="49" hidden="1">#REF!</definedName>
    <definedName name="__123Graph_CUTRECHT" localSheetId="5" hidden="1">#REF!</definedName>
    <definedName name="__123Graph_CUTRECHT" localSheetId="7" hidden="1">#REF!</definedName>
    <definedName name="__123Graph_CUTRECHT" localSheetId="0" hidden="1">#REF!</definedName>
    <definedName name="__123Graph_CUTRECHT" localSheetId="35" hidden="1">#REF!</definedName>
    <definedName name="__123Graph_CUTRECHT" localSheetId="37" hidden="1">#REF!</definedName>
    <definedName name="__123Graph_CUTRECHT" localSheetId="21" hidden="1">#REF!</definedName>
    <definedName name="__123Graph_CUTRECHT" localSheetId="16" hidden="1">#REF!</definedName>
    <definedName name="__123Graph_CUTRECHT" localSheetId="51" hidden="1">#REF!</definedName>
    <definedName name="__123Graph_CUTRECHT" localSheetId="50" hidden="1">#REF!</definedName>
    <definedName name="__123Graph_CUTRECHT" localSheetId="18" hidden="1">#REF!</definedName>
    <definedName name="__123Graph_CUTRECHT" localSheetId="46" hidden="1">#REF!</definedName>
    <definedName name="__123Graph_CUTRECHT" localSheetId="30" hidden="1">#REF!</definedName>
    <definedName name="__123Graph_CUTRECHT" localSheetId="6" hidden="1">#REF!</definedName>
    <definedName name="__123Graph_CUTRECHT" localSheetId="20" hidden="1">#REF!</definedName>
    <definedName name="__123Graph_CUTRECHT" localSheetId="43" hidden="1">#REF!</definedName>
    <definedName name="__123Graph_CUTRECHT" localSheetId="44" hidden="1">#REF!</definedName>
    <definedName name="__123Graph_CUTRECHT" localSheetId="10" hidden="1">#REF!</definedName>
    <definedName name="__123Graph_CUTRECHT" localSheetId="14" hidden="1">#REF!</definedName>
    <definedName name="__123Graph_CUTRECHT" localSheetId="15" hidden="1">#REF!</definedName>
    <definedName name="__123Graph_CUTRECHT" localSheetId="40" hidden="1">#REF!</definedName>
    <definedName name="__123Graph_CUTRECHT" localSheetId="12" hidden="1">#REF!</definedName>
    <definedName name="__123Graph_CUTRECHT" localSheetId="22" hidden="1">#REF!</definedName>
    <definedName name="__123Graph_CUTRECHT" localSheetId="26" hidden="1">#REF!</definedName>
    <definedName name="__123Graph_CUTRECHT" localSheetId="19" hidden="1">#REF!</definedName>
    <definedName name="__123Graph_CUTRECHT" localSheetId="39" hidden="1">#REF!</definedName>
    <definedName name="__123Graph_CUTRECHT" localSheetId="31" hidden="1">#REF!</definedName>
    <definedName name="__123Graph_CUTRECHT" localSheetId="41" hidden="1">#REF!</definedName>
    <definedName name="__123Graph_CUTRECHT" localSheetId="45" hidden="1">#REF!</definedName>
    <definedName name="__123Graph_CUTRECHT" localSheetId="75" hidden="1">#REF!</definedName>
    <definedName name="__123Graph_CUTRECHT" localSheetId="80" hidden="1">#REF!</definedName>
    <definedName name="__123Graph_CUTRECHT" localSheetId="52" hidden="1">#REF!</definedName>
    <definedName name="__123Graph_CUTRECHT" localSheetId="98" hidden="1">#REF!</definedName>
    <definedName name="__123Graph_CUTRECHT" localSheetId="77" hidden="1">#REF!</definedName>
    <definedName name="__123Graph_CUTRECHT" localSheetId="53" hidden="1">#REF!</definedName>
    <definedName name="__123Graph_CUTRECHT" localSheetId="59" hidden="1">#REF!</definedName>
    <definedName name="__123Graph_CUTRECHT" localSheetId="92" hidden="1">#REF!</definedName>
    <definedName name="__123Graph_CUTRECHT" localSheetId="81" hidden="1">#REF!</definedName>
    <definedName name="__123Graph_CUTRECHT" localSheetId="79" hidden="1">#REF!</definedName>
    <definedName name="__123Graph_CUTRECHT" localSheetId="89" hidden="1">#REF!</definedName>
    <definedName name="__123Graph_CUTRECHT" localSheetId="76" hidden="1">#REF!</definedName>
    <definedName name="__123Graph_CUTRECHT" localSheetId="25" hidden="1">#REF!</definedName>
    <definedName name="__123Graph_CUTRECHT" localSheetId="34" hidden="1">#REF!</definedName>
    <definedName name="__123Graph_CUTRECHT" localSheetId="38" hidden="1">#REF!</definedName>
    <definedName name="__123Graph_CUTRECHT" localSheetId="9" hidden="1">#REF!</definedName>
    <definedName name="__123Graph_CUTRECHT" localSheetId="24" hidden="1">#REF!</definedName>
    <definedName name="__123Graph_CUTRECHT" localSheetId="32" hidden="1">#REF!</definedName>
    <definedName name="__123Graph_CUTRECHT" localSheetId="42" hidden="1">#REF!</definedName>
    <definedName name="__123Graph_CUTRECHT" localSheetId="29" hidden="1">#REF!</definedName>
    <definedName name="__123Graph_CUTRECHT" localSheetId="23" hidden="1">#REF!</definedName>
    <definedName name="__123Graph_CUTRECHT" localSheetId="36" hidden="1">#REF!</definedName>
    <definedName name="__123Graph_CUTRECHT" localSheetId="8" hidden="1">#REF!</definedName>
    <definedName name="__123Graph_CUTRECHT" localSheetId="27" hidden="1">#REF!</definedName>
    <definedName name="__123Graph_CUTRECHT" hidden="1">#REF!</definedName>
    <definedName name="__123Graph_D" localSheetId="28" hidden="1">#REF!</definedName>
    <definedName name="__123Graph_D" localSheetId="33" hidden="1">#REF!</definedName>
    <definedName name="__123Graph_D" localSheetId="47" hidden="1">#REF!</definedName>
    <definedName name="__123Graph_D" localSheetId="48" hidden="1">#REF!</definedName>
    <definedName name="__123Graph_D" localSheetId="49" hidden="1">#REF!</definedName>
    <definedName name="__123Graph_D" localSheetId="5" hidden="1">#REF!</definedName>
    <definedName name="__123Graph_D" localSheetId="7" hidden="1">#REF!</definedName>
    <definedName name="__123Graph_D" localSheetId="0" hidden="1">#REF!</definedName>
    <definedName name="__123Graph_D" localSheetId="35" hidden="1">#REF!</definedName>
    <definedName name="__123Graph_D" localSheetId="37" hidden="1">#REF!</definedName>
    <definedName name="__123Graph_D" localSheetId="21" hidden="1">#REF!</definedName>
    <definedName name="__123Graph_D" localSheetId="16" hidden="1">#REF!</definedName>
    <definedName name="__123Graph_D" localSheetId="51" hidden="1">#REF!</definedName>
    <definedName name="__123Graph_D" localSheetId="50" hidden="1">#REF!</definedName>
    <definedName name="__123Graph_D" localSheetId="18" hidden="1">#REF!</definedName>
    <definedName name="__123Graph_D" localSheetId="46" hidden="1">#REF!</definedName>
    <definedName name="__123Graph_D" localSheetId="30" hidden="1">#REF!</definedName>
    <definedName name="__123Graph_D" localSheetId="6" hidden="1">#REF!</definedName>
    <definedName name="__123Graph_D" localSheetId="20" hidden="1">#REF!</definedName>
    <definedName name="__123Graph_D" localSheetId="43" hidden="1">#REF!</definedName>
    <definedName name="__123Graph_D" localSheetId="44" hidden="1">#REF!</definedName>
    <definedName name="__123Graph_D" localSheetId="10" hidden="1">#REF!</definedName>
    <definedName name="__123Graph_D" localSheetId="14" hidden="1">#REF!</definedName>
    <definedName name="__123Graph_D" localSheetId="15" hidden="1">#REF!</definedName>
    <definedName name="__123Graph_D" localSheetId="40" hidden="1">#REF!</definedName>
    <definedName name="__123Graph_D" localSheetId="12" hidden="1">#REF!</definedName>
    <definedName name="__123Graph_D" localSheetId="22" hidden="1">#REF!</definedName>
    <definedName name="__123Graph_D" localSheetId="26" hidden="1">#REF!</definedName>
    <definedName name="__123Graph_D" localSheetId="19" hidden="1">#REF!</definedName>
    <definedName name="__123Graph_D" localSheetId="39" hidden="1">#REF!</definedName>
    <definedName name="__123Graph_D" localSheetId="31" hidden="1">#REF!</definedName>
    <definedName name="__123Graph_D" localSheetId="41" hidden="1">#REF!</definedName>
    <definedName name="__123Graph_D" localSheetId="45" hidden="1">#REF!</definedName>
    <definedName name="__123Graph_D" localSheetId="75" hidden="1">#REF!</definedName>
    <definedName name="__123Graph_D" localSheetId="80" hidden="1">#REF!</definedName>
    <definedName name="__123Graph_D" localSheetId="52" hidden="1">#REF!</definedName>
    <definedName name="__123Graph_D" localSheetId="98" hidden="1">#REF!</definedName>
    <definedName name="__123Graph_D" localSheetId="77" hidden="1">#REF!</definedName>
    <definedName name="__123Graph_D" localSheetId="53" hidden="1">#REF!</definedName>
    <definedName name="__123Graph_D" localSheetId="59" hidden="1">#REF!</definedName>
    <definedName name="__123Graph_D" localSheetId="92" hidden="1">#REF!</definedName>
    <definedName name="__123Graph_D" localSheetId="81" hidden="1">#REF!</definedName>
    <definedName name="__123Graph_D" localSheetId="56" hidden="1">#REF!</definedName>
    <definedName name="__123Graph_D" localSheetId="79" hidden="1">#REF!</definedName>
    <definedName name="__123Graph_D" localSheetId="89" hidden="1">#REF!</definedName>
    <definedName name="__123Graph_D" localSheetId="76" hidden="1">#REF!</definedName>
    <definedName name="__123Graph_D" localSheetId="25" hidden="1">#REF!</definedName>
    <definedName name="__123Graph_D" localSheetId="34" hidden="1">#REF!</definedName>
    <definedName name="__123Graph_D" localSheetId="38" hidden="1">#REF!</definedName>
    <definedName name="__123Graph_D" localSheetId="9" hidden="1">#REF!</definedName>
    <definedName name="__123Graph_D" localSheetId="24" hidden="1">#REF!</definedName>
    <definedName name="__123Graph_D" localSheetId="32" hidden="1">#REF!</definedName>
    <definedName name="__123Graph_D" localSheetId="42" hidden="1">#REF!</definedName>
    <definedName name="__123Graph_D" localSheetId="29" hidden="1">#REF!</definedName>
    <definedName name="__123Graph_D" localSheetId="23" hidden="1">#REF!</definedName>
    <definedName name="__123Graph_D" localSheetId="36" hidden="1">#REF!</definedName>
    <definedName name="__123Graph_D" localSheetId="8" hidden="1">#REF!</definedName>
    <definedName name="__123Graph_D" localSheetId="27" hidden="1">#REF!</definedName>
    <definedName name="__123Graph_D" hidden="1">#REF!</definedName>
    <definedName name="__123Graph_DBERLGRAP" localSheetId="28" hidden="1">#REF!</definedName>
    <definedName name="__123Graph_DBERLGRAP" localSheetId="33" hidden="1">#REF!</definedName>
    <definedName name="__123Graph_DBERLGRAP" localSheetId="47" hidden="1">#REF!</definedName>
    <definedName name="__123Graph_DBERLGRAP" localSheetId="48" hidden="1">#REF!</definedName>
    <definedName name="__123Graph_DBERLGRAP" localSheetId="49" hidden="1">#REF!</definedName>
    <definedName name="__123Graph_DBERLGRAP" localSheetId="5" hidden="1">#REF!</definedName>
    <definedName name="__123Graph_DBERLGRAP" localSheetId="7" hidden="1">#REF!</definedName>
    <definedName name="__123Graph_DBERLGRAP" localSheetId="0" hidden="1">#REF!</definedName>
    <definedName name="__123Graph_DBERLGRAP" localSheetId="35" hidden="1">#REF!</definedName>
    <definedName name="__123Graph_DBERLGRAP" localSheetId="37" hidden="1">#REF!</definedName>
    <definedName name="__123Graph_DBERLGRAP" localSheetId="21" hidden="1">#REF!</definedName>
    <definedName name="__123Graph_DBERLGRAP" localSheetId="16" hidden="1">#REF!</definedName>
    <definedName name="__123Graph_DBERLGRAP" localSheetId="51" hidden="1">#REF!</definedName>
    <definedName name="__123Graph_DBERLGRAP" localSheetId="50" hidden="1">#REF!</definedName>
    <definedName name="__123Graph_DBERLGRAP" localSheetId="18" hidden="1">#REF!</definedName>
    <definedName name="__123Graph_DBERLGRAP" localSheetId="46" hidden="1">#REF!</definedName>
    <definedName name="__123Graph_DBERLGRAP" localSheetId="30" hidden="1">#REF!</definedName>
    <definedName name="__123Graph_DBERLGRAP" localSheetId="6" hidden="1">#REF!</definedName>
    <definedName name="__123Graph_DBERLGRAP" localSheetId="20" hidden="1">#REF!</definedName>
    <definedName name="__123Graph_DBERLGRAP" localSheetId="43" hidden="1">#REF!</definedName>
    <definedName name="__123Graph_DBERLGRAP" localSheetId="44" hidden="1">#REF!</definedName>
    <definedName name="__123Graph_DBERLGRAP" localSheetId="10" hidden="1">#REF!</definedName>
    <definedName name="__123Graph_DBERLGRAP" localSheetId="14" hidden="1">#REF!</definedName>
    <definedName name="__123Graph_DBERLGRAP" localSheetId="15" hidden="1">#REF!</definedName>
    <definedName name="__123Graph_DBERLGRAP" localSheetId="40" hidden="1">#REF!</definedName>
    <definedName name="__123Graph_DBERLGRAP" localSheetId="12" hidden="1">#REF!</definedName>
    <definedName name="__123Graph_DBERLGRAP" localSheetId="22" hidden="1">#REF!</definedName>
    <definedName name="__123Graph_DBERLGRAP" localSheetId="26" hidden="1">#REF!</definedName>
    <definedName name="__123Graph_DBERLGRAP" localSheetId="19" hidden="1">#REF!</definedName>
    <definedName name="__123Graph_DBERLGRAP" localSheetId="39" hidden="1">#REF!</definedName>
    <definedName name="__123Graph_DBERLGRAP" localSheetId="31" hidden="1">#REF!</definedName>
    <definedName name="__123Graph_DBERLGRAP" localSheetId="41" hidden="1">#REF!</definedName>
    <definedName name="__123Graph_DBERLGRAP" localSheetId="45" hidden="1">#REF!</definedName>
    <definedName name="__123Graph_DBERLGRAP" localSheetId="75" hidden="1">#REF!</definedName>
    <definedName name="__123Graph_DBERLGRAP" localSheetId="80" hidden="1">#REF!</definedName>
    <definedName name="__123Graph_DBERLGRAP" localSheetId="52" hidden="1">#REF!</definedName>
    <definedName name="__123Graph_DBERLGRAP" localSheetId="98" hidden="1">#REF!</definedName>
    <definedName name="__123Graph_DBERLGRAP" localSheetId="77" hidden="1">#REF!</definedName>
    <definedName name="__123Graph_DBERLGRAP" localSheetId="53" hidden="1">#REF!</definedName>
    <definedName name="__123Graph_DBERLGRAP" localSheetId="59" hidden="1">#REF!</definedName>
    <definedName name="__123Graph_DBERLGRAP" localSheetId="92" hidden="1">#REF!</definedName>
    <definedName name="__123Graph_DBERLGRAP" localSheetId="81" hidden="1">#REF!</definedName>
    <definedName name="__123Graph_DBERLGRAP" localSheetId="79" hidden="1">#REF!</definedName>
    <definedName name="__123Graph_DBERLGRAP" localSheetId="89" hidden="1">#REF!</definedName>
    <definedName name="__123Graph_DBERLGRAP" localSheetId="76" hidden="1">#REF!</definedName>
    <definedName name="__123Graph_DBERLGRAP" localSheetId="25" hidden="1">#REF!</definedName>
    <definedName name="__123Graph_DBERLGRAP" localSheetId="34" hidden="1">#REF!</definedName>
    <definedName name="__123Graph_DBERLGRAP" localSheetId="38" hidden="1">#REF!</definedName>
    <definedName name="__123Graph_DBERLGRAP" localSheetId="9" hidden="1">#REF!</definedName>
    <definedName name="__123Graph_DBERLGRAP" localSheetId="24" hidden="1">#REF!</definedName>
    <definedName name="__123Graph_DBERLGRAP" localSheetId="32" hidden="1">#REF!</definedName>
    <definedName name="__123Graph_DBERLGRAP" localSheetId="42" hidden="1">#REF!</definedName>
    <definedName name="__123Graph_DBERLGRAP" localSheetId="29" hidden="1">#REF!</definedName>
    <definedName name="__123Graph_DBERLGRAP" localSheetId="23" hidden="1">#REF!</definedName>
    <definedName name="__123Graph_DBERLGRAP" localSheetId="36" hidden="1">#REF!</definedName>
    <definedName name="__123Graph_DBERLGRAP" localSheetId="8" hidden="1">#REF!</definedName>
    <definedName name="__123Graph_DBERLGRAP" localSheetId="27" hidden="1">#REF!</definedName>
    <definedName name="__123Graph_DBERLGRAP" hidden="1">#REF!</definedName>
    <definedName name="__123Graph_DCATCH1" localSheetId="28" hidden="1">#REF!</definedName>
    <definedName name="__123Graph_DCATCH1" localSheetId="33" hidden="1">#REF!</definedName>
    <definedName name="__123Graph_DCATCH1" localSheetId="47" hidden="1">#REF!</definedName>
    <definedName name="__123Graph_DCATCH1" localSheetId="48" hidden="1">#REF!</definedName>
    <definedName name="__123Graph_DCATCH1" localSheetId="49" hidden="1">#REF!</definedName>
    <definedName name="__123Graph_DCATCH1" localSheetId="5" hidden="1">#REF!</definedName>
    <definedName name="__123Graph_DCATCH1" localSheetId="7" hidden="1">#REF!</definedName>
    <definedName name="__123Graph_DCATCH1" localSheetId="0" hidden="1">#REF!</definedName>
    <definedName name="__123Graph_DCATCH1" localSheetId="35" hidden="1">#REF!</definedName>
    <definedName name="__123Graph_DCATCH1" localSheetId="37" hidden="1">#REF!</definedName>
    <definedName name="__123Graph_DCATCH1" localSheetId="21" hidden="1">#REF!</definedName>
    <definedName name="__123Graph_DCATCH1" localSheetId="16" hidden="1">#REF!</definedName>
    <definedName name="__123Graph_DCATCH1" localSheetId="51" hidden="1">#REF!</definedName>
    <definedName name="__123Graph_DCATCH1" localSheetId="50" hidden="1">#REF!</definedName>
    <definedName name="__123Graph_DCATCH1" localSheetId="18" hidden="1">#REF!</definedName>
    <definedName name="__123Graph_DCATCH1" localSheetId="46" hidden="1">#REF!</definedName>
    <definedName name="__123Graph_DCATCH1" localSheetId="30" hidden="1">#REF!</definedName>
    <definedName name="__123Graph_DCATCH1" localSheetId="6" hidden="1">#REF!</definedName>
    <definedName name="__123Graph_DCATCH1" localSheetId="20" hidden="1">#REF!</definedName>
    <definedName name="__123Graph_DCATCH1" localSheetId="43" hidden="1">#REF!</definedName>
    <definedName name="__123Graph_DCATCH1" localSheetId="44" hidden="1">#REF!</definedName>
    <definedName name="__123Graph_DCATCH1" localSheetId="10" hidden="1">#REF!</definedName>
    <definedName name="__123Graph_DCATCH1" localSheetId="14" hidden="1">#REF!</definedName>
    <definedName name="__123Graph_DCATCH1" localSheetId="15" hidden="1">#REF!</definedName>
    <definedName name="__123Graph_DCATCH1" localSheetId="40" hidden="1">#REF!</definedName>
    <definedName name="__123Graph_DCATCH1" localSheetId="12" hidden="1">#REF!</definedName>
    <definedName name="__123Graph_DCATCH1" localSheetId="22" hidden="1">#REF!</definedName>
    <definedName name="__123Graph_DCATCH1" localSheetId="26" hidden="1">#REF!</definedName>
    <definedName name="__123Graph_DCATCH1" localSheetId="19" hidden="1">#REF!</definedName>
    <definedName name="__123Graph_DCATCH1" localSheetId="39" hidden="1">#REF!</definedName>
    <definedName name="__123Graph_DCATCH1" localSheetId="31" hidden="1">#REF!</definedName>
    <definedName name="__123Graph_DCATCH1" localSheetId="41" hidden="1">#REF!</definedName>
    <definedName name="__123Graph_DCATCH1" localSheetId="45" hidden="1">#REF!</definedName>
    <definedName name="__123Graph_DCATCH1" localSheetId="75" hidden="1">#REF!</definedName>
    <definedName name="__123Graph_DCATCH1" localSheetId="80" hidden="1">#REF!</definedName>
    <definedName name="__123Graph_DCATCH1" localSheetId="52" hidden="1">#REF!</definedName>
    <definedName name="__123Graph_DCATCH1" localSheetId="98" hidden="1">#REF!</definedName>
    <definedName name="__123Graph_DCATCH1" localSheetId="77" hidden="1">#REF!</definedName>
    <definedName name="__123Graph_DCATCH1" localSheetId="53" hidden="1">#REF!</definedName>
    <definedName name="__123Graph_DCATCH1" localSheetId="59" hidden="1">#REF!</definedName>
    <definedName name="__123Graph_DCATCH1" localSheetId="92" hidden="1">#REF!</definedName>
    <definedName name="__123Graph_DCATCH1" localSheetId="81" hidden="1">#REF!</definedName>
    <definedName name="__123Graph_DCATCH1" localSheetId="79" hidden="1">#REF!</definedName>
    <definedName name="__123Graph_DCATCH1" localSheetId="89" hidden="1">#REF!</definedName>
    <definedName name="__123Graph_DCATCH1" localSheetId="76" hidden="1">#REF!</definedName>
    <definedName name="__123Graph_DCATCH1" localSheetId="25" hidden="1">#REF!</definedName>
    <definedName name="__123Graph_DCATCH1" localSheetId="34" hidden="1">#REF!</definedName>
    <definedName name="__123Graph_DCATCH1" localSheetId="38" hidden="1">#REF!</definedName>
    <definedName name="__123Graph_DCATCH1" localSheetId="9" hidden="1">#REF!</definedName>
    <definedName name="__123Graph_DCATCH1" localSheetId="24" hidden="1">#REF!</definedName>
    <definedName name="__123Graph_DCATCH1" localSheetId="32" hidden="1">#REF!</definedName>
    <definedName name="__123Graph_DCATCH1" localSheetId="42" hidden="1">#REF!</definedName>
    <definedName name="__123Graph_DCATCH1" localSheetId="29" hidden="1">#REF!</definedName>
    <definedName name="__123Graph_DCATCH1" localSheetId="23" hidden="1">#REF!</definedName>
    <definedName name="__123Graph_DCATCH1" localSheetId="36" hidden="1">#REF!</definedName>
    <definedName name="__123Graph_DCATCH1" localSheetId="8" hidden="1">#REF!</definedName>
    <definedName name="__123Graph_DCATCH1" localSheetId="27" hidden="1">#REF!</definedName>
    <definedName name="__123Graph_DCATCH1" hidden="1">#REF!</definedName>
    <definedName name="__123Graph_DCONVERG1" localSheetId="28" hidden="1">#REF!</definedName>
    <definedName name="__123Graph_DCONVERG1" localSheetId="33" hidden="1">#REF!</definedName>
    <definedName name="__123Graph_DCONVERG1" localSheetId="47" hidden="1">#REF!</definedName>
    <definedName name="__123Graph_DCONVERG1" localSheetId="48" hidden="1">#REF!</definedName>
    <definedName name="__123Graph_DCONVERG1" localSheetId="49" hidden="1">#REF!</definedName>
    <definedName name="__123Graph_DCONVERG1" localSheetId="5" hidden="1">#REF!</definedName>
    <definedName name="__123Graph_DCONVERG1" localSheetId="7" hidden="1">#REF!</definedName>
    <definedName name="__123Graph_DCONVERG1" localSheetId="0" hidden="1">#REF!</definedName>
    <definedName name="__123Graph_DCONVERG1" localSheetId="35" hidden="1">#REF!</definedName>
    <definedName name="__123Graph_DCONVERG1" localSheetId="37" hidden="1">#REF!</definedName>
    <definedName name="__123Graph_DCONVERG1" localSheetId="21" hidden="1">#REF!</definedName>
    <definedName name="__123Graph_DCONVERG1" localSheetId="16" hidden="1">#REF!</definedName>
    <definedName name="__123Graph_DCONVERG1" localSheetId="51" hidden="1">#REF!</definedName>
    <definedName name="__123Graph_DCONVERG1" localSheetId="50" hidden="1">#REF!</definedName>
    <definedName name="__123Graph_DCONVERG1" localSheetId="18" hidden="1">#REF!</definedName>
    <definedName name="__123Graph_DCONVERG1" localSheetId="46" hidden="1">#REF!</definedName>
    <definedName name="__123Graph_DCONVERG1" localSheetId="30" hidden="1">#REF!</definedName>
    <definedName name="__123Graph_DCONVERG1" localSheetId="6" hidden="1">#REF!</definedName>
    <definedName name="__123Graph_DCONVERG1" localSheetId="20" hidden="1">#REF!</definedName>
    <definedName name="__123Graph_DCONVERG1" localSheetId="43" hidden="1">#REF!</definedName>
    <definedName name="__123Graph_DCONVERG1" localSheetId="44" hidden="1">#REF!</definedName>
    <definedName name="__123Graph_DCONVERG1" localSheetId="10" hidden="1">#REF!</definedName>
    <definedName name="__123Graph_DCONVERG1" localSheetId="14" hidden="1">#REF!</definedName>
    <definedName name="__123Graph_DCONVERG1" localSheetId="15" hidden="1">#REF!</definedName>
    <definedName name="__123Graph_DCONVERG1" localSheetId="40" hidden="1">#REF!</definedName>
    <definedName name="__123Graph_DCONVERG1" localSheetId="12" hidden="1">#REF!</definedName>
    <definedName name="__123Graph_DCONVERG1" localSheetId="22" hidden="1">#REF!</definedName>
    <definedName name="__123Graph_DCONVERG1" localSheetId="26" hidden="1">#REF!</definedName>
    <definedName name="__123Graph_DCONVERG1" localSheetId="19" hidden="1">#REF!</definedName>
    <definedName name="__123Graph_DCONVERG1" localSheetId="39" hidden="1">#REF!</definedName>
    <definedName name="__123Graph_DCONVERG1" localSheetId="31" hidden="1">#REF!</definedName>
    <definedName name="__123Graph_DCONVERG1" localSheetId="41" hidden="1">#REF!</definedName>
    <definedName name="__123Graph_DCONVERG1" localSheetId="45" hidden="1">#REF!</definedName>
    <definedName name="__123Graph_DCONVERG1" localSheetId="75" hidden="1">#REF!</definedName>
    <definedName name="__123Graph_DCONVERG1" localSheetId="80" hidden="1">#REF!</definedName>
    <definedName name="__123Graph_DCONVERG1" localSheetId="52" hidden="1">#REF!</definedName>
    <definedName name="__123Graph_DCONVERG1" localSheetId="98" hidden="1">#REF!</definedName>
    <definedName name="__123Graph_DCONVERG1" localSheetId="77" hidden="1">#REF!</definedName>
    <definedName name="__123Graph_DCONVERG1" localSheetId="53" hidden="1">#REF!</definedName>
    <definedName name="__123Graph_DCONVERG1" localSheetId="59" hidden="1">#REF!</definedName>
    <definedName name="__123Graph_DCONVERG1" localSheetId="92" hidden="1">#REF!</definedName>
    <definedName name="__123Graph_DCONVERG1" localSheetId="81" hidden="1">#REF!</definedName>
    <definedName name="__123Graph_DCONVERG1" localSheetId="79" hidden="1">#REF!</definedName>
    <definedName name="__123Graph_DCONVERG1" localSheetId="89" hidden="1">#REF!</definedName>
    <definedName name="__123Graph_DCONVERG1" localSheetId="76" hidden="1">#REF!</definedName>
    <definedName name="__123Graph_DCONVERG1" localSheetId="25" hidden="1">#REF!</definedName>
    <definedName name="__123Graph_DCONVERG1" localSheetId="34" hidden="1">#REF!</definedName>
    <definedName name="__123Graph_DCONVERG1" localSheetId="38" hidden="1">#REF!</definedName>
    <definedName name="__123Graph_DCONVERG1" localSheetId="9" hidden="1">#REF!</definedName>
    <definedName name="__123Graph_DCONVERG1" localSheetId="24" hidden="1">#REF!</definedName>
    <definedName name="__123Graph_DCONVERG1" localSheetId="32" hidden="1">#REF!</definedName>
    <definedName name="__123Graph_DCONVERG1" localSheetId="42" hidden="1">#REF!</definedName>
    <definedName name="__123Graph_DCONVERG1" localSheetId="29" hidden="1">#REF!</definedName>
    <definedName name="__123Graph_DCONVERG1" localSheetId="23" hidden="1">#REF!</definedName>
    <definedName name="__123Graph_DCONVERG1" localSheetId="36" hidden="1">#REF!</definedName>
    <definedName name="__123Graph_DCONVERG1" localSheetId="8" hidden="1">#REF!</definedName>
    <definedName name="__123Graph_DCONVERG1" localSheetId="27" hidden="1">#REF!</definedName>
    <definedName name="__123Graph_DCONVERG1" hidden="1">#REF!</definedName>
    <definedName name="__123Graph_DECTOT" localSheetId="28" hidden="1">#REF!</definedName>
    <definedName name="__123Graph_DECTOT" localSheetId="33" hidden="1">#REF!</definedName>
    <definedName name="__123Graph_DECTOT" localSheetId="47" hidden="1">#REF!</definedName>
    <definedName name="__123Graph_DECTOT" localSheetId="48" hidden="1">#REF!</definedName>
    <definedName name="__123Graph_DECTOT" localSheetId="49" hidden="1">#REF!</definedName>
    <definedName name="__123Graph_DECTOT" localSheetId="5" hidden="1">#REF!</definedName>
    <definedName name="__123Graph_DECTOT" localSheetId="7" hidden="1">#REF!</definedName>
    <definedName name="__123Graph_DECTOT" localSheetId="0" hidden="1">#REF!</definedName>
    <definedName name="__123Graph_DECTOT" localSheetId="35" hidden="1">#REF!</definedName>
    <definedName name="__123Graph_DECTOT" localSheetId="37" hidden="1">#REF!</definedName>
    <definedName name="__123Graph_DECTOT" localSheetId="21" hidden="1">#REF!</definedName>
    <definedName name="__123Graph_DECTOT" localSheetId="16" hidden="1">#REF!</definedName>
    <definedName name="__123Graph_DECTOT" localSheetId="51" hidden="1">#REF!</definedName>
    <definedName name="__123Graph_DECTOT" localSheetId="50" hidden="1">#REF!</definedName>
    <definedName name="__123Graph_DECTOT" localSheetId="18" hidden="1">#REF!</definedName>
    <definedName name="__123Graph_DECTOT" localSheetId="46" hidden="1">#REF!</definedName>
    <definedName name="__123Graph_DECTOT" localSheetId="30" hidden="1">#REF!</definedName>
    <definedName name="__123Graph_DECTOT" localSheetId="6" hidden="1">#REF!</definedName>
    <definedName name="__123Graph_DECTOT" localSheetId="20" hidden="1">#REF!</definedName>
    <definedName name="__123Graph_DECTOT" localSheetId="43" hidden="1">#REF!</definedName>
    <definedName name="__123Graph_DECTOT" localSheetId="44" hidden="1">#REF!</definedName>
    <definedName name="__123Graph_DECTOT" localSheetId="10" hidden="1">#REF!</definedName>
    <definedName name="__123Graph_DECTOT" localSheetId="14" hidden="1">#REF!</definedName>
    <definedName name="__123Graph_DECTOT" localSheetId="15" hidden="1">#REF!</definedName>
    <definedName name="__123Graph_DECTOT" localSheetId="40" hidden="1">#REF!</definedName>
    <definedName name="__123Graph_DECTOT" localSheetId="12" hidden="1">#REF!</definedName>
    <definedName name="__123Graph_DECTOT" localSheetId="22" hidden="1">#REF!</definedName>
    <definedName name="__123Graph_DECTOT" localSheetId="26" hidden="1">#REF!</definedName>
    <definedName name="__123Graph_DECTOT" localSheetId="19" hidden="1">#REF!</definedName>
    <definedName name="__123Graph_DECTOT" localSheetId="39" hidden="1">#REF!</definedName>
    <definedName name="__123Graph_DECTOT" localSheetId="31" hidden="1">#REF!</definedName>
    <definedName name="__123Graph_DECTOT" localSheetId="41" hidden="1">#REF!</definedName>
    <definedName name="__123Graph_DECTOT" localSheetId="45" hidden="1">#REF!</definedName>
    <definedName name="__123Graph_DECTOT" localSheetId="75" hidden="1">#REF!</definedName>
    <definedName name="__123Graph_DECTOT" localSheetId="80" hidden="1">#REF!</definedName>
    <definedName name="__123Graph_DECTOT" localSheetId="52" hidden="1">#REF!</definedName>
    <definedName name="__123Graph_DECTOT" localSheetId="98" hidden="1">#REF!</definedName>
    <definedName name="__123Graph_DECTOT" localSheetId="77" hidden="1">#REF!</definedName>
    <definedName name="__123Graph_DECTOT" localSheetId="53" hidden="1">#REF!</definedName>
    <definedName name="__123Graph_DECTOT" localSheetId="59" hidden="1">#REF!</definedName>
    <definedName name="__123Graph_DECTOT" localSheetId="92" hidden="1">#REF!</definedName>
    <definedName name="__123Graph_DECTOT" localSheetId="81" hidden="1">#REF!</definedName>
    <definedName name="__123Graph_DECTOT" localSheetId="56" hidden="1">#REF!</definedName>
    <definedName name="__123Graph_DECTOT" localSheetId="79" hidden="1">#REF!</definedName>
    <definedName name="__123Graph_DECTOT" localSheetId="89" hidden="1">#REF!</definedName>
    <definedName name="__123Graph_DECTOT" localSheetId="76" hidden="1">#REF!</definedName>
    <definedName name="__123Graph_DECTOT" localSheetId="25" hidden="1">#REF!</definedName>
    <definedName name="__123Graph_DECTOT" localSheetId="34" hidden="1">#REF!</definedName>
    <definedName name="__123Graph_DECTOT" localSheetId="38" hidden="1">#REF!</definedName>
    <definedName name="__123Graph_DECTOT" localSheetId="9" hidden="1">#REF!</definedName>
    <definedName name="__123Graph_DECTOT" localSheetId="24" hidden="1">#REF!</definedName>
    <definedName name="__123Graph_DECTOT" localSheetId="32" hidden="1">#REF!</definedName>
    <definedName name="__123Graph_DECTOT" localSheetId="42" hidden="1">#REF!</definedName>
    <definedName name="__123Graph_DECTOT" localSheetId="29" hidden="1">#REF!</definedName>
    <definedName name="__123Graph_DECTOT" localSheetId="23" hidden="1">#REF!</definedName>
    <definedName name="__123Graph_DECTOT" localSheetId="36" hidden="1">#REF!</definedName>
    <definedName name="__123Graph_DECTOT" localSheetId="8" hidden="1">#REF!</definedName>
    <definedName name="__123Graph_DECTOT" localSheetId="27" hidden="1">#REF!</definedName>
    <definedName name="__123Graph_DECTOT" hidden="1">#REF!</definedName>
    <definedName name="__123Graph_DGRAPH1" localSheetId="0" hidden="1">'[1]GDP(O)'!$F$2427:$F$2427</definedName>
    <definedName name="__123Graph_DGRAPH1" hidden="1">'[1]GDP(O)'!$F$2427:$F$2427</definedName>
    <definedName name="__123Graph_DGRAPH41" localSheetId="28" hidden="1">#REF!</definedName>
    <definedName name="__123Graph_DGRAPH41" localSheetId="33" hidden="1">#REF!</definedName>
    <definedName name="__123Graph_DGRAPH41" localSheetId="47" hidden="1">#REF!</definedName>
    <definedName name="__123Graph_DGRAPH41" localSheetId="48" hidden="1">#REF!</definedName>
    <definedName name="__123Graph_DGRAPH41" localSheetId="49" hidden="1">#REF!</definedName>
    <definedName name="__123Graph_DGRAPH41" localSheetId="5" hidden="1">#REF!</definedName>
    <definedName name="__123Graph_DGRAPH41" localSheetId="7" hidden="1">#REF!</definedName>
    <definedName name="__123Graph_DGRAPH41" localSheetId="0" hidden="1">#REF!</definedName>
    <definedName name="__123Graph_DGRAPH41" localSheetId="35" hidden="1">#REF!</definedName>
    <definedName name="__123Graph_DGRAPH41" localSheetId="37" hidden="1">#REF!</definedName>
    <definedName name="__123Graph_DGRAPH41" localSheetId="21" hidden="1">#REF!</definedName>
    <definedName name="__123Graph_DGRAPH41" localSheetId="16" hidden="1">#REF!</definedName>
    <definedName name="__123Graph_DGRAPH41" localSheetId="51" hidden="1">#REF!</definedName>
    <definedName name="__123Graph_DGRAPH41" localSheetId="50" hidden="1">#REF!</definedName>
    <definedName name="__123Graph_DGRAPH41" localSheetId="18" hidden="1">#REF!</definedName>
    <definedName name="__123Graph_DGRAPH41" localSheetId="46" hidden="1">#REF!</definedName>
    <definedName name="__123Graph_DGRAPH41" localSheetId="30" hidden="1">#REF!</definedName>
    <definedName name="__123Graph_DGRAPH41" localSheetId="6" hidden="1">#REF!</definedName>
    <definedName name="__123Graph_DGRAPH41" localSheetId="20" hidden="1">#REF!</definedName>
    <definedName name="__123Graph_DGRAPH41" localSheetId="43" hidden="1">#REF!</definedName>
    <definedName name="__123Graph_DGRAPH41" localSheetId="44" hidden="1">#REF!</definedName>
    <definedName name="__123Graph_DGRAPH41" localSheetId="10" hidden="1">#REF!</definedName>
    <definedName name="__123Graph_DGRAPH41" localSheetId="14" hidden="1">#REF!</definedName>
    <definedName name="__123Graph_DGRAPH41" localSheetId="15" hidden="1">#REF!</definedName>
    <definedName name="__123Graph_DGRAPH41" localSheetId="40" hidden="1">#REF!</definedName>
    <definedName name="__123Graph_DGRAPH41" localSheetId="12" hidden="1">#REF!</definedName>
    <definedName name="__123Graph_DGRAPH41" localSheetId="22" hidden="1">#REF!</definedName>
    <definedName name="__123Graph_DGRAPH41" localSheetId="26" hidden="1">#REF!</definedName>
    <definedName name="__123Graph_DGRAPH41" localSheetId="19" hidden="1">#REF!</definedName>
    <definedName name="__123Graph_DGRAPH41" localSheetId="39" hidden="1">#REF!</definedName>
    <definedName name="__123Graph_DGRAPH41" localSheetId="31" hidden="1">#REF!</definedName>
    <definedName name="__123Graph_DGRAPH41" localSheetId="41" hidden="1">#REF!</definedName>
    <definedName name="__123Graph_DGRAPH41" localSheetId="45" hidden="1">#REF!</definedName>
    <definedName name="__123Graph_DGRAPH41" localSheetId="75" hidden="1">#REF!</definedName>
    <definedName name="__123Graph_DGRAPH41" localSheetId="80" hidden="1">#REF!</definedName>
    <definedName name="__123Graph_DGRAPH41" localSheetId="52" hidden="1">#REF!</definedName>
    <definedName name="__123Graph_DGRAPH41" localSheetId="98" hidden="1">#REF!</definedName>
    <definedName name="__123Graph_DGRAPH41" localSheetId="77" hidden="1">#REF!</definedName>
    <definedName name="__123Graph_DGRAPH41" localSheetId="53" hidden="1">#REF!</definedName>
    <definedName name="__123Graph_DGRAPH41" localSheetId="59" hidden="1">#REF!</definedName>
    <definedName name="__123Graph_DGRAPH41" localSheetId="92" hidden="1">#REF!</definedName>
    <definedName name="__123Graph_DGRAPH41" localSheetId="81" hidden="1">#REF!</definedName>
    <definedName name="__123Graph_DGRAPH41" localSheetId="79" hidden="1">#REF!</definedName>
    <definedName name="__123Graph_DGRAPH41" localSheetId="89" hidden="1">#REF!</definedName>
    <definedName name="__123Graph_DGRAPH41" localSheetId="76" hidden="1">#REF!</definedName>
    <definedName name="__123Graph_DGRAPH41" localSheetId="25" hidden="1">#REF!</definedName>
    <definedName name="__123Graph_DGRAPH41" localSheetId="34" hidden="1">#REF!</definedName>
    <definedName name="__123Graph_DGRAPH41" localSheetId="38" hidden="1">#REF!</definedName>
    <definedName name="__123Graph_DGRAPH41" localSheetId="9" hidden="1">#REF!</definedName>
    <definedName name="__123Graph_DGRAPH41" localSheetId="24" hidden="1">#REF!</definedName>
    <definedName name="__123Graph_DGRAPH41" localSheetId="32" hidden="1">#REF!</definedName>
    <definedName name="__123Graph_DGRAPH41" localSheetId="42" hidden="1">#REF!</definedName>
    <definedName name="__123Graph_DGRAPH41" localSheetId="29" hidden="1">#REF!</definedName>
    <definedName name="__123Graph_DGRAPH41" localSheetId="23" hidden="1">#REF!</definedName>
    <definedName name="__123Graph_DGRAPH41" localSheetId="36" hidden="1">#REF!</definedName>
    <definedName name="__123Graph_DGRAPH41" localSheetId="8" hidden="1">#REF!</definedName>
    <definedName name="__123Graph_DGRAPH41" localSheetId="27" hidden="1">#REF!</definedName>
    <definedName name="__123Graph_DGRAPH41" hidden="1">#REF!</definedName>
    <definedName name="__123Graph_DPERIA" localSheetId="28" hidden="1">#REF!</definedName>
    <definedName name="__123Graph_DPERIA" localSheetId="33" hidden="1">#REF!</definedName>
    <definedName name="__123Graph_DPERIA" localSheetId="47" hidden="1">#REF!</definedName>
    <definedName name="__123Graph_DPERIA" localSheetId="48" hidden="1">#REF!</definedName>
    <definedName name="__123Graph_DPERIA" localSheetId="49" hidden="1">#REF!</definedName>
    <definedName name="__123Graph_DPERIA" localSheetId="5" hidden="1">#REF!</definedName>
    <definedName name="__123Graph_DPERIA" localSheetId="7" hidden="1">#REF!</definedName>
    <definedName name="__123Graph_DPERIA" localSheetId="0" hidden="1">#REF!</definedName>
    <definedName name="__123Graph_DPERIA" localSheetId="35" hidden="1">#REF!</definedName>
    <definedName name="__123Graph_DPERIA" localSheetId="37" hidden="1">#REF!</definedName>
    <definedName name="__123Graph_DPERIA" localSheetId="21" hidden="1">#REF!</definedName>
    <definedName name="__123Graph_DPERIA" localSheetId="16" hidden="1">#REF!</definedName>
    <definedName name="__123Graph_DPERIA" localSheetId="51" hidden="1">#REF!</definedName>
    <definedName name="__123Graph_DPERIA" localSheetId="50" hidden="1">#REF!</definedName>
    <definedName name="__123Graph_DPERIA" localSheetId="18" hidden="1">#REF!</definedName>
    <definedName name="__123Graph_DPERIA" localSheetId="46" hidden="1">#REF!</definedName>
    <definedName name="__123Graph_DPERIA" localSheetId="30" hidden="1">#REF!</definedName>
    <definedName name="__123Graph_DPERIA" localSheetId="6" hidden="1">#REF!</definedName>
    <definedName name="__123Graph_DPERIA" localSheetId="20" hidden="1">#REF!</definedName>
    <definedName name="__123Graph_DPERIA" localSheetId="43" hidden="1">#REF!</definedName>
    <definedName name="__123Graph_DPERIA" localSheetId="44" hidden="1">#REF!</definedName>
    <definedName name="__123Graph_DPERIA" localSheetId="10" hidden="1">#REF!</definedName>
    <definedName name="__123Graph_DPERIA" localSheetId="14" hidden="1">#REF!</definedName>
    <definedName name="__123Graph_DPERIA" localSheetId="15" hidden="1">#REF!</definedName>
    <definedName name="__123Graph_DPERIA" localSheetId="40" hidden="1">#REF!</definedName>
    <definedName name="__123Graph_DPERIA" localSheetId="12" hidden="1">#REF!</definedName>
    <definedName name="__123Graph_DPERIA" localSheetId="22" hidden="1">#REF!</definedName>
    <definedName name="__123Graph_DPERIA" localSheetId="26" hidden="1">#REF!</definedName>
    <definedName name="__123Graph_DPERIA" localSheetId="19" hidden="1">#REF!</definedName>
    <definedName name="__123Graph_DPERIA" localSheetId="39" hidden="1">#REF!</definedName>
    <definedName name="__123Graph_DPERIA" localSheetId="31" hidden="1">#REF!</definedName>
    <definedName name="__123Graph_DPERIA" localSheetId="41" hidden="1">#REF!</definedName>
    <definedName name="__123Graph_DPERIA" localSheetId="45" hidden="1">#REF!</definedName>
    <definedName name="__123Graph_DPERIA" localSheetId="75" hidden="1">#REF!</definedName>
    <definedName name="__123Graph_DPERIA" localSheetId="80" hidden="1">#REF!</definedName>
    <definedName name="__123Graph_DPERIA" localSheetId="52" hidden="1">#REF!</definedName>
    <definedName name="__123Graph_DPERIA" localSheetId="98" hidden="1">#REF!</definedName>
    <definedName name="__123Graph_DPERIA" localSheetId="77" hidden="1">#REF!</definedName>
    <definedName name="__123Graph_DPERIA" localSheetId="53" hidden="1">#REF!</definedName>
    <definedName name="__123Graph_DPERIA" localSheetId="59" hidden="1">#REF!</definedName>
    <definedName name="__123Graph_DPERIA" localSheetId="92" hidden="1">#REF!</definedName>
    <definedName name="__123Graph_DPERIA" localSheetId="81" hidden="1">#REF!</definedName>
    <definedName name="__123Graph_DPERIA" localSheetId="79" hidden="1">#REF!</definedName>
    <definedName name="__123Graph_DPERIA" localSheetId="89" hidden="1">#REF!</definedName>
    <definedName name="__123Graph_DPERIA" localSheetId="76" hidden="1">#REF!</definedName>
    <definedName name="__123Graph_DPERIA" localSheetId="25" hidden="1">#REF!</definedName>
    <definedName name="__123Graph_DPERIA" localSheetId="34" hidden="1">#REF!</definedName>
    <definedName name="__123Graph_DPERIA" localSheetId="38" hidden="1">#REF!</definedName>
    <definedName name="__123Graph_DPERIA" localSheetId="9" hidden="1">#REF!</definedName>
    <definedName name="__123Graph_DPERIA" localSheetId="24" hidden="1">#REF!</definedName>
    <definedName name="__123Graph_DPERIA" localSheetId="32" hidden="1">#REF!</definedName>
    <definedName name="__123Graph_DPERIA" localSheetId="42" hidden="1">#REF!</definedName>
    <definedName name="__123Graph_DPERIA" localSheetId="29" hidden="1">#REF!</definedName>
    <definedName name="__123Graph_DPERIA" localSheetId="23" hidden="1">#REF!</definedName>
    <definedName name="__123Graph_DPERIA" localSheetId="36" hidden="1">#REF!</definedName>
    <definedName name="__123Graph_DPERIA" localSheetId="8" hidden="1">#REF!</definedName>
    <definedName name="__123Graph_DPERIA" localSheetId="27" hidden="1">#REF!</definedName>
    <definedName name="__123Graph_DPERIA" hidden="1">#REF!</definedName>
    <definedName name="__123Graph_DPERIB" localSheetId="28" hidden="1">#REF!</definedName>
    <definedName name="__123Graph_DPERIB" localSheetId="33" hidden="1">#REF!</definedName>
    <definedName name="__123Graph_DPERIB" localSheetId="47" hidden="1">#REF!</definedName>
    <definedName name="__123Graph_DPERIB" localSheetId="48" hidden="1">#REF!</definedName>
    <definedName name="__123Graph_DPERIB" localSheetId="49" hidden="1">#REF!</definedName>
    <definedName name="__123Graph_DPERIB" localSheetId="5" hidden="1">#REF!</definedName>
    <definedName name="__123Graph_DPERIB" localSheetId="7" hidden="1">#REF!</definedName>
    <definedName name="__123Graph_DPERIB" localSheetId="0" hidden="1">#REF!</definedName>
    <definedName name="__123Graph_DPERIB" localSheetId="35" hidden="1">#REF!</definedName>
    <definedName name="__123Graph_DPERIB" localSheetId="37" hidden="1">#REF!</definedName>
    <definedName name="__123Graph_DPERIB" localSheetId="21" hidden="1">#REF!</definedName>
    <definedName name="__123Graph_DPERIB" localSheetId="16" hidden="1">#REF!</definedName>
    <definedName name="__123Graph_DPERIB" localSheetId="51" hidden="1">#REF!</definedName>
    <definedName name="__123Graph_DPERIB" localSheetId="50" hidden="1">#REF!</definedName>
    <definedName name="__123Graph_DPERIB" localSheetId="18" hidden="1">#REF!</definedName>
    <definedName name="__123Graph_DPERIB" localSheetId="46" hidden="1">#REF!</definedName>
    <definedName name="__123Graph_DPERIB" localSheetId="30" hidden="1">#REF!</definedName>
    <definedName name="__123Graph_DPERIB" localSheetId="6" hidden="1">#REF!</definedName>
    <definedName name="__123Graph_DPERIB" localSheetId="20" hidden="1">#REF!</definedName>
    <definedName name="__123Graph_DPERIB" localSheetId="43" hidden="1">#REF!</definedName>
    <definedName name="__123Graph_DPERIB" localSheetId="44" hidden="1">#REF!</definedName>
    <definedName name="__123Graph_DPERIB" localSheetId="10" hidden="1">#REF!</definedName>
    <definedName name="__123Graph_DPERIB" localSheetId="14" hidden="1">#REF!</definedName>
    <definedName name="__123Graph_DPERIB" localSheetId="15" hidden="1">#REF!</definedName>
    <definedName name="__123Graph_DPERIB" localSheetId="40" hidden="1">#REF!</definedName>
    <definedName name="__123Graph_DPERIB" localSheetId="12" hidden="1">#REF!</definedName>
    <definedName name="__123Graph_DPERIB" localSheetId="22" hidden="1">#REF!</definedName>
    <definedName name="__123Graph_DPERIB" localSheetId="26" hidden="1">#REF!</definedName>
    <definedName name="__123Graph_DPERIB" localSheetId="19" hidden="1">#REF!</definedName>
    <definedName name="__123Graph_DPERIB" localSheetId="39" hidden="1">#REF!</definedName>
    <definedName name="__123Graph_DPERIB" localSheetId="31" hidden="1">#REF!</definedName>
    <definedName name="__123Graph_DPERIB" localSheetId="41" hidden="1">#REF!</definedName>
    <definedName name="__123Graph_DPERIB" localSheetId="45" hidden="1">#REF!</definedName>
    <definedName name="__123Graph_DPERIB" localSheetId="75" hidden="1">#REF!</definedName>
    <definedName name="__123Graph_DPERIB" localSheetId="80" hidden="1">#REF!</definedName>
    <definedName name="__123Graph_DPERIB" localSheetId="52" hidden="1">#REF!</definedName>
    <definedName name="__123Graph_DPERIB" localSheetId="98" hidden="1">#REF!</definedName>
    <definedName name="__123Graph_DPERIB" localSheetId="77" hidden="1">#REF!</definedName>
    <definedName name="__123Graph_DPERIB" localSheetId="53" hidden="1">#REF!</definedName>
    <definedName name="__123Graph_DPERIB" localSheetId="59" hidden="1">#REF!</definedName>
    <definedName name="__123Graph_DPERIB" localSheetId="92" hidden="1">#REF!</definedName>
    <definedName name="__123Graph_DPERIB" localSheetId="81" hidden="1">#REF!</definedName>
    <definedName name="__123Graph_DPERIB" localSheetId="79" hidden="1">#REF!</definedName>
    <definedName name="__123Graph_DPERIB" localSheetId="89" hidden="1">#REF!</definedName>
    <definedName name="__123Graph_DPERIB" localSheetId="76" hidden="1">#REF!</definedName>
    <definedName name="__123Graph_DPERIB" localSheetId="25" hidden="1">#REF!</definedName>
    <definedName name="__123Graph_DPERIB" localSheetId="34" hidden="1">#REF!</definedName>
    <definedName name="__123Graph_DPERIB" localSheetId="38" hidden="1">#REF!</definedName>
    <definedName name="__123Graph_DPERIB" localSheetId="9" hidden="1">#REF!</definedName>
    <definedName name="__123Graph_DPERIB" localSheetId="24" hidden="1">#REF!</definedName>
    <definedName name="__123Graph_DPERIB" localSheetId="32" hidden="1">#REF!</definedName>
    <definedName name="__123Graph_DPERIB" localSheetId="42" hidden="1">#REF!</definedName>
    <definedName name="__123Graph_DPERIB" localSheetId="29" hidden="1">#REF!</definedName>
    <definedName name="__123Graph_DPERIB" localSheetId="23" hidden="1">#REF!</definedName>
    <definedName name="__123Graph_DPERIB" localSheetId="36" hidden="1">#REF!</definedName>
    <definedName name="__123Graph_DPERIB" localSheetId="8" hidden="1">#REF!</definedName>
    <definedName name="__123Graph_DPERIB" localSheetId="27" hidden="1">#REF!</definedName>
    <definedName name="__123Graph_DPERIB" hidden="1">#REF!</definedName>
    <definedName name="__123Graph_DPRODABSC" localSheetId="28" hidden="1">#REF!</definedName>
    <definedName name="__123Graph_DPRODABSC" localSheetId="33" hidden="1">#REF!</definedName>
    <definedName name="__123Graph_DPRODABSC" localSheetId="47" hidden="1">#REF!</definedName>
    <definedName name="__123Graph_DPRODABSC" localSheetId="48" hidden="1">#REF!</definedName>
    <definedName name="__123Graph_DPRODABSC" localSheetId="49" hidden="1">#REF!</definedName>
    <definedName name="__123Graph_DPRODABSC" localSheetId="5" hidden="1">#REF!</definedName>
    <definedName name="__123Graph_DPRODABSC" localSheetId="7" hidden="1">#REF!</definedName>
    <definedName name="__123Graph_DPRODABSC" localSheetId="0" hidden="1">#REF!</definedName>
    <definedName name="__123Graph_DPRODABSC" localSheetId="35" hidden="1">#REF!</definedName>
    <definedName name="__123Graph_DPRODABSC" localSheetId="37" hidden="1">#REF!</definedName>
    <definedName name="__123Graph_DPRODABSC" localSheetId="21" hidden="1">#REF!</definedName>
    <definedName name="__123Graph_DPRODABSC" localSheetId="16" hidden="1">#REF!</definedName>
    <definedName name="__123Graph_DPRODABSC" localSheetId="51" hidden="1">#REF!</definedName>
    <definedName name="__123Graph_DPRODABSC" localSheetId="50" hidden="1">#REF!</definedName>
    <definedName name="__123Graph_DPRODABSC" localSheetId="18" hidden="1">#REF!</definedName>
    <definedName name="__123Graph_DPRODABSC" localSheetId="46" hidden="1">#REF!</definedName>
    <definedName name="__123Graph_DPRODABSC" localSheetId="30" hidden="1">#REF!</definedName>
    <definedName name="__123Graph_DPRODABSC" localSheetId="6" hidden="1">#REF!</definedName>
    <definedName name="__123Graph_DPRODABSC" localSheetId="20" hidden="1">#REF!</definedName>
    <definedName name="__123Graph_DPRODABSC" localSheetId="43" hidden="1">#REF!</definedName>
    <definedName name="__123Graph_DPRODABSC" localSheetId="44" hidden="1">#REF!</definedName>
    <definedName name="__123Graph_DPRODABSC" localSheetId="10" hidden="1">#REF!</definedName>
    <definedName name="__123Graph_DPRODABSC" localSheetId="14" hidden="1">#REF!</definedName>
    <definedName name="__123Graph_DPRODABSC" localSheetId="15" hidden="1">#REF!</definedName>
    <definedName name="__123Graph_DPRODABSC" localSheetId="40" hidden="1">#REF!</definedName>
    <definedName name="__123Graph_DPRODABSC" localSheetId="12" hidden="1">#REF!</definedName>
    <definedName name="__123Graph_DPRODABSC" localSheetId="22" hidden="1">#REF!</definedName>
    <definedName name="__123Graph_DPRODABSC" localSheetId="26" hidden="1">#REF!</definedName>
    <definedName name="__123Graph_DPRODABSC" localSheetId="19" hidden="1">#REF!</definedName>
    <definedName name="__123Graph_DPRODABSC" localSheetId="39" hidden="1">#REF!</definedName>
    <definedName name="__123Graph_DPRODABSC" localSheetId="31" hidden="1">#REF!</definedName>
    <definedName name="__123Graph_DPRODABSC" localSheetId="41" hidden="1">#REF!</definedName>
    <definedName name="__123Graph_DPRODABSC" localSheetId="45" hidden="1">#REF!</definedName>
    <definedName name="__123Graph_DPRODABSC" localSheetId="75" hidden="1">#REF!</definedName>
    <definedName name="__123Graph_DPRODABSC" localSheetId="80" hidden="1">#REF!</definedName>
    <definedName name="__123Graph_DPRODABSC" localSheetId="52" hidden="1">#REF!</definedName>
    <definedName name="__123Graph_DPRODABSC" localSheetId="98" hidden="1">#REF!</definedName>
    <definedName name="__123Graph_DPRODABSC" localSheetId="77" hidden="1">#REF!</definedName>
    <definedName name="__123Graph_DPRODABSC" localSheetId="53" hidden="1">#REF!</definedName>
    <definedName name="__123Graph_DPRODABSC" localSheetId="59" hidden="1">#REF!</definedName>
    <definedName name="__123Graph_DPRODABSC" localSheetId="92" hidden="1">#REF!</definedName>
    <definedName name="__123Graph_DPRODABSC" localSheetId="81" hidden="1">#REF!</definedName>
    <definedName name="__123Graph_DPRODABSC" localSheetId="79" hidden="1">#REF!</definedName>
    <definedName name="__123Graph_DPRODABSC" localSheetId="89" hidden="1">#REF!</definedName>
    <definedName name="__123Graph_DPRODABSC" localSheetId="76" hidden="1">#REF!</definedName>
    <definedName name="__123Graph_DPRODABSC" localSheetId="25" hidden="1">#REF!</definedName>
    <definedName name="__123Graph_DPRODABSC" localSheetId="34" hidden="1">#REF!</definedName>
    <definedName name="__123Graph_DPRODABSC" localSheetId="38" hidden="1">#REF!</definedName>
    <definedName name="__123Graph_DPRODABSC" localSheetId="9" hidden="1">#REF!</definedName>
    <definedName name="__123Graph_DPRODABSC" localSheetId="24" hidden="1">#REF!</definedName>
    <definedName name="__123Graph_DPRODABSC" localSheetId="32" hidden="1">#REF!</definedName>
    <definedName name="__123Graph_DPRODABSC" localSheetId="42" hidden="1">#REF!</definedName>
    <definedName name="__123Graph_DPRODABSC" localSheetId="29" hidden="1">#REF!</definedName>
    <definedName name="__123Graph_DPRODABSC" localSheetId="23" hidden="1">#REF!</definedName>
    <definedName name="__123Graph_DPRODABSC" localSheetId="36" hidden="1">#REF!</definedName>
    <definedName name="__123Graph_DPRODABSC" localSheetId="8" hidden="1">#REF!</definedName>
    <definedName name="__123Graph_DPRODABSC" localSheetId="27" hidden="1">#REF!</definedName>
    <definedName name="__123Graph_DPRODABSC" hidden="1">#REF!</definedName>
    <definedName name="__123Graph_DUTRECHT" localSheetId="28" hidden="1">#REF!</definedName>
    <definedName name="__123Graph_DUTRECHT" localSheetId="33" hidden="1">#REF!</definedName>
    <definedName name="__123Graph_DUTRECHT" localSheetId="47" hidden="1">#REF!</definedName>
    <definedName name="__123Graph_DUTRECHT" localSheetId="48" hidden="1">#REF!</definedName>
    <definedName name="__123Graph_DUTRECHT" localSheetId="49" hidden="1">#REF!</definedName>
    <definedName name="__123Graph_DUTRECHT" localSheetId="5" hidden="1">#REF!</definedName>
    <definedName name="__123Graph_DUTRECHT" localSheetId="7" hidden="1">#REF!</definedName>
    <definedName name="__123Graph_DUTRECHT" localSheetId="0" hidden="1">#REF!</definedName>
    <definedName name="__123Graph_DUTRECHT" localSheetId="35" hidden="1">#REF!</definedName>
    <definedName name="__123Graph_DUTRECHT" localSheetId="37" hidden="1">#REF!</definedName>
    <definedName name="__123Graph_DUTRECHT" localSheetId="21" hidden="1">#REF!</definedName>
    <definedName name="__123Graph_DUTRECHT" localSheetId="16" hidden="1">#REF!</definedName>
    <definedName name="__123Graph_DUTRECHT" localSheetId="51" hidden="1">#REF!</definedName>
    <definedName name="__123Graph_DUTRECHT" localSheetId="50" hidden="1">#REF!</definedName>
    <definedName name="__123Graph_DUTRECHT" localSheetId="18" hidden="1">#REF!</definedName>
    <definedName name="__123Graph_DUTRECHT" localSheetId="46" hidden="1">#REF!</definedName>
    <definedName name="__123Graph_DUTRECHT" localSheetId="30" hidden="1">#REF!</definedName>
    <definedName name="__123Graph_DUTRECHT" localSheetId="6" hidden="1">#REF!</definedName>
    <definedName name="__123Graph_DUTRECHT" localSheetId="20" hidden="1">#REF!</definedName>
    <definedName name="__123Graph_DUTRECHT" localSheetId="43" hidden="1">#REF!</definedName>
    <definedName name="__123Graph_DUTRECHT" localSheetId="44" hidden="1">#REF!</definedName>
    <definedName name="__123Graph_DUTRECHT" localSheetId="10" hidden="1">#REF!</definedName>
    <definedName name="__123Graph_DUTRECHT" localSheetId="14" hidden="1">#REF!</definedName>
    <definedName name="__123Graph_DUTRECHT" localSheetId="15" hidden="1">#REF!</definedName>
    <definedName name="__123Graph_DUTRECHT" localSheetId="40" hidden="1">#REF!</definedName>
    <definedName name="__123Graph_DUTRECHT" localSheetId="12" hidden="1">#REF!</definedName>
    <definedName name="__123Graph_DUTRECHT" localSheetId="22" hidden="1">#REF!</definedName>
    <definedName name="__123Graph_DUTRECHT" localSheetId="26" hidden="1">#REF!</definedName>
    <definedName name="__123Graph_DUTRECHT" localSheetId="19" hidden="1">#REF!</definedName>
    <definedName name="__123Graph_DUTRECHT" localSheetId="39" hidden="1">#REF!</definedName>
    <definedName name="__123Graph_DUTRECHT" localSheetId="31" hidden="1">#REF!</definedName>
    <definedName name="__123Graph_DUTRECHT" localSheetId="41" hidden="1">#REF!</definedName>
    <definedName name="__123Graph_DUTRECHT" localSheetId="45" hidden="1">#REF!</definedName>
    <definedName name="__123Graph_DUTRECHT" localSheetId="75" hidden="1">#REF!</definedName>
    <definedName name="__123Graph_DUTRECHT" localSheetId="80" hidden="1">#REF!</definedName>
    <definedName name="__123Graph_DUTRECHT" localSheetId="52" hidden="1">#REF!</definedName>
    <definedName name="__123Graph_DUTRECHT" localSheetId="98" hidden="1">#REF!</definedName>
    <definedName name="__123Graph_DUTRECHT" localSheetId="77" hidden="1">#REF!</definedName>
    <definedName name="__123Graph_DUTRECHT" localSheetId="53" hidden="1">#REF!</definedName>
    <definedName name="__123Graph_DUTRECHT" localSheetId="59" hidden="1">#REF!</definedName>
    <definedName name="__123Graph_DUTRECHT" localSheetId="92" hidden="1">#REF!</definedName>
    <definedName name="__123Graph_DUTRECHT" localSheetId="81" hidden="1">#REF!</definedName>
    <definedName name="__123Graph_DUTRECHT" localSheetId="79" hidden="1">#REF!</definedName>
    <definedName name="__123Graph_DUTRECHT" localSheetId="89" hidden="1">#REF!</definedName>
    <definedName name="__123Graph_DUTRECHT" localSheetId="76" hidden="1">#REF!</definedName>
    <definedName name="__123Graph_DUTRECHT" localSheetId="25" hidden="1">#REF!</definedName>
    <definedName name="__123Graph_DUTRECHT" localSheetId="34" hidden="1">#REF!</definedName>
    <definedName name="__123Graph_DUTRECHT" localSheetId="38" hidden="1">#REF!</definedName>
    <definedName name="__123Graph_DUTRECHT" localSheetId="9" hidden="1">#REF!</definedName>
    <definedName name="__123Graph_DUTRECHT" localSheetId="24" hidden="1">#REF!</definedName>
    <definedName name="__123Graph_DUTRECHT" localSheetId="32" hidden="1">#REF!</definedName>
    <definedName name="__123Graph_DUTRECHT" localSheetId="42" hidden="1">#REF!</definedName>
    <definedName name="__123Graph_DUTRECHT" localSheetId="29" hidden="1">#REF!</definedName>
    <definedName name="__123Graph_DUTRECHT" localSheetId="23" hidden="1">#REF!</definedName>
    <definedName name="__123Graph_DUTRECHT" localSheetId="36" hidden="1">#REF!</definedName>
    <definedName name="__123Graph_DUTRECHT" localSheetId="8" hidden="1">#REF!</definedName>
    <definedName name="__123Graph_DUTRECHT" localSheetId="27" hidden="1">#REF!</definedName>
    <definedName name="__123Graph_DUTRECHT" hidden="1">#REF!</definedName>
    <definedName name="__123Graph_E" localSheetId="28" hidden="1">#REF!</definedName>
    <definedName name="__123Graph_E" localSheetId="33" hidden="1">#REF!</definedName>
    <definedName name="__123Graph_E" localSheetId="47" hidden="1">#REF!</definedName>
    <definedName name="__123Graph_E" localSheetId="48" hidden="1">#REF!</definedName>
    <definedName name="__123Graph_E" localSheetId="49" hidden="1">#REF!</definedName>
    <definedName name="__123Graph_E" localSheetId="5" hidden="1">#REF!</definedName>
    <definedName name="__123Graph_E" localSheetId="7" hidden="1">#REF!</definedName>
    <definedName name="__123Graph_E" localSheetId="0" hidden="1">#REF!</definedName>
    <definedName name="__123Graph_E" localSheetId="35" hidden="1">#REF!</definedName>
    <definedName name="__123Graph_E" localSheetId="37" hidden="1">#REF!</definedName>
    <definedName name="__123Graph_E" localSheetId="21" hidden="1">#REF!</definedName>
    <definedName name="__123Graph_E" localSheetId="16" hidden="1">#REF!</definedName>
    <definedName name="__123Graph_E" localSheetId="51" hidden="1">#REF!</definedName>
    <definedName name="__123Graph_E" localSheetId="50" hidden="1">#REF!</definedName>
    <definedName name="__123Graph_E" localSheetId="18" hidden="1">#REF!</definedName>
    <definedName name="__123Graph_E" localSheetId="46" hidden="1">#REF!</definedName>
    <definedName name="__123Graph_E" localSheetId="30" hidden="1">#REF!</definedName>
    <definedName name="__123Graph_E" localSheetId="6" hidden="1">#REF!</definedName>
    <definedName name="__123Graph_E" localSheetId="20" hidden="1">#REF!</definedName>
    <definedName name="__123Graph_E" localSheetId="43" hidden="1">#REF!</definedName>
    <definedName name="__123Graph_E" localSheetId="44" hidden="1">#REF!</definedName>
    <definedName name="__123Graph_E" localSheetId="10" hidden="1">#REF!</definedName>
    <definedName name="__123Graph_E" localSheetId="14" hidden="1">#REF!</definedName>
    <definedName name="__123Graph_E" localSheetId="15" hidden="1">#REF!</definedName>
    <definedName name="__123Graph_E" localSheetId="40" hidden="1">#REF!</definedName>
    <definedName name="__123Graph_E" localSheetId="12" hidden="1">#REF!</definedName>
    <definedName name="__123Graph_E" localSheetId="22" hidden="1">#REF!</definedName>
    <definedName name="__123Graph_E" localSheetId="26" hidden="1">#REF!</definedName>
    <definedName name="__123Graph_E" localSheetId="19" hidden="1">#REF!</definedName>
    <definedName name="__123Graph_E" localSheetId="39" hidden="1">#REF!</definedName>
    <definedName name="__123Graph_E" localSheetId="31" hidden="1">#REF!</definedName>
    <definedName name="__123Graph_E" localSheetId="41" hidden="1">#REF!</definedName>
    <definedName name="__123Graph_E" localSheetId="45" hidden="1">#REF!</definedName>
    <definedName name="__123Graph_E" localSheetId="75" hidden="1">#REF!</definedName>
    <definedName name="__123Graph_E" localSheetId="80" hidden="1">#REF!</definedName>
    <definedName name="__123Graph_E" localSheetId="52" hidden="1">#REF!</definedName>
    <definedName name="__123Graph_E" localSheetId="98" hidden="1">#REF!</definedName>
    <definedName name="__123Graph_E" localSheetId="77" hidden="1">#REF!</definedName>
    <definedName name="__123Graph_E" localSheetId="53" hidden="1">#REF!</definedName>
    <definedName name="__123Graph_E" localSheetId="59" hidden="1">#REF!</definedName>
    <definedName name="__123Graph_E" localSheetId="92" hidden="1">#REF!</definedName>
    <definedName name="__123Graph_E" localSheetId="81" hidden="1">#REF!</definedName>
    <definedName name="__123Graph_E" localSheetId="56" hidden="1">#REF!</definedName>
    <definedName name="__123Graph_E" localSheetId="79" hidden="1">#REF!</definedName>
    <definedName name="__123Graph_E" localSheetId="89" hidden="1">#REF!</definedName>
    <definedName name="__123Graph_E" localSheetId="76" hidden="1">#REF!</definedName>
    <definedName name="__123Graph_E" localSheetId="25" hidden="1">#REF!</definedName>
    <definedName name="__123Graph_E" localSheetId="34" hidden="1">#REF!</definedName>
    <definedName name="__123Graph_E" localSheetId="38" hidden="1">#REF!</definedName>
    <definedName name="__123Graph_E" localSheetId="9" hidden="1">#REF!</definedName>
    <definedName name="__123Graph_E" localSheetId="24" hidden="1">#REF!</definedName>
    <definedName name="__123Graph_E" localSheetId="32" hidden="1">#REF!</definedName>
    <definedName name="__123Graph_E" localSheetId="42" hidden="1">#REF!</definedName>
    <definedName name="__123Graph_E" localSheetId="29" hidden="1">#REF!</definedName>
    <definedName name="__123Graph_E" localSheetId="23" hidden="1">#REF!</definedName>
    <definedName name="__123Graph_E" localSheetId="36" hidden="1">#REF!</definedName>
    <definedName name="__123Graph_E" localSheetId="8" hidden="1">#REF!</definedName>
    <definedName name="__123Graph_E" localSheetId="27" hidden="1">#REF!</definedName>
    <definedName name="__123Graph_E" hidden="1">#REF!</definedName>
    <definedName name="__123Graph_EBERLGRAP" localSheetId="28" hidden="1">#REF!</definedName>
    <definedName name="__123Graph_EBERLGRAP" localSheetId="33" hidden="1">#REF!</definedName>
    <definedName name="__123Graph_EBERLGRAP" localSheetId="47" hidden="1">#REF!</definedName>
    <definedName name="__123Graph_EBERLGRAP" localSheetId="48" hidden="1">#REF!</definedName>
    <definedName name="__123Graph_EBERLGRAP" localSheetId="49" hidden="1">#REF!</definedName>
    <definedName name="__123Graph_EBERLGRAP" localSheetId="5" hidden="1">#REF!</definedName>
    <definedName name="__123Graph_EBERLGRAP" localSheetId="7" hidden="1">#REF!</definedName>
    <definedName name="__123Graph_EBERLGRAP" localSheetId="0" hidden="1">#REF!</definedName>
    <definedName name="__123Graph_EBERLGRAP" localSheetId="35" hidden="1">#REF!</definedName>
    <definedName name="__123Graph_EBERLGRAP" localSheetId="37" hidden="1">#REF!</definedName>
    <definedName name="__123Graph_EBERLGRAP" localSheetId="21" hidden="1">#REF!</definedName>
    <definedName name="__123Graph_EBERLGRAP" localSheetId="16" hidden="1">#REF!</definedName>
    <definedName name="__123Graph_EBERLGRAP" localSheetId="51" hidden="1">#REF!</definedName>
    <definedName name="__123Graph_EBERLGRAP" localSheetId="50" hidden="1">#REF!</definedName>
    <definedName name="__123Graph_EBERLGRAP" localSheetId="18" hidden="1">#REF!</definedName>
    <definedName name="__123Graph_EBERLGRAP" localSheetId="46" hidden="1">#REF!</definedName>
    <definedName name="__123Graph_EBERLGRAP" localSheetId="30" hidden="1">#REF!</definedName>
    <definedName name="__123Graph_EBERLGRAP" localSheetId="6" hidden="1">#REF!</definedName>
    <definedName name="__123Graph_EBERLGRAP" localSheetId="20" hidden="1">#REF!</definedName>
    <definedName name="__123Graph_EBERLGRAP" localSheetId="43" hidden="1">#REF!</definedName>
    <definedName name="__123Graph_EBERLGRAP" localSheetId="44" hidden="1">#REF!</definedName>
    <definedName name="__123Graph_EBERLGRAP" localSheetId="10" hidden="1">#REF!</definedName>
    <definedName name="__123Graph_EBERLGRAP" localSheetId="14" hidden="1">#REF!</definedName>
    <definedName name="__123Graph_EBERLGRAP" localSheetId="15" hidden="1">#REF!</definedName>
    <definedName name="__123Graph_EBERLGRAP" localSheetId="40" hidden="1">#REF!</definedName>
    <definedName name="__123Graph_EBERLGRAP" localSheetId="12" hidden="1">#REF!</definedName>
    <definedName name="__123Graph_EBERLGRAP" localSheetId="22" hidden="1">#REF!</definedName>
    <definedName name="__123Graph_EBERLGRAP" localSheetId="26" hidden="1">#REF!</definedName>
    <definedName name="__123Graph_EBERLGRAP" localSheetId="19" hidden="1">#REF!</definedName>
    <definedName name="__123Graph_EBERLGRAP" localSheetId="39" hidden="1">#REF!</definedName>
    <definedName name="__123Graph_EBERLGRAP" localSheetId="31" hidden="1">#REF!</definedName>
    <definedName name="__123Graph_EBERLGRAP" localSheetId="41" hidden="1">#REF!</definedName>
    <definedName name="__123Graph_EBERLGRAP" localSheetId="45" hidden="1">#REF!</definedName>
    <definedName name="__123Graph_EBERLGRAP" localSheetId="75" hidden="1">#REF!</definedName>
    <definedName name="__123Graph_EBERLGRAP" localSheetId="80" hidden="1">#REF!</definedName>
    <definedName name="__123Graph_EBERLGRAP" localSheetId="52" hidden="1">#REF!</definedName>
    <definedName name="__123Graph_EBERLGRAP" localSheetId="98" hidden="1">#REF!</definedName>
    <definedName name="__123Graph_EBERLGRAP" localSheetId="77" hidden="1">#REF!</definedName>
    <definedName name="__123Graph_EBERLGRAP" localSheetId="53" hidden="1">#REF!</definedName>
    <definedName name="__123Graph_EBERLGRAP" localSheetId="59" hidden="1">#REF!</definedName>
    <definedName name="__123Graph_EBERLGRAP" localSheetId="92" hidden="1">#REF!</definedName>
    <definedName name="__123Graph_EBERLGRAP" localSheetId="81" hidden="1">#REF!</definedName>
    <definedName name="__123Graph_EBERLGRAP" localSheetId="79" hidden="1">#REF!</definedName>
    <definedName name="__123Graph_EBERLGRAP" localSheetId="89" hidden="1">#REF!</definedName>
    <definedName name="__123Graph_EBERLGRAP" localSheetId="76" hidden="1">#REF!</definedName>
    <definedName name="__123Graph_EBERLGRAP" localSheetId="25" hidden="1">#REF!</definedName>
    <definedName name="__123Graph_EBERLGRAP" localSheetId="34" hidden="1">#REF!</definedName>
    <definedName name="__123Graph_EBERLGRAP" localSheetId="38" hidden="1">#REF!</definedName>
    <definedName name="__123Graph_EBERLGRAP" localSheetId="9" hidden="1">#REF!</definedName>
    <definedName name="__123Graph_EBERLGRAP" localSheetId="24" hidden="1">#REF!</definedName>
    <definedName name="__123Graph_EBERLGRAP" localSheetId="32" hidden="1">#REF!</definedName>
    <definedName name="__123Graph_EBERLGRAP" localSheetId="42" hidden="1">#REF!</definedName>
    <definedName name="__123Graph_EBERLGRAP" localSheetId="29" hidden="1">#REF!</definedName>
    <definedName name="__123Graph_EBERLGRAP" localSheetId="23" hidden="1">#REF!</definedName>
    <definedName name="__123Graph_EBERLGRAP" localSheetId="36" hidden="1">#REF!</definedName>
    <definedName name="__123Graph_EBERLGRAP" localSheetId="8" hidden="1">#REF!</definedName>
    <definedName name="__123Graph_EBERLGRAP" localSheetId="27" hidden="1">#REF!</definedName>
    <definedName name="__123Graph_EBERLGRAP" hidden="1">#REF!</definedName>
    <definedName name="__123Graph_ECATCH1" localSheetId="28" hidden="1">#REF!</definedName>
    <definedName name="__123Graph_ECATCH1" localSheetId="33" hidden="1">#REF!</definedName>
    <definedName name="__123Graph_ECATCH1" localSheetId="47" hidden="1">#REF!</definedName>
    <definedName name="__123Graph_ECATCH1" localSheetId="48" hidden="1">#REF!</definedName>
    <definedName name="__123Graph_ECATCH1" localSheetId="49" hidden="1">#REF!</definedName>
    <definedName name="__123Graph_ECATCH1" localSheetId="5" hidden="1">#REF!</definedName>
    <definedName name="__123Graph_ECATCH1" localSheetId="7" hidden="1">#REF!</definedName>
    <definedName name="__123Graph_ECATCH1" localSheetId="0" hidden="1">#REF!</definedName>
    <definedName name="__123Graph_ECATCH1" localSheetId="35" hidden="1">#REF!</definedName>
    <definedName name="__123Graph_ECATCH1" localSheetId="37" hidden="1">#REF!</definedName>
    <definedName name="__123Graph_ECATCH1" localSheetId="21" hidden="1">#REF!</definedName>
    <definedName name="__123Graph_ECATCH1" localSheetId="16" hidden="1">#REF!</definedName>
    <definedName name="__123Graph_ECATCH1" localSheetId="51" hidden="1">#REF!</definedName>
    <definedName name="__123Graph_ECATCH1" localSheetId="50" hidden="1">#REF!</definedName>
    <definedName name="__123Graph_ECATCH1" localSheetId="18" hidden="1">#REF!</definedName>
    <definedName name="__123Graph_ECATCH1" localSheetId="46" hidden="1">#REF!</definedName>
    <definedName name="__123Graph_ECATCH1" localSheetId="30" hidden="1">#REF!</definedName>
    <definedName name="__123Graph_ECATCH1" localSheetId="6" hidden="1">#REF!</definedName>
    <definedName name="__123Graph_ECATCH1" localSheetId="20" hidden="1">#REF!</definedName>
    <definedName name="__123Graph_ECATCH1" localSheetId="43" hidden="1">#REF!</definedName>
    <definedName name="__123Graph_ECATCH1" localSheetId="44" hidden="1">#REF!</definedName>
    <definedName name="__123Graph_ECATCH1" localSheetId="10" hidden="1">#REF!</definedName>
    <definedName name="__123Graph_ECATCH1" localSheetId="14" hidden="1">#REF!</definedName>
    <definedName name="__123Graph_ECATCH1" localSheetId="15" hidden="1">#REF!</definedName>
    <definedName name="__123Graph_ECATCH1" localSheetId="40" hidden="1">#REF!</definedName>
    <definedName name="__123Graph_ECATCH1" localSheetId="12" hidden="1">#REF!</definedName>
    <definedName name="__123Graph_ECATCH1" localSheetId="22" hidden="1">#REF!</definedName>
    <definedName name="__123Graph_ECATCH1" localSheetId="26" hidden="1">#REF!</definedName>
    <definedName name="__123Graph_ECATCH1" localSheetId="19" hidden="1">#REF!</definedName>
    <definedName name="__123Graph_ECATCH1" localSheetId="39" hidden="1">#REF!</definedName>
    <definedName name="__123Graph_ECATCH1" localSheetId="31" hidden="1">#REF!</definedName>
    <definedName name="__123Graph_ECATCH1" localSheetId="41" hidden="1">#REF!</definedName>
    <definedName name="__123Graph_ECATCH1" localSheetId="45" hidden="1">#REF!</definedName>
    <definedName name="__123Graph_ECATCH1" localSheetId="75" hidden="1">#REF!</definedName>
    <definedName name="__123Graph_ECATCH1" localSheetId="80" hidden="1">#REF!</definedName>
    <definedName name="__123Graph_ECATCH1" localSheetId="52" hidden="1">#REF!</definedName>
    <definedName name="__123Graph_ECATCH1" localSheetId="98" hidden="1">#REF!</definedName>
    <definedName name="__123Graph_ECATCH1" localSheetId="77" hidden="1">#REF!</definedName>
    <definedName name="__123Graph_ECATCH1" localSheetId="53" hidden="1">#REF!</definedName>
    <definedName name="__123Graph_ECATCH1" localSheetId="59" hidden="1">#REF!</definedName>
    <definedName name="__123Graph_ECATCH1" localSheetId="92" hidden="1">#REF!</definedName>
    <definedName name="__123Graph_ECATCH1" localSheetId="81" hidden="1">#REF!</definedName>
    <definedName name="__123Graph_ECATCH1" localSheetId="56" hidden="1">#REF!</definedName>
    <definedName name="__123Graph_ECATCH1" localSheetId="79" hidden="1">#REF!</definedName>
    <definedName name="__123Graph_ECATCH1" localSheetId="89" hidden="1">#REF!</definedName>
    <definedName name="__123Graph_ECATCH1" localSheetId="76" hidden="1">#REF!</definedName>
    <definedName name="__123Graph_ECATCH1" localSheetId="25" hidden="1">#REF!</definedName>
    <definedName name="__123Graph_ECATCH1" localSheetId="34" hidden="1">#REF!</definedName>
    <definedName name="__123Graph_ECATCH1" localSheetId="38" hidden="1">#REF!</definedName>
    <definedName name="__123Graph_ECATCH1" localSheetId="9" hidden="1">#REF!</definedName>
    <definedName name="__123Graph_ECATCH1" localSheetId="24" hidden="1">#REF!</definedName>
    <definedName name="__123Graph_ECATCH1" localSheetId="32" hidden="1">#REF!</definedName>
    <definedName name="__123Graph_ECATCH1" localSheetId="42" hidden="1">#REF!</definedName>
    <definedName name="__123Graph_ECATCH1" localSheetId="29" hidden="1">#REF!</definedName>
    <definedName name="__123Graph_ECATCH1" localSheetId="23" hidden="1">#REF!</definedName>
    <definedName name="__123Graph_ECATCH1" localSheetId="36" hidden="1">#REF!</definedName>
    <definedName name="__123Graph_ECATCH1" localSheetId="8" hidden="1">#REF!</definedName>
    <definedName name="__123Graph_ECATCH1" localSheetId="27" hidden="1">#REF!</definedName>
    <definedName name="__123Graph_ECATCH1" hidden="1">#REF!</definedName>
    <definedName name="__123Graph_ECONVERG1" localSheetId="28" hidden="1">#REF!</definedName>
    <definedName name="__123Graph_ECONVERG1" localSheetId="33" hidden="1">#REF!</definedName>
    <definedName name="__123Graph_ECONVERG1" localSheetId="47" hidden="1">#REF!</definedName>
    <definedName name="__123Graph_ECONVERG1" localSheetId="48" hidden="1">#REF!</definedName>
    <definedName name="__123Graph_ECONVERG1" localSheetId="49" hidden="1">#REF!</definedName>
    <definedName name="__123Graph_ECONVERG1" localSheetId="5" hidden="1">#REF!</definedName>
    <definedName name="__123Graph_ECONVERG1" localSheetId="7" hidden="1">#REF!</definedName>
    <definedName name="__123Graph_ECONVERG1" localSheetId="0" hidden="1">#REF!</definedName>
    <definedName name="__123Graph_ECONVERG1" localSheetId="35" hidden="1">#REF!</definedName>
    <definedName name="__123Graph_ECONVERG1" localSheetId="37" hidden="1">#REF!</definedName>
    <definedName name="__123Graph_ECONVERG1" localSheetId="21" hidden="1">#REF!</definedName>
    <definedName name="__123Graph_ECONVERG1" localSheetId="16" hidden="1">#REF!</definedName>
    <definedName name="__123Graph_ECONVERG1" localSheetId="51" hidden="1">#REF!</definedName>
    <definedName name="__123Graph_ECONVERG1" localSheetId="50" hidden="1">#REF!</definedName>
    <definedName name="__123Graph_ECONVERG1" localSheetId="18" hidden="1">#REF!</definedName>
    <definedName name="__123Graph_ECONVERG1" localSheetId="46" hidden="1">#REF!</definedName>
    <definedName name="__123Graph_ECONVERG1" localSheetId="30" hidden="1">#REF!</definedName>
    <definedName name="__123Graph_ECONVERG1" localSheetId="6" hidden="1">#REF!</definedName>
    <definedName name="__123Graph_ECONVERG1" localSheetId="20" hidden="1">#REF!</definedName>
    <definedName name="__123Graph_ECONVERG1" localSheetId="43" hidden="1">#REF!</definedName>
    <definedName name="__123Graph_ECONVERG1" localSheetId="44" hidden="1">#REF!</definedName>
    <definedName name="__123Graph_ECONVERG1" localSheetId="10" hidden="1">#REF!</definedName>
    <definedName name="__123Graph_ECONVERG1" localSheetId="14" hidden="1">#REF!</definedName>
    <definedName name="__123Graph_ECONVERG1" localSheetId="15" hidden="1">#REF!</definedName>
    <definedName name="__123Graph_ECONVERG1" localSheetId="40" hidden="1">#REF!</definedName>
    <definedName name="__123Graph_ECONVERG1" localSheetId="12" hidden="1">#REF!</definedName>
    <definedName name="__123Graph_ECONVERG1" localSheetId="22" hidden="1">#REF!</definedName>
    <definedName name="__123Graph_ECONVERG1" localSheetId="26" hidden="1">#REF!</definedName>
    <definedName name="__123Graph_ECONVERG1" localSheetId="19" hidden="1">#REF!</definedName>
    <definedName name="__123Graph_ECONVERG1" localSheetId="39" hidden="1">#REF!</definedName>
    <definedName name="__123Graph_ECONVERG1" localSheetId="31" hidden="1">#REF!</definedName>
    <definedName name="__123Graph_ECONVERG1" localSheetId="41" hidden="1">#REF!</definedName>
    <definedName name="__123Graph_ECONVERG1" localSheetId="45" hidden="1">#REF!</definedName>
    <definedName name="__123Graph_ECONVERG1" localSheetId="75" hidden="1">#REF!</definedName>
    <definedName name="__123Graph_ECONVERG1" localSheetId="80" hidden="1">#REF!</definedName>
    <definedName name="__123Graph_ECONVERG1" localSheetId="52" hidden="1">#REF!</definedName>
    <definedName name="__123Graph_ECONVERG1" localSheetId="98" hidden="1">#REF!</definedName>
    <definedName name="__123Graph_ECONVERG1" localSheetId="77" hidden="1">#REF!</definedName>
    <definedName name="__123Graph_ECONVERG1" localSheetId="53" hidden="1">#REF!</definedName>
    <definedName name="__123Graph_ECONVERG1" localSheetId="59" hidden="1">#REF!</definedName>
    <definedName name="__123Graph_ECONVERG1" localSheetId="92" hidden="1">#REF!</definedName>
    <definedName name="__123Graph_ECONVERG1" localSheetId="81" hidden="1">#REF!</definedName>
    <definedName name="__123Graph_ECONVERG1" localSheetId="79" hidden="1">#REF!</definedName>
    <definedName name="__123Graph_ECONVERG1" localSheetId="89" hidden="1">#REF!</definedName>
    <definedName name="__123Graph_ECONVERG1" localSheetId="76" hidden="1">#REF!</definedName>
    <definedName name="__123Graph_ECONVERG1" localSheetId="25" hidden="1">#REF!</definedName>
    <definedName name="__123Graph_ECONVERG1" localSheetId="34" hidden="1">#REF!</definedName>
    <definedName name="__123Graph_ECONVERG1" localSheetId="38" hidden="1">#REF!</definedName>
    <definedName name="__123Graph_ECONVERG1" localSheetId="9" hidden="1">#REF!</definedName>
    <definedName name="__123Graph_ECONVERG1" localSheetId="24" hidden="1">#REF!</definedName>
    <definedName name="__123Graph_ECONVERG1" localSheetId="32" hidden="1">#REF!</definedName>
    <definedName name="__123Graph_ECONVERG1" localSheetId="42" hidden="1">#REF!</definedName>
    <definedName name="__123Graph_ECONVERG1" localSheetId="29" hidden="1">#REF!</definedName>
    <definedName name="__123Graph_ECONVERG1" localSheetId="23" hidden="1">#REF!</definedName>
    <definedName name="__123Graph_ECONVERG1" localSheetId="36" hidden="1">#REF!</definedName>
    <definedName name="__123Graph_ECONVERG1" localSheetId="8" hidden="1">#REF!</definedName>
    <definedName name="__123Graph_ECONVERG1" localSheetId="27" hidden="1">#REF!</definedName>
    <definedName name="__123Graph_ECONVERG1" hidden="1">#REF!</definedName>
    <definedName name="__123Graph_EECTOT" localSheetId="28" hidden="1">#REF!</definedName>
    <definedName name="__123Graph_EECTOT" localSheetId="33" hidden="1">#REF!</definedName>
    <definedName name="__123Graph_EECTOT" localSheetId="47" hidden="1">#REF!</definedName>
    <definedName name="__123Graph_EECTOT" localSheetId="48" hidden="1">#REF!</definedName>
    <definedName name="__123Graph_EECTOT" localSheetId="49" hidden="1">#REF!</definedName>
    <definedName name="__123Graph_EECTOT" localSheetId="5" hidden="1">#REF!</definedName>
    <definedName name="__123Graph_EECTOT" localSheetId="7" hidden="1">#REF!</definedName>
    <definedName name="__123Graph_EECTOT" localSheetId="0" hidden="1">#REF!</definedName>
    <definedName name="__123Graph_EECTOT" localSheetId="35" hidden="1">#REF!</definedName>
    <definedName name="__123Graph_EECTOT" localSheetId="37" hidden="1">#REF!</definedName>
    <definedName name="__123Graph_EECTOT" localSheetId="21" hidden="1">#REF!</definedName>
    <definedName name="__123Graph_EECTOT" localSheetId="16" hidden="1">#REF!</definedName>
    <definedName name="__123Graph_EECTOT" localSheetId="51" hidden="1">#REF!</definedName>
    <definedName name="__123Graph_EECTOT" localSheetId="50" hidden="1">#REF!</definedName>
    <definedName name="__123Graph_EECTOT" localSheetId="18" hidden="1">#REF!</definedName>
    <definedName name="__123Graph_EECTOT" localSheetId="46" hidden="1">#REF!</definedName>
    <definedName name="__123Graph_EECTOT" localSheetId="30" hidden="1">#REF!</definedName>
    <definedName name="__123Graph_EECTOT" localSheetId="6" hidden="1">#REF!</definedName>
    <definedName name="__123Graph_EECTOT" localSheetId="20" hidden="1">#REF!</definedName>
    <definedName name="__123Graph_EECTOT" localSheetId="43" hidden="1">#REF!</definedName>
    <definedName name="__123Graph_EECTOT" localSheetId="44" hidden="1">#REF!</definedName>
    <definedName name="__123Graph_EECTOT" localSheetId="10" hidden="1">#REF!</definedName>
    <definedName name="__123Graph_EECTOT" localSheetId="14" hidden="1">#REF!</definedName>
    <definedName name="__123Graph_EECTOT" localSheetId="15" hidden="1">#REF!</definedName>
    <definedName name="__123Graph_EECTOT" localSheetId="40" hidden="1">#REF!</definedName>
    <definedName name="__123Graph_EECTOT" localSheetId="12" hidden="1">#REF!</definedName>
    <definedName name="__123Graph_EECTOT" localSheetId="22" hidden="1">#REF!</definedName>
    <definedName name="__123Graph_EECTOT" localSheetId="26" hidden="1">#REF!</definedName>
    <definedName name="__123Graph_EECTOT" localSheetId="19" hidden="1">#REF!</definedName>
    <definedName name="__123Graph_EECTOT" localSheetId="39" hidden="1">#REF!</definedName>
    <definedName name="__123Graph_EECTOT" localSheetId="31" hidden="1">#REF!</definedName>
    <definedName name="__123Graph_EECTOT" localSheetId="41" hidden="1">#REF!</definedName>
    <definedName name="__123Graph_EECTOT" localSheetId="45" hidden="1">#REF!</definedName>
    <definedName name="__123Graph_EECTOT" localSheetId="75" hidden="1">#REF!</definedName>
    <definedName name="__123Graph_EECTOT" localSheetId="80" hidden="1">#REF!</definedName>
    <definedName name="__123Graph_EECTOT" localSheetId="52" hidden="1">#REF!</definedName>
    <definedName name="__123Graph_EECTOT" localSheetId="98" hidden="1">#REF!</definedName>
    <definedName name="__123Graph_EECTOT" localSheetId="77" hidden="1">#REF!</definedName>
    <definedName name="__123Graph_EECTOT" localSheetId="53" hidden="1">#REF!</definedName>
    <definedName name="__123Graph_EECTOT" localSheetId="59" hidden="1">#REF!</definedName>
    <definedName name="__123Graph_EECTOT" localSheetId="92" hidden="1">#REF!</definedName>
    <definedName name="__123Graph_EECTOT" localSheetId="81" hidden="1">#REF!</definedName>
    <definedName name="__123Graph_EECTOT" localSheetId="56" hidden="1">#REF!</definedName>
    <definedName name="__123Graph_EECTOT" localSheetId="79" hidden="1">#REF!</definedName>
    <definedName name="__123Graph_EECTOT" localSheetId="89" hidden="1">#REF!</definedName>
    <definedName name="__123Graph_EECTOT" localSheetId="76" hidden="1">#REF!</definedName>
    <definedName name="__123Graph_EECTOT" localSheetId="25" hidden="1">#REF!</definedName>
    <definedName name="__123Graph_EECTOT" localSheetId="34" hidden="1">#REF!</definedName>
    <definedName name="__123Graph_EECTOT" localSheetId="38" hidden="1">#REF!</definedName>
    <definedName name="__123Graph_EECTOT" localSheetId="9" hidden="1">#REF!</definedName>
    <definedName name="__123Graph_EECTOT" localSheetId="24" hidden="1">#REF!</definedName>
    <definedName name="__123Graph_EECTOT" localSheetId="32" hidden="1">#REF!</definedName>
    <definedName name="__123Graph_EECTOT" localSheetId="42" hidden="1">#REF!</definedName>
    <definedName name="__123Graph_EECTOT" localSheetId="29" hidden="1">#REF!</definedName>
    <definedName name="__123Graph_EECTOT" localSheetId="23" hidden="1">#REF!</definedName>
    <definedName name="__123Graph_EECTOT" localSheetId="36" hidden="1">#REF!</definedName>
    <definedName name="__123Graph_EECTOT" localSheetId="8" hidden="1">#REF!</definedName>
    <definedName name="__123Graph_EECTOT" localSheetId="27" hidden="1">#REF!</definedName>
    <definedName name="__123Graph_EECTOT" hidden="1">#REF!</definedName>
    <definedName name="__123Graph_EGRAPH1" localSheetId="0" hidden="1">'[1]GDP(O)'!$G$2427:$G$2427</definedName>
    <definedName name="__123Graph_EGRAPH1" hidden="1">'[1]GDP(O)'!$G$2427:$G$2427</definedName>
    <definedName name="__123Graph_EGRAPH41" localSheetId="28" hidden="1">#REF!</definedName>
    <definedName name="__123Graph_EGRAPH41" localSheetId="33" hidden="1">#REF!</definedName>
    <definedName name="__123Graph_EGRAPH41" localSheetId="47" hidden="1">#REF!</definedName>
    <definedName name="__123Graph_EGRAPH41" localSheetId="48" hidden="1">#REF!</definedName>
    <definedName name="__123Graph_EGRAPH41" localSheetId="49" hidden="1">#REF!</definedName>
    <definedName name="__123Graph_EGRAPH41" localSheetId="5" hidden="1">#REF!</definedName>
    <definedName name="__123Graph_EGRAPH41" localSheetId="7" hidden="1">#REF!</definedName>
    <definedName name="__123Graph_EGRAPH41" localSheetId="0" hidden="1">#REF!</definedName>
    <definedName name="__123Graph_EGRAPH41" localSheetId="35" hidden="1">#REF!</definedName>
    <definedName name="__123Graph_EGRAPH41" localSheetId="37" hidden="1">#REF!</definedName>
    <definedName name="__123Graph_EGRAPH41" localSheetId="21" hidden="1">#REF!</definedName>
    <definedName name="__123Graph_EGRAPH41" localSheetId="16" hidden="1">#REF!</definedName>
    <definedName name="__123Graph_EGRAPH41" localSheetId="51" hidden="1">#REF!</definedName>
    <definedName name="__123Graph_EGRAPH41" localSheetId="50" hidden="1">#REF!</definedName>
    <definedName name="__123Graph_EGRAPH41" localSheetId="18" hidden="1">#REF!</definedName>
    <definedName name="__123Graph_EGRAPH41" localSheetId="46" hidden="1">#REF!</definedName>
    <definedName name="__123Graph_EGRAPH41" localSheetId="30" hidden="1">#REF!</definedName>
    <definedName name="__123Graph_EGRAPH41" localSheetId="6" hidden="1">#REF!</definedName>
    <definedName name="__123Graph_EGRAPH41" localSheetId="20" hidden="1">#REF!</definedName>
    <definedName name="__123Graph_EGRAPH41" localSheetId="43" hidden="1">#REF!</definedName>
    <definedName name="__123Graph_EGRAPH41" localSheetId="44" hidden="1">#REF!</definedName>
    <definedName name="__123Graph_EGRAPH41" localSheetId="10" hidden="1">#REF!</definedName>
    <definedName name="__123Graph_EGRAPH41" localSheetId="14" hidden="1">#REF!</definedName>
    <definedName name="__123Graph_EGRAPH41" localSheetId="15" hidden="1">#REF!</definedName>
    <definedName name="__123Graph_EGRAPH41" localSheetId="40" hidden="1">#REF!</definedName>
    <definedName name="__123Graph_EGRAPH41" localSheetId="12" hidden="1">#REF!</definedName>
    <definedName name="__123Graph_EGRAPH41" localSheetId="22" hidden="1">#REF!</definedName>
    <definedName name="__123Graph_EGRAPH41" localSheetId="26" hidden="1">#REF!</definedName>
    <definedName name="__123Graph_EGRAPH41" localSheetId="19" hidden="1">#REF!</definedName>
    <definedName name="__123Graph_EGRAPH41" localSheetId="39" hidden="1">#REF!</definedName>
    <definedName name="__123Graph_EGRAPH41" localSheetId="31" hidden="1">#REF!</definedName>
    <definedName name="__123Graph_EGRAPH41" localSheetId="41" hidden="1">#REF!</definedName>
    <definedName name="__123Graph_EGRAPH41" localSheetId="45" hidden="1">#REF!</definedName>
    <definedName name="__123Graph_EGRAPH41" localSheetId="75" hidden="1">#REF!</definedName>
    <definedName name="__123Graph_EGRAPH41" localSheetId="80" hidden="1">#REF!</definedName>
    <definedName name="__123Graph_EGRAPH41" localSheetId="52" hidden="1">#REF!</definedName>
    <definedName name="__123Graph_EGRAPH41" localSheetId="98" hidden="1">#REF!</definedName>
    <definedName name="__123Graph_EGRAPH41" localSheetId="77" hidden="1">#REF!</definedName>
    <definedName name="__123Graph_EGRAPH41" localSheetId="53" hidden="1">#REF!</definedName>
    <definedName name="__123Graph_EGRAPH41" localSheetId="59" hidden="1">#REF!</definedName>
    <definedName name="__123Graph_EGRAPH41" localSheetId="92" hidden="1">#REF!</definedName>
    <definedName name="__123Graph_EGRAPH41" localSheetId="81" hidden="1">#REF!</definedName>
    <definedName name="__123Graph_EGRAPH41" localSheetId="79" hidden="1">#REF!</definedName>
    <definedName name="__123Graph_EGRAPH41" localSheetId="89" hidden="1">#REF!</definedName>
    <definedName name="__123Graph_EGRAPH41" localSheetId="76" hidden="1">#REF!</definedName>
    <definedName name="__123Graph_EGRAPH41" localSheetId="25" hidden="1">#REF!</definedName>
    <definedName name="__123Graph_EGRAPH41" localSheetId="34" hidden="1">#REF!</definedName>
    <definedName name="__123Graph_EGRAPH41" localSheetId="38" hidden="1">#REF!</definedName>
    <definedName name="__123Graph_EGRAPH41" localSheetId="9" hidden="1">#REF!</definedName>
    <definedName name="__123Graph_EGRAPH41" localSheetId="24" hidden="1">#REF!</definedName>
    <definedName name="__123Graph_EGRAPH41" localSheetId="32" hidden="1">#REF!</definedName>
    <definedName name="__123Graph_EGRAPH41" localSheetId="42" hidden="1">#REF!</definedName>
    <definedName name="__123Graph_EGRAPH41" localSheetId="29" hidden="1">#REF!</definedName>
    <definedName name="__123Graph_EGRAPH41" localSheetId="23" hidden="1">#REF!</definedName>
    <definedName name="__123Graph_EGRAPH41" localSheetId="36" hidden="1">#REF!</definedName>
    <definedName name="__123Graph_EGRAPH41" localSheetId="8" hidden="1">#REF!</definedName>
    <definedName name="__123Graph_EGRAPH41" localSheetId="27" hidden="1">#REF!</definedName>
    <definedName name="__123Graph_EGRAPH41" hidden="1">#REF!</definedName>
    <definedName name="__123Graph_EPERIA" localSheetId="28" hidden="1">#REF!</definedName>
    <definedName name="__123Graph_EPERIA" localSheetId="33" hidden="1">#REF!</definedName>
    <definedName name="__123Graph_EPERIA" localSheetId="47" hidden="1">#REF!</definedName>
    <definedName name="__123Graph_EPERIA" localSheetId="48" hidden="1">#REF!</definedName>
    <definedName name="__123Graph_EPERIA" localSheetId="49" hidden="1">#REF!</definedName>
    <definedName name="__123Graph_EPERIA" localSheetId="5" hidden="1">#REF!</definedName>
    <definedName name="__123Graph_EPERIA" localSheetId="7" hidden="1">#REF!</definedName>
    <definedName name="__123Graph_EPERIA" localSheetId="0" hidden="1">#REF!</definedName>
    <definedName name="__123Graph_EPERIA" localSheetId="35" hidden="1">#REF!</definedName>
    <definedName name="__123Graph_EPERIA" localSheetId="37" hidden="1">#REF!</definedName>
    <definedName name="__123Graph_EPERIA" localSheetId="21" hidden="1">#REF!</definedName>
    <definedName name="__123Graph_EPERIA" localSheetId="16" hidden="1">#REF!</definedName>
    <definedName name="__123Graph_EPERIA" localSheetId="51" hidden="1">#REF!</definedName>
    <definedName name="__123Graph_EPERIA" localSheetId="50" hidden="1">#REF!</definedName>
    <definedName name="__123Graph_EPERIA" localSheetId="18" hidden="1">#REF!</definedName>
    <definedName name="__123Graph_EPERIA" localSheetId="46" hidden="1">#REF!</definedName>
    <definedName name="__123Graph_EPERIA" localSheetId="30" hidden="1">#REF!</definedName>
    <definedName name="__123Graph_EPERIA" localSheetId="6" hidden="1">#REF!</definedName>
    <definedName name="__123Graph_EPERIA" localSheetId="20" hidden="1">#REF!</definedName>
    <definedName name="__123Graph_EPERIA" localSheetId="43" hidden="1">#REF!</definedName>
    <definedName name="__123Graph_EPERIA" localSheetId="44" hidden="1">#REF!</definedName>
    <definedName name="__123Graph_EPERIA" localSheetId="10" hidden="1">#REF!</definedName>
    <definedName name="__123Graph_EPERIA" localSheetId="14" hidden="1">#REF!</definedName>
    <definedName name="__123Graph_EPERIA" localSheetId="15" hidden="1">#REF!</definedName>
    <definedName name="__123Graph_EPERIA" localSheetId="40" hidden="1">#REF!</definedName>
    <definedName name="__123Graph_EPERIA" localSheetId="12" hidden="1">#REF!</definedName>
    <definedName name="__123Graph_EPERIA" localSheetId="22" hidden="1">#REF!</definedName>
    <definedName name="__123Graph_EPERIA" localSheetId="26" hidden="1">#REF!</definedName>
    <definedName name="__123Graph_EPERIA" localSheetId="19" hidden="1">#REF!</definedName>
    <definedName name="__123Graph_EPERIA" localSheetId="39" hidden="1">#REF!</definedName>
    <definedName name="__123Graph_EPERIA" localSheetId="31" hidden="1">#REF!</definedName>
    <definedName name="__123Graph_EPERIA" localSheetId="41" hidden="1">#REF!</definedName>
    <definedName name="__123Graph_EPERIA" localSheetId="45" hidden="1">#REF!</definedName>
    <definedName name="__123Graph_EPERIA" localSheetId="75" hidden="1">#REF!</definedName>
    <definedName name="__123Graph_EPERIA" localSheetId="80" hidden="1">#REF!</definedName>
    <definedName name="__123Graph_EPERIA" localSheetId="52" hidden="1">#REF!</definedName>
    <definedName name="__123Graph_EPERIA" localSheetId="98" hidden="1">#REF!</definedName>
    <definedName name="__123Graph_EPERIA" localSheetId="77" hidden="1">#REF!</definedName>
    <definedName name="__123Graph_EPERIA" localSheetId="53" hidden="1">#REF!</definedName>
    <definedName name="__123Graph_EPERIA" localSheetId="59" hidden="1">#REF!</definedName>
    <definedName name="__123Graph_EPERIA" localSheetId="92" hidden="1">#REF!</definedName>
    <definedName name="__123Graph_EPERIA" localSheetId="81" hidden="1">#REF!</definedName>
    <definedName name="__123Graph_EPERIA" localSheetId="79" hidden="1">#REF!</definedName>
    <definedName name="__123Graph_EPERIA" localSheetId="89" hidden="1">#REF!</definedName>
    <definedName name="__123Graph_EPERIA" localSheetId="76" hidden="1">#REF!</definedName>
    <definedName name="__123Graph_EPERIA" localSheetId="25" hidden="1">#REF!</definedName>
    <definedName name="__123Graph_EPERIA" localSheetId="34" hidden="1">#REF!</definedName>
    <definedName name="__123Graph_EPERIA" localSheetId="38" hidden="1">#REF!</definedName>
    <definedName name="__123Graph_EPERIA" localSheetId="9" hidden="1">#REF!</definedName>
    <definedName name="__123Graph_EPERIA" localSheetId="24" hidden="1">#REF!</definedName>
    <definedName name="__123Graph_EPERIA" localSheetId="32" hidden="1">#REF!</definedName>
    <definedName name="__123Graph_EPERIA" localSheetId="42" hidden="1">#REF!</definedName>
    <definedName name="__123Graph_EPERIA" localSheetId="29" hidden="1">#REF!</definedName>
    <definedName name="__123Graph_EPERIA" localSheetId="23" hidden="1">#REF!</definedName>
    <definedName name="__123Graph_EPERIA" localSheetId="36" hidden="1">#REF!</definedName>
    <definedName name="__123Graph_EPERIA" localSheetId="8" hidden="1">#REF!</definedName>
    <definedName name="__123Graph_EPERIA" localSheetId="27" hidden="1">#REF!</definedName>
    <definedName name="__123Graph_EPERIA" hidden="1">#REF!</definedName>
    <definedName name="__123Graph_EPRODABSC" localSheetId="28" hidden="1">#REF!</definedName>
    <definedName name="__123Graph_EPRODABSC" localSheetId="33" hidden="1">#REF!</definedName>
    <definedName name="__123Graph_EPRODABSC" localSheetId="47" hidden="1">#REF!</definedName>
    <definedName name="__123Graph_EPRODABSC" localSheetId="48" hidden="1">#REF!</definedName>
    <definedName name="__123Graph_EPRODABSC" localSheetId="49" hidden="1">#REF!</definedName>
    <definedName name="__123Graph_EPRODABSC" localSheetId="5" hidden="1">#REF!</definedName>
    <definedName name="__123Graph_EPRODABSC" localSheetId="7" hidden="1">#REF!</definedName>
    <definedName name="__123Graph_EPRODABSC" localSheetId="0" hidden="1">#REF!</definedName>
    <definedName name="__123Graph_EPRODABSC" localSheetId="35" hidden="1">#REF!</definedName>
    <definedName name="__123Graph_EPRODABSC" localSheetId="37" hidden="1">#REF!</definedName>
    <definedName name="__123Graph_EPRODABSC" localSheetId="21" hidden="1">#REF!</definedName>
    <definedName name="__123Graph_EPRODABSC" localSheetId="16" hidden="1">#REF!</definedName>
    <definedName name="__123Graph_EPRODABSC" localSheetId="51" hidden="1">#REF!</definedName>
    <definedName name="__123Graph_EPRODABSC" localSheetId="50" hidden="1">#REF!</definedName>
    <definedName name="__123Graph_EPRODABSC" localSheetId="18" hidden="1">#REF!</definedName>
    <definedName name="__123Graph_EPRODABSC" localSheetId="46" hidden="1">#REF!</definedName>
    <definedName name="__123Graph_EPRODABSC" localSheetId="30" hidden="1">#REF!</definedName>
    <definedName name="__123Graph_EPRODABSC" localSheetId="6" hidden="1">#REF!</definedName>
    <definedName name="__123Graph_EPRODABSC" localSheetId="20" hidden="1">#REF!</definedName>
    <definedName name="__123Graph_EPRODABSC" localSheetId="43" hidden="1">#REF!</definedName>
    <definedName name="__123Graph_EPRODABSC" localSheetId="44" hidden="1">#REF!</definedName>
    <definedName name="__123Graph_EPRODABSC" localSheetId="10" hidden="1">#REF!</definedName>
    <definedName name="__123Graph_EPRODABSC" localSheetId="14" hidden="1">#REF!</definedName>
    <definedName name="__123Graph_EPRODABSC" localSheetId="15" hidden="1">#REF!</definedName>
    <definedName name="__123Graph_EPRODABSC" localSheetId="40" hidden="1">#REF!</definedName>
    <definedName name="__123Graph_EPRODABSC" localSheetId="12" hidden="1">#REF!</definedName>
    <definedName name="__123Graph_EPRODABSC" localSheetId="22" hidden="1">#REF!</definedName>
    <definedName name="__123Graph_EPRODABSC" localSheetId="26" hidden="1">#REF!</definedName>
    <definedName name="__123Graph_EPRODABSC" localSheetId="19" hidden="1">#REF!</definedName>
    <definedName name="__123Graph_EPRODABSC" localSheetId="39" hidden="1">#REF!</definedName>
    <definedName name="__123Graph_EPRODABSC" localSheetId="31" hidden="1">#REF!</definedName>
    <definedName name="__123Graph_EPRODABSC" localSheetId="41" hidden="1">#REF!</definedName>
    <definedName name="__123Graph_EPRODABSC" localSheetId="45" hidden="1">#REF!</definedName>
    <definedName name="__123Graph_EPRODABSC" localSheetId="75" hidden="1">#REF!</definedName>
    <definedName name="__123Graph_EPRODABSC" localSheetId="80" hidden="1">#REF!</definedName>
    <definedName name="__123Graph_EPRODABSC" localSheetId="52" hidden="1">#REF!</definedName>
    <definedName name="__123Graph_EPRODABSC" localSheetId="98" hidden="1">#REF!</definedName>
    <definedName name="__123Graph_EPRODABSC" localSheetId="77" hidden="1">#REF!</definedName>
    <definedName name="__123Graph_EPRODABSC" localSheetId="53" hidden="1">#REF!</definedName>
    <definedName name="__123Graph_EPRODABSC" localSheetId="59" hidden="1">#REF!</definedName>
    <definedName name="__123Graph_EPRODABSC" localSheetId="92" hidden="1">#REF!</definedName>
    <definedName name="__123Graph_EPRODABSC" localSheetId="81" hidden="1">#REF!</definedName>
    <definedName name="__123Graph_EPRODABSC" localSheetId="79" hidden="1">#REF!</definedName>
    <definedName name="__123Graph_EPRODABSC" localSheetId="89" hidden="1">#REF!</definedName>
    <definedName name="__123Graph_EPRODABSC" localSheetId="76" hidden="1">#REF!</definedName>
    <definedName name="__123Graph_EPRODABSC" localSheetId="25" hidden="1">#REF!</definedName>
    <definedName name="__123Graph_EPRODABSC" localSheetId="34" hidden="1">#REF!</definedName>
    <definedName name="__123Graph_EPRODABSC" localSheetId="38" hidden="1">#REF!</definedName>
    <definedName name="__123Graph_EPRODABSC" localSheetId="9" hidden="1">#REF!</definedName>
    <definedName name="__123Graph_EPRODABSC" localSheetId="24" hidden="1">#REF!</definedName>
    <definedName name="__123Graph_EPRODABSC" localSheetId="32" hidden="1">#REF!</definedName>
    <definedName name="__123Graph_EPRODABSC" localSheetId="42" hidden="1">#REF!</definedName>
    <definedName name="__123Graph_EPRODABSC" localSheetId="29" hidden="1">#REF!</definedName>
    <definedName name="__123Graph_EPRODABSC" localSheetId="23" hidden="1">#REF!</definedName>
    <definedName name="__123Graph_EPRODABSC" localSheetId="36" hidden="1">#REF!</definedName>
    <definedName name="__123Graph_EPRODABSC" localSheetId="8" hidden="1">#REF!</definedName>
    <definedName name="__123Graph_EPRODABSC" localSheetId="27" hidden="1">#REF!</definedName>
    <definedName name="__123Graph_EPRODABSC" hidden="1">#REF!</definedName>
    <definedName name="__123Graph_FBERLGRAP" localSheetId="28" hidden="1">#REF!</definedName>
    <definedName name="__123Graph_FBERLGRAP" localSheetId="33" hidden="1">#REF!</definedName>
    <definedName name="__123Graph_FBERLGRAP" localSheetId="47" hidden="1">#REF!</definedName>
    <definedName name="__123Graph_FBERLGRAP" localSheetId="48" hidden="1">#REF!</definedName>
    <definedName name="__123Graph_FBERLGRAP" localSheetId="49" hidden="1">#REF!</definedName>
    <definedName name="__123Graph_FBERLGRAP" localSheetId="5" hidden="1">#REF!</definedName>
    <definedName name="__123Graph_FBERLGRAP" localSheetId="7" hidden="1">#REF!</definedName>
    <definedName name="__123Graph_FBERLGRAP" localSheetId="0" hidden="1">#REF!</definedName>
    <definedName name="__123Graph_FBERLGRAP" localSheetId="35" hidden="1">#REF!</definedName>
    <definedName name="__123Graph_FBERLGRAP" localSheetId="37" hidden="1">#REF!</definedName>
    <definedName name="__123Graph_FBERLGRAP" localSheetId="21" hidden="1">#REF!</definedName>
    <definedName name="__123Graph_FBERLGRAP" localSheetId="16" hidden="1">#REF!</definedName>
    <definedName name="__123Graph_FBERLGRAP" localSheetId="51" hidden="1">#REF!</definedName>
    <definedName name="__123Graph_FBERLGRAP" localSheetId="50" hidden="1">#REF!</definedName>
    <definedName name="__123Graph_FBERLGRAP" localSheetId="18" hidden="1">#REF!</definedName>
    <definedName name="__123Graph_FBERLGRAP" localSheetId="46" hidden="1">#REF!</definedName>
    <definedName name="__123Graph_FBERLGRAP" localSheetId="30" hidden="1">#REF!</definedName>
    <definedName name="__123Graph_FBERLGRAP" localSheetId="6" hidden="1">#REF!</definedName>
    <definedName name="__123Graph_FBERLGRAP" localSheetId="20" hidden="1">#REF!</definedName>
    <definedName name="__123Graph_FBERLGRAP" localSheetId="43" hidden="1">#REF!</definedName>
    <definedName name="__123Graph_FBERLGRAP" localSheetId="44" hidden="1">#REF!</definedName>
    <definedName name="__123Graph_FBERLGRAP" localSheetId="10" hidden="1">#REF!</definedName>
    <definedName name="__123Graph_FBERLGRAP" localSheetId="14" hidden="1">#REF!</definedName>
    <definedName name="__123Graph_FBERLGRAP" localSheetId="15" hidden="1">#REF!</definedName>
    <definedName name="__123Graph_FBERLGRAP" localSheetId="40" hidden="1">#REF!</definedName>
    <definedName name="__123Graph_FBERLGRAP" localSheetId="12" hidden="1">#REF!</definedName>
    <definedName name="__123Graph_FBERLGRAP" localSheetId="22" hidden="1">#REF!</definedName>
    <definedName name="__123Graph_FBERLGRAP" localSheetId="26" hidden="1">#REF!</definedName>
    <definedName name="__123Graph_FBERLGRAP" localSheetId="19" hidden="1">#REF!</definedName>
    <definedName name="__123Graph_FBERLGRAP" localSheetId="39" hidden="1">#REF!</definedName>
    <definedName name="__123Graph_FBERLGRAP" localSheetId="31" hidden="1">#REF!</definedName>
    <definedName name="__123Graph_FBERLGRAP" localSheetId="41" hidden="1">#REF!</definedName>
    <definedName name="__123Graph_FBERLGRAP" localSheetId="45" hidden="1">#REF!</definedName>
    <definedName name="__123Graph_FBERLGRAP" localSheetId="75" hidden="1">#REF!</definedName>
    <definedName name="__123Graph_FBERLGRAP" localSheetId="80" hidden="1">#REF!</definedName>
    <definedName name="__123Graph_FBERLGRAP" localSheetId="52" hidden="1">#REF!</definedName>
    <definedName name="__123Graph_FBERLGRAP" localSheetId="98" hidden="1">#REF!</definedName>
    <definedName name="__123Graph_FBERLGRAP" localSheetId="77" hidden="1">#REF!</definedName>
    <definedName name="__123Graph_FBERLGRAP" localSheetId="53" hidden="1">#REF!</definedName>
    <definedName name="__123Graph_FBERLGRAP" localSheetId="59" hidden="1">#REF!</definedName>
    <definedName name="__123Graph_FBERLGRAP" localSheetId="92" hidden="1">#REF!</definedName>
    <definedName name="__123Graph_FBERLGRAP" localSheetId="81" hidden="1">#REF!</definedName>
    <definedName name="__123Graph_FBERLGRAP" localSheetId="79" hidden="1">#REF!</definedName>
    <definedName name="__123Graph_FBERLGRAP" localSheetId="89" hidden="1">#REF!</definedName>
    <definedName name="__123Graph_FBERLGRAP" localSheetId="76" hidden="1">#REF!</definedName>
    <definedName name="__123Graph_FBERLGRAP" localSheetId="25" hidden="1">#REF!</definedName>
    <definedName name="__123Graph_FBERLGRAP" localSheetId="34" hidden="1">#REF!</definedName>
    <definedName name="__123Graph_FBERLGRAP" localSheetId="38" hidden="1">#REF!</definedName>
    <definedName name="__123Graph_FBERLGRAP" localSheetId="9" hidden="1">#REF!</definedName>
    <definedName name="__123Graph_FBERLGRAP" localSheetId="24" hidden="1">#REF!</definedName>
    <definedName name="__123Graph_FBERLGRAP" localSheetId="32" hidden="1">#REF!</definedName>
    <definedName name="__123Graph_FBERLGRAP" localSheetId="42" hidden="1">#REF!</definedName>
    <definedName name="__123Graph_FBERLGRAP" localSheetId="29" hidden="1">#REF!</definedName>
    <definedName name="__123Graph_FBERLGRAP" localSheetId="23" hidden="1">#REF!</definedName>
    <definedName name="__123Graph_FBERLGRAP" localSheetId="36" hidden="1">#REF!</definedName>
    <definedName name="__123Graph_FBERLGRAP" localSheetId="8" hidden="1">#REF!</definedName>
    <definedName name="__123Graph_FBERLGRAP" localSheetId="27" hidden="1">#REF!</definedName>
    <definedName name="__123Graph_FBERLGRAP" hidden="1">#REF!</definedName>
    <definedName name="__123Graph_FGRAPH1" localSheetId="0" hidden="1">'[1]GDP(O)'!$H$2427:$H$2427</definedName>
    <definedName name="__123Graph_FGRAPH1" hidden="1">'[1]GDP(O)'!$H$2427:$H$2427</definedName>
    <definedName name="__123Graph_FGRAPH41" localSheetId="28" hidden="1">#REF!</definedName>
    <definedName name="__123Graph_FGRAPH41" localSheetId="33" hidden="1">#REF!</definedName>
    <definedName name="__123Graph_FGRAPH41" localSheetId="47" hidden="1">#REF!</definedName>
    <definedName name="__123Graph_FGRAPH41" localSheetId="48" hidden="1">#REF!</definedName>
    <definedName name="__123Graph_FGRAPH41" localSheetId="49" hidden="1">#REF!</definedName>
    <definedName name="__123Graph_FGRAPH41" localSheetId="5" hidden="1">#REF!</definedName>
    <definedName name="__123Graph_FGRAPH41" localSheetId="7" hidden="1">#REF!</definedName>
    <definedName name="__123Graph_FGRAPH41" localSheetId="0" hidden="1">#REF!</definedName>
    <definedName name="__123Graph_FGRAPH41" localSheetId="35" hidden="1">#REF!</definedName>
    <definedName name="__123Graph_FGRAPH41" localSheetId="37" hidden="1">#REF!</definedName>
    <definedName name="__123Graph_FGRAPH41" localSheetId="21" hidden="1">#REF!</definedName>
    <definedName name="__123Graph_FGRAPH41" localSheetId="16" hidden="1">#REF!</definedName>
    <definedName name="__123Graph_FGRAPH41" localSheetId="51" hidden="1">#REF!</definedName>
    <definedName name="__123Graph_FGRAPH41" localSheetId="50" hidden="1">#REF!</definedName>
    <definedName name="__123Graph_FGRAPH41" localSheetId="18" hidden="1">#REF!</definedName>
    <definedName name="__123Graph_FGRAPH41" localSheetId="46" hidden="1">#REF!</definedName>
    <definedName name="__123Graph_FGRAPH41" localSheetId="30" hidden="1">#REF!</definedName>
    <definedName name="__123Graph_FGRAPH41" localSheetId="6" hidden="1">#REF!</definedName>
    <definedName name="__123Graph_FGRAPH41" localSheetId="20" hidden="1">#REF!</definedName>
    <definedName name="__123Graph_FGRAPH41" localSheetId="43" hidden="1">#REF!</definedName>
    <definedName name="__123Graph_FGRAPH41" localSheetId="44" hidden="1">#REF!</definedName>
    <definedName name="__123Graph_FGRAPH41" localSheetId="10" hidden="1">#REF!</definedName>
    <definedName name="__123Graph_FGRAPH41" localSheetId="14" hidden="1">#REF!</definedName>
    <definedName name="__123Graph_FGRAPH41" localSheetId="15" hidden="1">#REF!</definedName>
    <definedName name="__123Graph_FGRAPH41" localSheetId="40" hidden="1">#REF!</definedName>
    <definedName name="__123Graph_FGRAPH41" localSheetId="12" hidden="1">#REF!</definedName>
    <definedName name="__123Graph_FGRAPH41" localSheetId="22" hidden="1">#REF!</definedName>
    <definedName name="__123Graph_FGRAPH41" localSheetId="26" hidden="1">#REF!</definedName>
    <definedName name="__123Graph_FGRAPH41" localSheetId="19" hidden="1">#REF!</definedName>
    <definedName name="__123Graph_FGRAPH41" localSheetId="39" hidden="1">#REF!</definedName>
    <definedName name="__123Graph_FGRAPH41" localSheetId="31" hidden="1">#REF!</definedName>
    <definedName name="__123Graph_FGRAPH41" localSheetId="41" hidden="1">#REF!</definedName>
    <definedName name="__123Graph_FGRAPH41" localSheetId="45" hidden="1">#REF!</definedName>
    <definedName name="__123Graph_FGRAPH41" localSheetId="75" hidden="1">#REF!</definedName>
    <definedName name="__123Graph_FGRAPH41" localSheetId="80" hidden="1">#REF!</definedName>
    <definedName name="__123Graph_FGRAPH41" localSheetId="52" hidden="1">#REF!</definedName>
    <definedName name="__123Graph_FGRAPH41" localSheetId="98" hidden="1">#REF!</definedName>
    <definedName name="__123Graph_FGRAPH41" localSheetId="77" hidden="1">#REF!</definedName>
    <definedName name="__123Graph_FGRAPH41" localSheetId="53" hidden="1">#REF!</definedName>
    <definedName name="__123Graph_FGRAPH41" localSheetId="59" hidden="1">#REF!</definedName>
    <definedName name="__123Graph_FGRAPH41" localSheetId="92" hidden="1">#REF!</definedName>
    <definedName name="__123Graph_FGRAPH41" localSheetId="81" hidden="1">#REF!</definedName>
    <definedName name="__123Graph_FGRAPH41" localSheetId="79" hidden="1">#REF!</definedName>
    <definedName name="__123Graph_FGRAPH41" localSheetId="89" hidden="1">#REF!</definedName>
    <definedName name="__123Graph_FGRAPH41" localSheetId="76" hidden="1">#REF!</definedName>
    <definedName name="__123Graph_FGRAPH41" localSheetId="25" hidden="1">#REF!</definedName>
    <definedName name="__123Graph_FGRAPH41" localSheetId="34" hidden="1">#REF!</definedName>
    <definedName name="__123Graph_FGRAPH41" localSheetId="38" hidden="1">#REF!</definedName>
    <definedName name="__123Graph_FGRAPH41" localSheetId="9" hidden="1">#REF!</definedName>
    <definedName name="__123Graph_FGRAPH41" localSheetId="24" hidden="1">#REF!</definedName>
    <definedName name="__123Graph_FGRAPH41" localSheetId="32" hidden="1">#REF!</definedName>
    <definedName name="__123Graph_FGRAPH41" localSheetId="42" hidden="1">#REF!</definedName>
    <definedName name="__123Graph_FGRAPH41" localSheetId="29" hidden="1">#REF!</definedName>
    <definedName name="__123Graph_FGRAPH41" localSheetId="23" hidden="1">#REF!</definedName>
    <definedName name="__123Graph_FGRAPH41" localSheetId="36" hidden="1">#REF!</definedName>
    <definedName name="__123Graph_FGRAPH41" localSheetId="8" hidden="1">#REF!</definedName>
    <definedName name="__123Graph_FGRAPH41" localSheetId="27" hidden="1">#REF!</definedName>
    <definedName name="__123Graph_FGRAPH41" hidden="1">#REF!</definedName>
    <definedName name="__123Graph_FPRODABSC" localSheetId="28" hidden="1">#REF!</definedName>
    <definedName name="__123Graph_FPRODABSC" localSheetId="33" hidden="1">#REF!</definedName>
    <definedName name="__123Graph_FPRODABSC" localSheetId="47" hidden="1">#REF!</definedName>
    <definedName name="__123Graph_FPRODABSC" localSheetId="48" hidden="1">#REF!</definedName>
    <definedName name="__123Graph_FPRODABSC" localSheetId="49" hidden="1">#REF!</definedName>
    <definedName name="__123Graph_FPRODABSC" localSheetId="5" hidden="1">#REF!</definedName>
    <definedName name="__123Graph_FPRODABSC" localSheetId="7" hidden="1">#REF!</definedName>
    <definedName name="__123Graph_FPRODABSC" localSheetId="0" hidden="1">#REF!</definedName>
    <definedName name="__123Graph_FPRODABSC" localSheetId="35" hidden="1">#REF!</definedName>
    <definedName name="__123Graph_FPRODABSC" localSheetId="37" hidden="1">#REF!</definedName>
    <definedName name="__123Graph_FPRODABSC" localSheetId="21" hidden="1">#REF!</definedName>
    <definedName name="__123Graph_FPRODABSC" localSheetId="16" hidden="1">#REF!</definedName>
    <definedName name="__123Graph_FPRODABSC" localSheetId="51" hidden="1">#REF!</definedName>
    <definedName name="__123Graph_FPRODABSC" localSheetId="50" hidden="1">#REF!</definedName>
    <definedName name="__123Graph_FPRODABSC" localSheetId="18" hidden="1">#REF!</definedName>
    <definedName name="__123Graph_FPRODABSC" localSheetId="46" hidden="1">#REF!</definedName>
    <definedName name="__123Graph_FPRODABSC" localSheetId="30" hidden="1">#REF!</definedName>
    <definedName name="__123Graph_FPRODABSC" localSheetId="6" hidden="1">#REF!</definedName>
    <definedName name="__123Graph_FPRODABSC" localSheetId="20" hidden="1">#REF!</definedName>
    <definedName name="__123Graph_FPRODABSC" localSheetId="43" hidden="1">#REF!</definedName>
    <definedName name="__123Graph_FPRODABSC" localSheetId="44" hidden="1">#REF!</definedName>
    <definedName name="__123Graph_FPRODABSC" localSheetId="10" hidden="1">#REF!</definedName>
    <definedName name="__123Graph_FPRODABSC" localSheetId="14" hidden="1">#REF!</definedName>
    <definedName name="__123Graph_FPRODABSC" localSheetId="15" hidden="1">#REF!</definedName>
    <definedName name="__123Graph_FPRODABSC" localSheetId="40" hidden="1">#REF!</definedName>
    <definedName name="__123Graph_FPRODABSC" localSheetId="12" hidden="1">#REF!</definedName>
    <definedName name="__123Graph_FPRODABSC" localSheetId="22" hidden="1">#REF!</definedName>
    <definedName name="__123Graph_FPRODABSC" localSheetId="26" hidden="1">#REF!</definedName>
    <definedName name="__123Graph_FPRODABSC" localSheetId="19" hidden="1">#REF!</definedName>
    <definedName name="__123Graph_FPRODABSC" localSheetId="39" hidden="1">#REF!</definedName>
    <definedName name="__123Graph_FPRODABSC" localSheetId="31" hidden="1">#REF!</definedName>
    <definedName name="__123Graph_FPRODABSC" localSheetId="41" hidden="1">#REF!</definedName>
    <definedName name="__123Graph_FPRODABSC" localSheetId="45" hidden="1">#REF!</definedName>
    <definedName name="__123Graph_FPRODABSC" localSheetId="75" hidden="1">#REF!</definedName>
    <definedName name="__123Graph_FPRODABSC" localSheetId="80" hidden="1">#REF!</definedName>
    <definedName name="__123Graph_FPRODABSC" localSheetId="52" hidden="1">#REF!</definedName>
    <definedName name="__123Graph_FPRODABSC" localSheetId="98" hidden="1">#REF!</definedName>
    <definedName name="__123Graph_FPRODABSC" localSheetId="77" hidden="1">#REF!</definedName>
    <definedName name="__123Graph_FPRODABSC" localSheetId="53" hidden="1">#REF!</definedName>
    <definedName name="__123Graph_FPRODABSC" localSheetId="59" hidden="1">#REF!</definedName>
    <definedName name="__123Graph_FPRODABSC" localSheetId="92" hidden="1">#REF!</definedName>
    <definedName name="__123Graph_FPRODABSC" localSheetId="81" hidden="1">#REF!</definedName>
    <definedName name="__123Graph_FPRODABSC" localSheetId="79" hidden="1">#REF!</definedName>
    <definedName name="__123Graph_FPRODABSC" localSheetId="89" hidden="1">#REF!</definedName>
    <definedName name="__123Graph_FPRODABSC" localSheetId="76" hidden="1">#REF!</definedName>
    <definedName name="__123Graph_FPRODABSC" localSheetId="25" hidden="1">#REF!</definedName>
    <definedName name="__123Graph_FPRODABSC" localSheetId="34" hidden="1">#REF!</definedName>
    <definedName name="__123Graph_FPRODABSC" localSheetId="38" hidden="1">#REF!</definedName>
    <definedName name="__123Graph_FPRODABSC" localSheetId="9" hidden="1">#REF!</definedName>
    <definedName name="__123Graph_FPRODABSC" localSheetId="24" hidden="1">#REF!</definedName>
    <definedName name="__123Graph_FPRODABSC" localSheetId="32" hidden="1">#REF!</definedName>
    <definedName name="__123Graph_FPRODABSC" localSheetId="42" hidden="1">#REF!</definedName>
    <definedName name="__123Graph_FPRODABSC" localSheetId="29" hidden="1">#REF!</definedName>
    <definedName name="__123Graph_FPRODABSC" localSheetId="23" hidden="1">#REF!</definedName>
    <definedName name="__123Graph_FPRODABSC" localSheetId="36" hidden="1">#REF!</definedName>
    <definedName name="__123Graph_FPRODABSC" localSheetId="8" hidden="1">#REF!</definedName>
    <definedName name="__123Graph_FPRODABSC" localSheetId="27" hidden="1">#REF!</definedName>
    <definedName name="__123Graph_FPRODABSC" hidden="1">#REF!</definedName>
    <definedName name="__123Graph_X" localSheetId="28" hidden="1">#REF!</definedName>
    <definedName name="__123Graph_X" localSheetId="33" hidden="1">#REF!</definedName>
    <definedName name="__123Graph_X" localSheetId="47" hidden="1">#REF!</definedName>
    <definedName name="__123Graph_X" localSheetId="48" hidden="1">#REF!</definedName>
    <definedName name="__123Graph_X" localSheetId="49" hidden="1">#REF!</definedName>
    <definedName name="__123Graph_X" localSheetId="5" hidden="1">#REF!</definedName>
    <definedName name="__123Graph_X" localSheetId="7" hidden="1">#REF!</definedName>
    <definedName name="__123Graph_X" localSheetId="0" hidden="1">#REF!</definedName>
    <definedName name="__123Graph_X" localSheetId="35" hidden="1">#REF!</definedName>
    <definedName name="__123Graph_X" localSheetId="37" hidden="1">#REF!</definedName>
    <definedName name="__123Graph_X" localSheetId="21" hidden="1">#REF!</definedName>
    <definedName name="__123Graph_X" localSheetId="16" hidden="1">#REF!</definedName>
    <definedName name="__123Graph_X" localSheetId="51" hidden="1">#REF!</definedName>
    <definedName name="__123Graph_X" localSheetId="50" hidden="1">#REF!</definedName>
    <definedName name="__123Graph_X" localSheetId="18" hidden="1">#REF!</definedName>
    <definedName name="__123Graph_X" localSheetId="46" hidden="1">#REF!</definedName>
    <definedName name="__123Graph_X" localSheetId="30" hidden="1">#REF!</definedName>
    <definedName name="__123Graph_X" localSheetId="6" hidden="1">#REF!</definedName>
    <definedName name="__123Graph_X" localSheetId="20" hidden="1">#REF!</definedName>
    <definedName name="__123Graph_X" localSheetId="43" hidden="1">#REF!</definedName>
    <definedName name="__123Graph_X" localSheetId="44" hidden="1">#REF!</definedName>
    <definedName name="__123Graph_X" localSheetId="10" hidden="1">#REF!</definedName>
    <definedName name="__123Graph_X" localSheetId="14" hidden="1">#REF!</definedName>
    <definedName name="__123Graph_X" localSheetId="15" hidden="1">#REF!</definedName>
    <definedName name="__123Graph_X" localSheetId="40" hidden="1">#REF!</definedName>
    <definedName name="__123Graph_X" localSheetId="12" hidden="1">#REF!</definedName>
    <definedName name="__123Graph_X" localSheetId="22" hidden="1">#REF!</definedName>
    <definedName name="__123Graph_X" localSheetId="26" hidden="1">#REF!</definedName>
    <definedName name="__123Graph_X" localSheetId="19" hidden="1">#REF!</definedName>
    <definedName name="__123Graph_X" localSheetId="39" hidden="1">#REF!</definedName>
    <definedName name="__123Graph_X" localSheetId="31" hidden="1">#REF!</definedName>
    <definedName name="__123Graph_X" localSheetId="41" hidden="1">#REF!</definedName>
    <definedName name="__123Graph_X" localSheetId="45" hidden="1">#REF!</definedName>
    <definedName name="__123Graph_X" localSheetId="75" hidden="1">#REF!</definedName>
    <definedName name="__123Graph_X" localSheetId="80" hidden="1">#REF!</definedName>
    <definedName name="__123Graph_X" localSheetId="52" hidden="1">#REF!</definedName>
    <definedName name="__123Graph_X" localSheetId="98" hidden="1">#REF!</definedName>
    <definedName name="__123Graph_X" localSheetId="77" hidden="1">#REF!</definedName>
    <definedName name="__123Graph_X" localSheetId="53" hidden="1">#REF!</definedName>
    <definedName name="__123Graph_X" localSheetId="59" hidden="1">#REF!</definedName>
    <definedName name="__123Graph_X" localSheetId="92" hidden="1">#REF!</definedName>
    <definedName name="__123Graph_X" localSheetId="81" hidden="1">#REF!</definedName>
    <definedName name="__123Graph_X" localSheetId="56" hidden="1">#REF!</definedName>
    <definedName name="__123Graph_X" localSheetId="79" hidden="1">#REF!</definedName>
    <definedName name="__123Graph_X" localSheetId="89" hidden="1">#REF!</definedName>
    <definedName name="__123Graph_X" localSheetId="76" hidden="1">#REF!</definedName>
    <definedName name="__123Graph_X" localSheetId="25" hidden="1">#REF!</definedName>
    <definedName name="__123Graph_X" localSheetId="34" hidden="1">#REF!</definedName>
    <definedName name="__123Graph_X" localSheetId="38" hidden="1">#REF!</definedName>
    <definedName name="__123Graph_X" localSheetId="9" hidden="1">#REF!</definedName>
    <definedName name="__123Graph_X" localSheetId="24" hidden="1">#REF!</definedName>
    <definedName name="__123Graph_X" localSheetId="32" hidden="1">#REF!</definedName>
    <definedName name="__123Graph_X" localSheetId="42" hidden="1">#REF!</definedName>
    <definedName name="__123Graph_X" localSheetId="29" hidden="1">#REF!</definedName>
    <definedName name="__123Graph_X" localSheetId="23" hidden="1">#REF!</definedName>
    <definedName name="__123Graph_X" localSheetId="36" hidden="1">#REF!</definedName>
    <definedName name="__123Graph_X" localSheetId="8" hidden="1">#REF!</definedName>
    <definedName name="__123Graph_X" localSheetId="27" hidden="1">#REF!</definedName>
    <definedName name="__123Graph_X" hidden="1">#REF!</definedName>
    <definedName name="__123Graph_XECTOT" localSheetId="28" hidden="1">#REF!</definedName>
    <definedName name="__123Graph_XECTOT" localSheetId="33" hidden="1">#REF!</definedName>
    <definedName name="__123Graph_XECTOT" localSheetId="47" hidden="1">#REF!</definedName>
    <definedName name="__123Graph_XECTOT" localSheetId="48" hidden="1">#REF!</definedName>
    <definedName name="__123Graph_XECTOT" localSheetId="49" hidden="1">#REF!</definedName>
    <definedName name="__123Graph_XECTOT" localSheetId="5" hidden="1">#REF!</definedName>
    <definedName name="__123Graph_XECTOT" localSheetId="7" hidden="1">#REF!</definedName>
    <definedName name="__123Graph_XECTOT" localSheetId="0" hidden="1">#REF!</definedName>
    <definedName name="__123Graph_XECTOT" localSheetId="35" hidden="1">#REF!</definedName>
    <definedName name="__123Graph_XECTOT" localSheetId="37" hidden="1">#REF!</definedName>
    <definedName name="__123Graph_XECTOT" localSheetId="21" hidden="1">#REF!</definedName>
    <definedName name="__123Graph_XECTOT" localSheetId="16" hidden="1">#REF!</definedName>
    <definedName name="__123Graph_XECTOT" localSheetId="51" hidden="1">#REF!</definedName>
    <definedName name="__123Graph_XECTOT" localSheetId="50" hidden="1">#REF!</definedName>
    <definedName name="__123Graph_XECTOT" localSheetId="18" hidden="1">#REF!</definedName>
    <definedName name="__123Graph_XECTOT" localSheetId="46" hidden="1">#REF!</definedName>
    <definedName name="__123Graph_XECTOT" localSheetId="30" hidden="1">#REF!</definedName>
    <definedName name="__123Graph_XECTOT" localSheetId="6" hidden="1">#REF!</definedName>
    <definedName name="__123Graph_XECTOT" localSheetId="20" hidden="1">#REF!</definedName>
    <definedName name="__123Graph_XECTOT" localSheetId="43" hidden="1">#REF!</definedName>
    <definedName name="__123Graph_XECTOT" localSheetId="44" hidden="1">#REF!</definedName>
    <definedName name="__123Graph_XECTOT" localSheetId="10" hidden="1">#REF!</definedName>
    <definedName name="__123Graph_XECTOT" localSheetId="14" hidden="1">#REF!</definedName>
    <definedName name="__123Graph_XECTOT" localSheetId="15" hidden="1">#REF!</definedName>
    <definedName name="__123Graph_XECTOT" localSheetId="40" hidden="1">#REF!</definedName>
    <definedName name="__123Graph_XECTOT" localSheetId="12" hidden="1">#REF!</definedName>
    <definedName name="__123Graph_XECTOT" localSheetId="22" hidden="1">#REF!</definedName>
    <definedName name="__123Graph_XECTOT" localSheetId="26" hidden="1">#REF!</definedName>
    <definedName name="__123Graph_XECTOT" localSheetId="19" hidden="1">#REF!</definedName>
    <definedName name="__123Graph_XECTOT" localSheetId="39" hidden="1">#REF!</definedName>
    <definedName name="__123Graph_XECTOT" localSheetId="31" hidden="1">#REF!</definedName>
    <definedName name="__123Graph_XECTOT" localSheetId="41" hidden="1">#REF!</definedName>
    <definedName name="__123Graph_XECTOT" localSheetId="45" hidden="1">#REF!</definedName>
    <definedName name="__123Graph_XECTOT" localSheetId="75" hidden="1">#REF!</definedName>
    <definedName name="__123Graph_XECTOT" localSheetId="80" hidden="1">#REF!</definedName>
    <definedName name="__123Graph_XECTOT" localSheetId="52" hidden="1">#REF!</definedName>
    <definedName name="__123Graph_XECTOT" localSheetId="98" hidden="1">#REF!</definedName>
    <definedName name="__123Graph_XECTOT" localSheetId="77" hidden="1">#REF!</definedName>
    <definedName name="__123Graph_XECTOT" localSheetId="53" hidden="1">#REF!</definedName>
    <definedName name="__123Graph_XECTOT" localSheetId="59" hidden="1">#REF!</definedName>
    <definedName name="__123Graph_XECTOT" localSheetId="92" hidden="1">#REF!</definedName>
    <definedName name="__123Graph_XECTOT" localSheetId="81" hidden="1">#REF!</definedName>
    <definedName name="__123Graph_XECTOT" localSheetId="56" hidden="1">#REF!</definedName>
    <definedName name="__123Graph_XECTOT" localSheetId="79" hidden="1">#REF!</definedName>
    <definedName name="__123Graph_XECTOT" localSheetId="89" hidden="1">#REF!</definedName>
    <definedName name="__123Graph_XECTOT" localSheetId="76" hidden="1">#REF!</definedName>
    <definedName name="__123Graph_XECTOT" localSheetId="25" hidden="1">#REF!</definedName>
    <definedName name="__123Graph_XECTOT" localSheetId="34" hidden="1">#REF!</definedName>
    <definedName name="__123Graph_XECTOT" localSheetId="38" hidden="1">#REF!</definedName>
    <definedName name="__123Graph_XECTOT" localSheetId="9" hidden="1">#REF!</definedName>
    <definedName name="__123Graph_XECTOT" localSheetId="24" hidden="1">#REF!</definedName>
    <definedName name="__123Graph_XECTOT" localSheetId="32" hidden="1">#REF!</definedName>
    <definedName name="__123Graph_XECTOT" localSheetId="42" hidden="1">#REF!</definedName>
    <definedName name="__123Graph_XECTOT" localSheetId="29" hidden="1">#REF!</definedName>
    <definedName name="__123Graph_XECTOT" localSheetId="23" hidden="1">#REF!</definedName>
    <definedName name="__123Graph_XECTOT" localSheetId="36" hidden="1">#REF!</definedName>
    <definedName name="__123Graph_XECTOT" localSheetId="8" hidden="1">#REF!</definedName>
    <definedName name="__123Graph_XECTOT" localSheetId="27" hidden="1">#REF!</definedName>
    <definedName name="__123Graph_XECTOT" hidden="1">#REF!</definedName>
    <definedName name="__123Graph_XGRAPH1" localSheetId="0" hidden="1">'[1]GDP(O)'!$B$2427:$B$2427</definedName>
    <definedName name="__123Graph_XGRAPH1" hidden="1">'[1]GDP(O)'!$B$2427:$B$2427</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28" hidden="1">#REF!</definedName>
    <definedName name="_Fill" localSheetId="33" hidden="1">#REF!</definedName>
    <definedName name="_Fill" localSheetId="47" hidden="1">#REF!</definedName>
    <definedName name="_Fill" localSheetId="48" hidden="1">#REF!</definedName>
    <definedName name="_Fill" localSheetId="49" hidden="1">#REF!</definedName>
    <definedName name="_Fill" localSheetId="5" hidden="1">#REF!</definedName>
    <definedName name="_Fill" localSheetId="7" hidden="1">#REF!</definedName>
    <definedName name="_Fill" localSheetId="0" hidden="1">#REF!</definedName>
    <definedName name="_Fill" localSheetId="35" hidden="1">#REF!</definedName>
    <definedName name="_Fill" localSheetId="37" hidden="1">#REF!</definedName>
    <definedName name="_Fill" localSheetId="21" hidden="1">#REF!</definedName>
    <definedName name="_Fill" localSheetId="16" hidden="1">#REF!</definedName>
    <definedName name="_Fill" localSheetId="51" hidden="1">#REF!</definedName>
    <definedName name="_Fill" localSheetId="50" hidden="1">#REF!</definedName>
    <definedName name="_Fill" localSheetId="18" hidden="1">#REF!</definedName>
    <definedName name="_Fill" localSheetId="46" hidden="1">#REF!</definedName>
    <definedName name="_Fill" localSheetId="30" hidden="1">#REF!</definedName>
    <definedName name="_Fill" localSheetId="6" hidden="1">#REF!</definedName>
    <definedName name="_Fill" localSheetId="20" hidden="1">#REF!</definedName>
    <definedName name="_Fill" localSheetId="43" hidden="1">#REF!</definedName>
    <definedName name="_Fill" localSheetId="44" hidden="1">#REF!</definedName>
    <definedName name="_Fill" localSheetId="10" hidden="1">#REF!</definedName>
    <definedName name="_Fill" localSheetId="14" hidden="1">#REF!</definedName>
    <definedName name="_Fill" localSheetId="15" hidden="1">#REF!</definedName>
    <definedName name="_Fill" localSheetId="40" hidden="1">#REF!</definedName>
    <definedName name="_Fill" localSheetId="12" hidden="1">#REF!</definedName>
    <definedName name="_Fill" localSheetId="22" hidden="1">#REF!</definedName>
    <definedName name="_Fill" localSheetId="26" hidden="1">#REF!</definedName>
    <definedName name="_Fill" localSheetId="19" hidden="1">#REF!</definedName>
    <definedName name="_Fill" localSheetId="39" hidden="1">#REF!</definedName>
    <definedName name="_Fill" localSheetId="31" hidden="1">#REF!</definedName>
    <definedName name="_Fill" localSheetId="41" hidden="1">#REF!</definedName>
    <definedName name="_Fill" localSheetId="45" hidden="1">#REF!</definedName>
    <definedName name="_Fill" localSheetId="75" hidden="1">#REF!</definedName>
    <definedName name="_Fill" localSheetId="80" hidden="1">#REF!</definedName>
    <definedName name="_Fill" localSheetId="52" hidden="1">#REF!</definedName>
    <definedName name="_Fill" localSheetId="98" hidden="1">#REF!</definedName>
    <definedName name="_Fill" localSheetId="77" hidden="1">#REF!</definedName>
    <definedName name="_Fill" localSheetId="53" hidden="1">#REF!</definedName>
    <definedName name="_Fill" localSheetId="59" hidden="1">#REF!</definedName>
    <definedName name="_Fill" localSheetId="92" hidden="1">#REF!</definedName>
    <definedName name="_Fill" localSheetId="81" hidden="1">#REF!</definedName>
    <definedName name="_Fill" localSheetId="56" hidden="1">#REF!</definedName>
    <definedName name="_Fill" localSheetId="79" hidden="1">#REF!</definedName>
    <definedName name="_Fill" localSheetId="89" hidden="1">#REF!</definedName>
    <definedName name="_Fill" localSheetId="76" hidden="1">#REF!</definedName>
    <definedName name="_Fill" localSheetId="25" hidden="1">#REF!</definedName>
    <definedName name="_Fill" localSheetId="34" hidden="1">#REF!</definedName>
    <definedName name="_Fill" localSheetId="38" hidden="1">#REF!</definedName>
    <definedName name="_Fill" localSheetId="9" hidden="1">#REF!</definedName>
    <definedName name="_Fill" localSheetId="24" hidden="1">#REF!</definedName>
    <definedName name="_Fill" localSheetId="32" hidden="1">#REF!</definedName>
    <definedName name="_Fill" localSheetId="42" hidden="1">#REF!</definedName>
    <definedName name="_Fill" localSheetId="29" hidden="1">#REF!</definedName>
    <definedName name="_Fill" localSheetId="23" hidden="1">#REF!</definedName>
    <definedName name="_Fill" localSheetId="36" hidden="1">#REF!</definedName>
    <definedName name="_Fill" localSheetId="8" hidden="1">#REF!</definedName>
    <definedName name="_Fill" localSheetId="27" hidden="1">#REF!</definedName>
    <definedName name="_Fill" hidden="1">#REF!</definedName>
    <definedName name="_xlnm._FilterDatabase" localSheetId="28" hidden="1">'10 Mb'!$C$6:$L$14</definedName>
    <definedName name="_xlnm._FilterDatabase" localSheetId="33" hidden="1">Adaptations!$C$6:$L$14</definedName>
    <definedName name="_xlnm._FilterDatabase" localSheetId="47" hidden="1">'Business Births'!$C$6:$L$14</definedName>
    <definedName name="_xlnm._FilterDatabase" localSheetId="48" hidden="1">'Business Deaths'!$C$6:$L$14</definedName>
    <definedName name="_xlnm._FilterDatabase" localSheetId="49" hidden="1">'Business Survival'!$C$6:$L$14</definedName>
    <definedName name="_xlnm._FilterDatabase" localSheetId="5" hidden="1">'Child Poverty'!$C$6:$L$14</definedName>
    <definedName name="_xlnm._FilterDatabase" localSheetId="7" hidden="1">'Claimant Count'!$C$6:$L$14</definedName>
    <definedName name="_xlnm._FilterDatabase" localSheetId="35" hidden="1">Disrepair!$C$6:$L$14</definedName>
    <definedName name="_xlnm._FilterDatabase" localSheetId="37" hidden="1">'DL %'!$B$6:$L$14</definedName>
    <definedName name="_xlnm._FilterDatabase" localSheetId="21" hidden="1">Earnings!$B$6:$K$14</definedName>
    <definedName name="_xlnm._FilterDatabase" localSheetId="16" hidden="1">'Economic Inactivity'!$C$6:$L$14</definedName>
    <definedName name="_xlnm._FilterDatabase" localSheetId="51" hidden="1">'Emissions KM'!$C$6:$L$6</definedName>
    <definedName name="_xlnm._FilterDatabase" localSheetId="50" hidden="1">'Emissions Population'!$C$6:$L$6</definedName>
    <definedName name="_xlnm._FilterDatabase" localSheetId="18" hidden="1">Employment!$C$6:$L$14</definedName>
    <definedName name="_xlnm._FilterDatabase" localSheetId="46" hidden="1">'Enterprise Rate'!$C$6:$L$14</definedName>
    <definedName name="_xlnm._FilterDatabase" localSheetId="30" hidden="1">Fibre!$C$6:$L$14</definedName>
    <definedName name="_xlnm._FilterDatabase" localSheetId="6" hidden="1">'Fuel Poverty'!$C$6:$L$14</definedName>
    <definedName name="_xlnm._FilterDatabase" localSheetId="20" hidden="1">'Gender Gap'!$C$6:$H$6</definedName>
    <definedName name="_xlnm._FilterDatabase" localSheetId="43" hidden="1">GVA!$B$6:$K$14</definedName>
    <definedName name="_xlnm._FilterDatabase" localSheetId="44" hidden="1">'GVA phw'!$B$6:$K$14</definedName>
    <definedName name="_xlnm._FilterDatabase" localSheetId="10" hidden="1">'High Qualifications'!$B$6:$J$6</definedName>
    <definedName name="_xlnm._FilterDatabase" localSheetId="14" hidden="1">'HLE Females'!$B$6:$K$6</definedName>
    <definedName name="_xlnm._FilterDatabase" localSheetId="15" hidden="1">'HLE Males'!$B$6:$K$6</definedName>
    <definedName name="_xlnm._FilterDatabase" localSheetId="40" hidden="1">'Housing Affordability'!$C$6:$I$6</definedName>
    <definedName name="_xlnm._FilterDatabase" localSheetId="13" hidden="1">'Ill Health'!$C$6:$L$14</definedName>
    <definedName name="_xlnm._FilterDatabase" localSheetId="12" hidden="1">Incapacity!$C$6:$L$14</definedName>
    <definedName name="_xlnm._FilterDatabase" localSheetId="3" hidden="1">'Index RAG'!$G$7:$H$7</definedName>
    <definedName name="_xlnm._FilterDatabase" localSheetId="1" hidden="1">'LA Feedback'!$A$1:$C$1</definedName>
    <definedName name="_xlnm._FilterDatabase" localSheetId="22" hidden="1">'Low Earnings'!$B$6:$K$14</definedName>
    <definedName name="_xlnm._FilterDatabase" localSheetId="26" hidden="1">'Low pay'!$C$6:$G$14</definedName>
    <definedName name="_xlnm._FilterDatabase" localSheetId="19" hidden="1">'Low Pay Sectors'!$C$6:$L$14</definedName>
    <definedName name="_xlnm._FilterDatabase" localSheetId="39" hidden="1">'Net Migration'!$C$6:$H$6</definedName>
    <definedName name="_xlnm._FilterDatabase" localSheetId="31" hidden="1">'New Builds'!$B$6:$L$14</definedName>
    <definedName name="_xlnm._FilterDatabase" localSheetId="11" hidden="1">'No Qualifications'!$B$6:$J$6</definedName>
    <definedName name="_xlnm._FilterDatabase" localSheetId="41" hidden="1">Procurement!$C$6:$I$14</definedName>
    <definedName name="_xlnm._FilterDatabase" localSheetId="45" hidden="1">'R&amp;D'!$C$6:$L$14</definedName>
    <definedName name="_xlnm._FilterDatabase" localSheetId="75" hidden="1">'Raw - 10Mb'!$A$1:$A$1</definedName>
    <definedName name="_xlnm._FilterDatabase" localSheetId="77" hidden="1">'Raw - Fibre'!$A$1:$A$1</definedName>
    <definedName name="_xlnm._FilterDatabase" localSheetId="76" hidden="1">'Raw - UFBB'!$A$1:$A$1</definedName>
    <definedName name="_xlnm._FilterDatabase" localSheetId="25" hidden="1">'Satisfactory hours'!$C$6:$G$14</definedName>
    <definedName name="_xlnm._FilterDatabase" localSheetId="34" hidden="1">SHQS!$C$6:$L$14</definedName>
    <definedName name="_xlnm._FilterDatabase" localSheetId="38" hidden="1">'SIMD V&amp;DL'!$B$6:$K$14</definedName>
    <definedName name="_xlnm._FilterDatabase" localSheetId="9" hidden="1">SLDR!$C$6:$L$14</definedName>
    <definedName name="_xlnm._FilterDatabase" localSheetId="24" hidden="1">'SOC 1 Occupation'!$C$6:$L$14</definedName>
    <definedName name="_xlnm._FilterDatabase" localSheetId="32" hidden="1">'Social Builds'!$B$6:$L$14</definedName>
    <definedName name="_xlnm._FilterDatabase" localSheetId="42" hidden="1">'Social Enterprises'!$C$6:$K$14</definedName>
    <definedName name="_xlnm._FilterDatabase" localSheetId="29" hidden="1">UFBB!$C$6:$L$14</definedName>
    <definedName name="_xlnm._FilterDatabase" localSheetId="23" hidden="1">Underemployment!$C$6:$L$6</definedName>
    <definedName name="_xlnm._FilterDatabase" localSheetId="17" hidden="1">Unemployment!$C$6:$L$14</definedName>
    <definedName name="_xlnm._FilterDatabase" localSheetId="36" hidden="1">'V&amp;DL'!$B$6:$K$14</definedName>
    <definedName name="_xlnm._FilterDatabase" localSheetId="8" hidden="1">'Workless Households'!$C$6:$L$14</definedName>
    <definedName name="_xlnm._FilterDatabase" localSheetId="27" hidden="1">'Zero-hour contracts'!$C$6:$G$14</definedName>
    <definedName name="_Key1" localSheetId="28" hidden="1">#REF!</definedName>
    <definedName name="_Key1" localSheetId="33" hidden="1">#REF!</definedName>
    <definedName name="_Key1" localSheetId="47" hidden="1">#REF!</definedName>
    <definedName name="_Key1" localSheetId="48" hidden="1">#REF!</definedName>
    <definedName name="_Key1" localSheetId="49" hidden="1">#REF!</definedName>
    <definedName name="_Key1" localSheetId="5" hidden="1">#REF!</definedName>
    <definedName name="_Key1" localSheetId="7" hidden="1">#REF!</definedName>
    <definedName name="_Key1" localSheetId="0" hidden="1">#REF!</definedName>
    <definedName name="_Key1" localSheetId="35" hidden="1">#REF!</definedName>
    <definedName name="_Key1" localSheetId="37" hidden="1">#REF!</definedName>
    <definedName name="_Key1" localSheetId="21" hidden="1">#REF!</definedName>
    <definedName name="_Key1" localSheetId="16" hidden="1">#REF!</definedName>
    <definedName name="_Key1" localSheetId="51" hidden="1">#REF!</definedName>
    <definedName name="_Key1" localSheetId="50" hidden="1">#REF!</definedName>
    <definedName name="_Key1" localSheetId="18" hidden="1">#REF!</definedName>
    <definedName name="_Key1" localSheetId="46" hidden="1">#REF!</definedName>
    <definedName name="_Key1" localSheetId="30" hidden="1">#REF!</definedName>
    <definedName name="_Key1" localSheetId="6" hidden="1">#REF!</definedName>
    <definedName name="_Key1" localSheetId="20" hidden="1">#REF!</definedName>
    <definedName name="_Key1" localSheetId="43" hidden="1">#REF!</definedName>
    <definedName name="_Key1" localSheetId="44" hidden="1">#REF!</definedName>
    <definedName name="_Key1" localSheetId="10" hidden="1">#REF!</definedName>
    <definedName name="_Key1" localSheetId="14" hidden="1">#REF!</definedName>
    <definedName name="_Key1" localSheetId="15" hidden="1">#REF!</definedName>
    <definedName name="_Key1" localSheetId="40" hidden="1">#REF!</definedName>
    <definedName name="_Key1" localSheetId="12" hidden="1">#REF!</definedName>
    <definedName name="_Key1" localSheetId="22" hidden="1">#REF!</definedName>
    <definedName name="_Key1" localSheetId="26" hidden="1">#REF!</definedName>
    <definedName name="_Key1" localSheetId="19" hidden="1">#REF!</definedName>
    <definedName name="_Key1" localSheetId="39" hidden="1">#REF!</definedName>
    <definedName name="_Key1" localSheetId="31" hidden="1">#REF!</definedName>
    <definedName name="_Key1" localSheetId="41" hidden="1">#REF!</definedName>
    <definedName name="_Key1" localSheetId="45" hidden="1">#REF!</definedName>
    <definedName name="_Key1" localSheetId="75" hidden="1">#REF!</definedName>
    <definedName name="_Key1" localSheetId="80" hidden="1">#REF!</definedName>
    <definedName name="_Key1" localSheetId="52" hidden="1">#REF!</definedName>
    <definedName name="_Key1" localSheetId="98" hidden="1">#REF!</definedName>
    <definedName name="_Key1" localSheetId="77" hidden="1">#REF!</definedName>
    <definedName name="_Key1" localSheetId="53" hidden="1">#REF!</definedName>
    <definedName name="_Key1" localSheetId="59" hidden="1">#REF!</definedName>
    <definedName name="_Key1" localSheetId="92" hidden="1">#REF!</definedName>
    <definedName name="_Key1" localSheetId="81" hidden="1">#REF!</definedName>
    <definedName name="_Key1" localSheetId="56" hidden="1">#REF!</definedName>
    <definedName name="_Key1" localSheetId="79" hidden="1">#REF!</definedName>
    <definedName name="_Key1" localSheetId="89" hidden="1">#REF!</definedName>
    <definedName name="_Key1" localSheetId="76" hidden="1">#REF!</definedName>
    <definedName name="_Key1" localSheetId="25" hidden="1">#REF!</definedName>
    <definedName name="_Key1" localSheetId="34" hidden="1">#REF!</definedName>
    <definedName name="_Key1" localSheetId="38" hidden="1">#REF!</definedName>
    <definedName name="_Key1" localSheetId="9" hidden="1">#REF!</definedName>
    <definedName name="_Key1" localSheetId="24" hidden="1">#REF!</definedName>
    <definedName name="_Key1" localSheetId="32" hidden="1">#REF!</definedName>
    <definedName name="_Key1" localSheetId="42" hidden="1">#REF!</definedName>
    <definedName name="_Key1" localSheetId="29" hidden="1">#REF!</definedName>
    <definedName name="_Key1" localSheetId="23" hidden="1">#REF!</definedName>
    <definedName name="_Key1" localSheetId="36" hidden="1">#REF!</definedName>
    <definedName name="_Key1" localSheetId="8" hidden="1">#REF!</definedName>
    <definedName name="_Key1" localSheetId="27" hidden="1">#REF!</definedName>
    <definedName name="_Key1" hidden="1">#REF!</definedName>
    <definedName name="_Order1" hidden="1">0</definedName>
    <definedName name="_Regression_Out" localSheetId="28" hidden="1">#REF!</definedName>
    <definedName name="_Regression_Out" localSheetId="33" hidden="1">#REF!</definedName>
    <definedName name="_Regression_Out" localSheetId="47" hidden="1">#REF!</definedName>
    <definedName name="_Regression_Out" localSheetId="48" hidden="1">#REF!</definedName>
    <definedName name="_Regression_Out" localSheetId="49" hidden="1">#REF!</definedName>
    <definedName name="_Regression_Out" localSheetId="5" hidden="1">#REF!</definedName>
    <definedName name="_Regression_Out" localSheetId="7" hidden="1">#REF!</definedName>
    <definedName name="_Regression_Out" localSheetId="0" hidden="1">#REF!</definedName>
    <definedName name="_Regression_Out" localSheetId="35" hidden="1">#REF!</definedName>
    <definedName name="_Regression_Out" localSheetId="37" hidden="1">#REF!</definedName>
    <definedName name="_Regression_Out" localSheetId="21" hidden="1">#REF!</definedName>
    <definedName name="_Regression_Out" localSheetId="16" hidden="1">#REF!</definedName>
    <definedName name="_Regression_Out" localSheetId="51" hidden="1">#REF!</definedName>
    <definedName name="_Regression_Out" localSheetId="50" hidden="1">#REF!</definedName>
    <definedName name="_Regression_Out" localSheetId="18" hidden="1">#REF!</definedName>
    <definedName name="_Regression_Out" localSheetId="46" hidden="1">#REF!</definedName>
    <definedName name="_Regression_Out" localSheetId="30" hidden="1">#REF!</definedName>
    <definedName name="_Regression_Out" localSheetId="6" hidden="1">#REF!</definedName>
    <definedName name="_Regression_Out" localSheetId="20" hidden="1">#REF!</definedName>
    <definedName name="_Regression_Out" localSheetId="43" hidden="1">#REF!</definedName>
    <definedName name="_Regression_Out" localSheetId="44" hidden="1">#REF!</definedName>
    <definedName name="_Regression_Out" localSheetId="10" hidden="1">#REF!</definedName>
    <definedName name="_Regression_Out" localSheetId="14" hidden="1">#REF!</definedName>
    <definedName name="_Regression_Out" localSheetId="15" hidden="1">#REF!</definedName>
    <definedName name="_Regression_Out" localSheetId="40" hidden="1">#REF!</definedName>
    <definedName name="_Regression_Out" localSheetId="12" hidden="1">#REF!</definedName>
    <definedName name="_Regression_Out" localSheetId="22" hidden="1">#REF!</definedName>
    <definedName name="_Regression_Out" localSheetId="26" hidden="1">#REF!</definedName>
    <definedName name="_Regression_Out" localSheetId="19" hidden="1">#REF!</definedName>
    <definedName name="_Regression_Out" localSheetId="39" hidden="1">#REF!</definedName>
    <definedName name="_Regression_Out" localSheetId="31" hidden="1">#REF!</definedName>
    <definedName name="_Regression_Out" localSheetId="41" hidden="1">#REF!</definedName>
    <definedName name="_Regression_Out" localSheetId="45" hidden="1">#REF!</definedName>
    <definedName name="_Regression_Out" localSheetId="75" hidden="1">#REF!</definedName>
    <definedName name="_Regression_Out" localSheetId="80" hidden="1">#REF!</definedName>
    <definedName name="_Regression_Out" localSheetId="52" hidden="1">#REF!</definedName>
    <definedName name="_Regression_Out" localSheetId="98" hidden="1">#REF!</definedName>
    <definedName name="_Regression_Out" localSheetId="77" hidden="1">#REF!</definedName>
    <definedName name="_Regression_Out" localSheetId="53" hidden="1">#REF!</definedName>
    <definedName name="_Regression_Out" localSheetId="59" hidden="1">#REF!</definedName>
    <definedName name="_Regression_Out" localSheetId="92" hidden="1">#REF!</definedName>
    <definedName name="_Regression_Out" localSheetId="81" hidden="1">#REF!</definedName>
    <definedName name="_Regression_Out" localSheetId="56" hidden="1">#REF!</definedName>
    <definedName name="_Regression_Out" localSheetId="79" hidden="1">#REF!</definedName>
    <definedName name="_Regression_Out" localSheetId="89" hidden="1">#REF!</definedName>
    <definedName name="_Regression_Out" localSheetId="76" hidden="1">#REF!</definedName>
    <definedName name="_Regression_Out" localSheetId="25" hidden="1">#REF!</definedName>
    <definedName name="_Regression_Out" localSheetId="34" hidden="1">#REF!</definedName>
    <definedName name="_Regression_Out" localSheetId="38" hidden="1">#REF!</definedName>
    <definedName name="_Regression_Out" localSheetId="9" hidden="1">#REF!</definedName>
    <definedName name="_Regression_Out" localSheetId="24" hidden="1">#REF!</definedName>
    <definedName name="_Regression_Out" localSheetId="32" hidden="1">#REF!</definedName>
    <definedName name="_Regression_Out" localSheetId="42" hidden="1">#REF!</definedName>
    <definedName name="_Regression_Out" localSheetId="29" hidden="1">#REF!</definedName>
    <definedName name="_Regression_Out" localSheetId="23" hidden="1">#REF!</definedName>
    <definedName name="_Regression_Out" localSheetId="36" hidden="1">#REF!</definedName>
    <definedName name="_Regression_Out" localSheetId="8" hidden="1">#REF!</definedName>
    <definedName name="_Regression_Out" localSheetId="27" hidden="1">#REF!</definedName>
    <definedName name="_Regression_Out" hidden="1">#REF!</definedName>
    <definedName name="_Regression_X" localSheetId="28" hidden="1">#REF!</definedName>
    <definedName name="_Regression_X" localSheetId="33" hidden="1">#REF!</definedName>
    <definedName name="_Regression_X" localSheetId="47" hidden="1">#REF!</definedName>
    <definedName name="_Regression_X" localSheetId="48" hidden="1">#REF!</definedName>
    <definedName name="_Regression_X" localSheetId="49" hidden="1">#REF!</definedName>
    <definedName name="_Regression_X" localSheetId="5" hidden="1">#REF!</definedName>
    <definedName name="_Regression_X" localSheetId="7" hidden="1">#REF!</definedName>
    <definedName name="_Regression_X" localSheetId="0" hidden="1">#REF!</definedName>
    <definedName name="_Regression_X" localSheetId="35" hidden="1">#REF!</definedName>
    <definedName name="_Regression_X" localSheetId="37" hidden="1">#REF!</definedName>
    <definedName name="_Regression_X" localSheetId="21" hidden="1">#REF!</definedName>
    <definedName name="_Regression_X" localSheetId="16" hidden="1">#REF!</definedName>
    <definedName name="_Regression_X" localSheetId="51" hidden="1">#REF!</definedName>
    <definedName name="_Regression_X" localSheetId="50" hidden="1">#REF!</definedName>
    <definedName name="_Regression_X" localSheetId="18" hidden="1">#REF!</definedName>
    <definedName name="_Regression_X" localSheetId="46" hidden="1">#REF!</definedName>
    <definedName name="_Regression_X" localSheetId="30" hidden="1">#REF!</definedName>
    <definedName name="_Regression_X" localSheetId="6" hidden="1">#REF!</definedName>
    <definedName name="_Regression_X" localSheetId="20" hidden="1">#REF!</definedName>
    <definedName name="_Regression_X" localSheetId="43" hidden="1">#REF!</definedName>
    <definedName name="_Regression_X" localSheetId="44" hidden="1">#REF!</definedName>
    <definedName name="_Regression_X" localSheetId="10" hidden="1">#REF!</definedName>
    <definedName name="_Regression_X" localSheetId="14" hidden="1">#REF!</definedName>
    <definedName name="_Regression_X" localSheetId="15" hidden="1">#REF!</definedName>
    <definedName name="_Regression_X" localSheetId="40" hidden="1">#REF!</definedName>
    <definedName name="_Regression_X" localSheetId="12" hidden="1">#REF!</definedName>
    <definedName name="_Regression_X" localSheetId="22" hidden="1">#REF!</definedName>
    <definedName name="_Regression_X" localSheetId="26" hidden="1">#REF!</definedName>
    <definedName name="_Regression_X" localSheetId="19" hidden="1">#REF!</definedName>
    <definedName name="_Regression_X" localSheetId="39" hidden="1">#REF!</definedName>
    <definedName name="_Regression_X" localSheetId="31" hidden="1">#REF!</definedName>
    <definedName name="_Regression_X" localSheetId="41" hidden="1">#REF!</definedName>
    <definedName name="_Regression_X" localSheetId="45" hidden="1">#REF!</definedName>
    <definedName name="_Regression_X" localSheetId="75" hidden="1">#REF!</definedName>
    <definedName name="_Regression_X" localSheetId="80" hidden="1">#REF!</definedName>
    <definedName name="_Regression_X" localSheetId="52" hidden="1">#REF!</definedName>
    <definedName name="_Regression_X" localSheetId="98" hidden="1">#REF!</definedName>
    <definedName name="_Regression_X" localSheetId="77" hidden="1">#REF!</definedName>
    <definedName name="_Regression_X" localSheetId="53" hidden="1">#REF!</definedName>
    <definedName name="_Regression_X" localSheetId="59" hidden="1">#REF!</definedName>
    <definedName name="_Regression_X" localSheetId="92" hidden="1">#REF!</definedName>
    <definedName name="_Regression_X" localSheetId="81" hidden="1">#REF!</definedName>
    <definedName name="_Regression_X" localSheetId="56" hidden="1">#REF!</definedName>
    <definedName name="_Regression_X" localSheetId="79" hidden="1">#REF!</definedName>
    <definedName name="_Regression_X" localSheetId="89" hidden="1">#REF!</definedName>
    <definedName name="_Regression_X" localSheetId="76" hidden="1">#REF!</definedName>
    <definedName name="_Regression_X" localSheetId="25" hidden="1">#REF!</definedName>
    <definedName name="_Regression_X" localSheetId="34" hidden="1">#REF!</definedName>
    <definedName name="_Regression_X" localSheetId="38" hidden="1">#REF!</definedName>
    <definedName name="_Regression_X" localSheetId="9" hidden="1">#REF!</definedName>
    <definedName name="_Regression_X" localSheetId="24" hidden="1">#REF!</definedName>
    <definedName name="_Regression_X" localSheetId="32" hidden="1">#REF!</definedName>
    <definedName name="_Regression_X" localSheetId="42" hidden="1">#REF!</definedName>
    <definedName name="_Regression_X" localSheetId="29" hidden="1">#REF!</definedName>
    <definedName name="_Regression_X" localSheetId="23" hidden="1">#REF!</definedName>
    <definedName name="_Regression_X" localSheetId="36" hidden="1">#REF!</definedName>
    <definedName name="_Regression_X" localSheetId="8" hidden="1">#REF!</definedName>
    <definedName name="_Regression_X" localSheetId="27" hidden="1">#REF!</definedName>
    <definedName name="_Regression_X" hidden="1">#REF!</definedName>
    <definedName name="_Regression_Y" localSheetId="28" hidden="1">#REF!</definedName>
    <definedName name="_Regression_Y" localSheetId="33" hidden="1">#REF!</definedName>
    <definedName name="_Regression_Y" localSheetId="47" hidden="1">#REF!</definedName>
    <definedName name="_Regression_Y" localSheetId="48" hidden="1">#REF!</definedName>
    <definedName name="_Regression_Y" localSheetId="49" hidden="1">#REF!</definedName>
    <definedName name="_Regression_Y" localSheetId="5" hidden="1">#REF!</definedName>
    <definedName name="_Regression_Y" localSheetId="7" hidden="1">#REF!</definedName>
    <definedName name="_Regression_Y" localSheetId="0" hidden="1">#REF!</definedName>
    <definedName name="_Regression_Y" localSheetId="35" hidden="1">#REF!</definedName>
    <definedName name="_Regression_Y" localSheetId="37" hidden="1">#REF!</definedName>
    <definedName name="_Regression_Y" localSheetId="21" hidden="1">#REF!</definedName>
    <definedName name="_Regression_Y" localSheetId="16" hidden="1">#REF!</definedName>
    <definedName name="_Regression_Y" localSheetId="51" hidden="1">#REF!</definedName>
    <definedName name="_Regression_Y" localSheetId="50" hidden="1">#REF!</definedName>
    <definedName name="_Regression_Y" localSheetId="18" hidden="1">#REF!</definedName>
    <definedName name="_Regression_Y" localSheetId="46" hidden="1">#REF!</definedName>
    <definedName name="_Regression_Y" localSheetId="30" hidden="1">#REF!</definedName>
    <definedName name="_Regression_Y" localSheetId="6" hidden="1">#REF!</definedName>
    <definedName name="_Regression_Y" localSheetId="20" hidden="1">#REF!</definedName>
    <definedName name="_Regression_Y" localSheetId="43" hidden="1">#REF!</definedName>
    <definedName name="_Regression_Y" localSheetId="44" hidden="1">#REF!</definedName>
    <definedName name="_Regression_Y" localSheetId="10" hidden="1">#REF!</definedName>
    <definedName name="_Regression_Y" localSheetId="14" hidden="1">#REF!</definedName>
    <definedName name="_Regression_Y" localSheetId="15" hidden="1">#REF!</definedName>
    <definedName name="_Regression_Y" localSheetId="40" hidden="1">#REF!</definedName>
    <definedName name="_Regression_Y" localSheetId="12" hidden="1">#REF!</definedName>
    <definedName name="_Regression_Y" localSheetId="22" hidden="1">#REF!</definedName>
    <definedName name="_Regression_Y" localSheetId="26" hidden="1">#REF!</definedName>
    <definedName name="_Regression_Y" localSheetId="19" hidden="1">#REF!</definedName>
    <definedName name="_Regression_Y" localSheetId="39" hidden="1">#REF!</definedName>
    <definedName name="_Regression_Y" localSheetId="31" hidden="1">#REF!</definedName>
    <definedName name="_Regression_Y" localSheetId="41" hidden="1">#REF!</definedName>
    <definedName name="_Regression_Y" localSheetId="45" hidden="1">#REF!</definedName>
    <definedName name="_Regression_Y" localSheetId="75" hidden="1">#REF!</definedName>
    <definedName name="_Regression_Y" localSheetId="80" hidden="1">#REF!</definedName>
    <definedName name="_Regression_Y" localSheetId="52" hidden="1">#REF!</definedName>
    <definedName name="_Regression_Y" localSheetId="98" hidden="1">#REF!</definedName>
    <definedName name="_Regression_Y" localSheetId="77" hidden="1">#REF!</definedName>
    <definedName name="_Regression_Y" localSheetId="53" hidden="1">#REF!</definedName>
    <definedName name="_Regression_Y" localSheetId="59" hidden="1">#REF!</definedName>
    <definedName name="_Regression_Y" localSheetId="92" hidden="1">#REF!</definedName>
    <definedName name="_Regression_Y" localSheetId="81" hidden="1">#REF!</definedName>
    <definedName name="_Regression_Y" localSheetId="56" hidden="1">#REF!</definedName>
    <definedName name="_Regression_Y" localSheetId="79" hidden="1">#REF!</definedName>
    <definedName name="_Regression_Y" localSheetId="89" hidden="1">#REF!</definedName>
    <definedName name="_Regression_Y" localSheetId="76" hidden="1">#REF!</definedName>
    <definedName name="_Regression_Y" localSheetId="25" hidden="1">#REF!</definedName>
    <definedName name="_Regression_Y" localSheetId="34" hidden="1">#REF!</definedName>
    <definedName name="_Regression_Y" localSheetId="38" hidden="1">#REF!</definedName>
    <definedName name="_Regression_Y" localSheetId="9" hidden="1">#REF!</definedName>
    <definedName name="_Regression_Y" localSheetId="24" hidden="1">#REF!</definedName>
    <definedName name="_Regression_Y" localSheetId="32" hidden="1">#REF!</definedName>
    <definedName name="_Regression_Y" localSheetId="42" hidden="1">#REF!</definedName>
    <definedName name="_Regression_Y" localSheetId="29" hidden="1">#REF!</definedName>
    <definedName name="_Regression_Y" localSheetId="23" hidden="1">#REF!</definedName>
    <definedName name="_Regression_Y" localSheetId="36" hidden="1">#REF!</definedName>
    <definedName name="_Regression_Y" localSheetId="8" hidden="1">#REF!</definedName>
    <definedName name="_Regression_Y" localSheetId="27" hidden="1">#REF!</definedName>
    <definedName name="_Regression_Y" hidden="1">#REF!</definedName>
    <definedName name="_Sort" localSheetId="28" hidden="1">#REF!</definedName>
    <definedName name="_Sort" localSheetId="33" hidden="1">#REF!</definedName>
    <definedName name="_Sort" localSheetId="47" hidden="1">#REF!</definedName>
    <definedName name="_Sort" localSheetId="48" hidden="1">#REF!</definedName>
    <definedName name="_Sort" localSheetId="49" hidden="1">#REF!</definedName>
    <definedName name="_Sort" localSheetId="5" hidden="1">#REF!</definedName>
    <definedName name="_Sort" localSheetId="7" hidden="1">#REF!</definedName>
    <definedName name="_Sort" localSheetId="0" hidden="1">#REF!</definedName>
    <definedName name="_Sort" localSheetId="35" hidden="1">#REF!</definedName>
    <definedName name="_Sort" localSheetId="37" hidden="1">#REF!</definedName>
    <definedName name="_Sort" localSheetId="21" hidden="1">#REF!</definedName>
    <definedName name="_Sort" localSheetId="16" hidden="1">#REF!</definedName>
    <definedName name="_Sort" localSheetId="51" hidden="1">#REF!</definedName>
    <definedName name="_Sort" localSheetId="50" hidden="1">#REF!</definedName>
    <definedName name="_Sort" localSheetId="18" hidden="1">#REF!</definedName>
    <definedName name="_Sort" localSheetId="46" hidden="1">#REF!</definedName>
    <definedName name="_Sort" localSheetId="30" hidden="1">#REF!</definedName>
    <definedName name="_Sort" localSheetId="6" hidden="1">#REF!</definedName>
    <definedName name="_Sort" localSheetId="20" hidden="1">#REF!</definedName>
    <definedName name="_Sort" localSheetId="43" hidden="1">#REF!</definedName>
    <definedName name="_Sort" localSheetId="44" hidden="1">#REF!</definedName>
    <definedName name="_Sort" localSheetId="10" hidden="1">#REF!</definedName>
    <definedName name="_Sort" localSheetId="14" hidden="1">#REF!</definedName>
    <definedName name="_Sort" localSheetId="15" hidden="1">#REF!</definedName>
    <definedName name="_Sort" localSheetId="40" hidden="1">#REF!</definedName>
    <definedName name="_Sort" localSheetId="12" hidden="1">#REF!</definedName>
    <definedName name="_Sort" localSheetId="22" hidden="1">#REF!</definedName>
    <definedName name="_Sort" localSheetId="26" hidden="1">#REF!</definedName>
    <definedName name="_Sort" localSheetId="19" hidden="1">#REF!</definedName>
    <definedName name="_Sort" localSheetId="39" hidden="1">#REF!</definedName>
    <definedName name="_Sort" localSheetId="31" hidden="1">#REF!</definedName>
    <definedName name="_Sort" localSheetId="41" hidden="1">#REF!</definedName>
    <definedName name="_Sort" localSheetId="45" hidden="1">#REF!</definedName>
    <definedName name="_Sort" localSheetId="75" hidden="1">#REF!</definedName>
    <definedName name="_Sort" localSheetId="80" hidden="1">#REF!</definedName>
    <definedName name="_Sort" localSheetId="52" hidden="1">#REF!</definedName>
    <definedName name="_Sort" localSheetId="98" hidden="1">#REF!</definedName>
    <definedName name="_Sort" localSheetId="77" hidden="1">#REF!</definedName>
    <definedName name="_Sort" localSheetId="53" hidden="1">#REF!</definedName>
    <definedName name="_Sort" localSheetId="59" hidden="1">#REF!</definedName>
    <definedName name="_Sort" localSheetId="92" hidden="1">#REF!</definedName>
    <definedName name="_Sort" localSheetId="81" hidden="1">#REF!</definedName>
    <definedName name="_Sort" localSheetId="56" hidden="1">#REF!</definedName>
    <definedName name="_Sort" localSheetId="79" hidden="1">#REF!</definedName>
    <definedName name="_Sort" localSheetId="89" hidden="1">#REF!</definedName>
    <definedName name="_Sort" localSheetId="76" hidden="1">#REF!</definedName>
    <definedName name="_Sort" localSheetId="25" hidden="1">#REF!</definedName>
    <definedName name="_Sort" localSheetId="34" hidden="1">#REF!</definedName>
    <definedName name="_Sort" localSheetId="38" hidden="1">#REF!</definedName>
    <definedName name="_Sort" localSheetId="9" hidden="1">#REF!</definedName>
    <definedName name="_Sort" localSheetId="24" hidden="1">#REF!</definedName>
    <definedName name="_Sort" localSheetId="32" hidden="1">#REF!</definedName>
    <definedName name="_Sort" localSheetId="42" hidden="1">#REF!</definedName>
    <definedName name="_Sort" localSheetId="29" hidden="1">#REF!</definedName>
    <definedName name="_Sort" localSheetId="23" hidden="1">#REF!</definedName>
    <definedName name="_Sort" localSheetId="36" hidden="1">#REF!</definedName>
    <definedName name="_Sort" localSheetId="8" hidden="1">#REF!</definedName>
    <definedName name="_Sort" localSheetId="27" hidden="1">#REF!</definedName>
    <definedName name="_Sort" hidden="1">#REF!</definedName>
    <definedName name="A" localSheetId="28" hidden="1">#REF!</definedName>
    <definedName name="A" localSheetId="33" hidden="1">#REF!</definedName>
    <definedName name="A" localSheetId="47" hidden="1">#REF!</definedName>
    <definedName name="A" localSheetId="48" hidden="1">#REF!</definedName>
    <definedName name="A" localSheetId="49" hidden="1">#REF!</definedName>
    <definedName name="A" localSheetId="5" hidden="1">#REF!</definedName>
    <definedName name="A" localSheetId="7" hidden="1">#REF!</definedName>
    <definedName name="A" localSheetId="0" hidden="1">#REF!</definedName>
    <definedName name="A" localSheetId="35" hidden="1">#REF!</definedName>
    <definedName name="A" localSheetId="37" hidden="1">#REF!</definedName>
    <definedName name="A" localSheetId="21" hidden="1">#REF!</definedName>
    <definedName name="A" localSheetId="16" hidden="1">#REF!</definedName>
    <definedName name="A" localSheetId="51" hidden="1">#REF!</definedName>
    <definedName name="A" localSheetId="50" hidden="1">#REF!</definedName>
    <definedName name="A" localSheetId="18" hidden="1">#REF!</definedName>
    <definedName name="A" localSheetId="46" hidden="1">#REF!</definedName>
    <definedName name="A" localSheetId="30" hidden="1">#REF!</definedName>
    <definedName name="A" localSheetId="6" hidden="1">#REF!</definedName>
    <definedName name="A" localSheetId="20" hidden="1">#REF!</definedName>
    <definedName name="A" localSheetId="43" hidden="1">#REF!</definedName>
    <definedName name="A" localSheetId="44" hidden="1">#REF!</definedName>
    <definedName name="A" localSheetId="10" hidden="1">#REF!</definedName>
    <definedName name="A" localSheetId="14" hidden="1">#REF!</definedName>
    <definedName name="A" localSheetId="15" hidden="1">#REF!</definedName>
    <definedName name="A" localSheetId="40" hidden="1">#REF!</definedName>
    <definedName name="A" localSheetId="12" hidden="1">#REF!</definedName>
    <definedName name="A" localSheetId="22" hidden="1">#REF!</definedName>
    <definedName name="A" localSheetId="26" hidden="1">#REF!</definedName>
    <definedName name="A" localSheetId="19" hidden="1">#REF!</definedName>
    <definedName name="A" localSheetId="39" hidden="1">#REF!</definedName>
    <definedName name="A" localSheetId="31" hidden="1">#REF!</definedName>
    <definedName name="A" localSheetId="41" hidden="1">#REF!</definedName>
    <definedName name="A" localSheetId="45" hidden="1">#REF!</definedName>
    <definedName name="A" localSheetId="75" hidden="1">#REF!</definedName>
    <definedName name="A" localSheetId="80" hidden="1">#REF!</definedName>
    <definedName name="A" localSheetId="52" hidden="1">#REF!</definedName>
    <definedName name="A" localSheetId="98" hidden="1">#REF!</definedName>
    <definedName name="A" localSheetId="77" hidden="1">#REF!</definedName>
    <definedName name="A" localSheetId="53" hidden="1">#REF!</definedName>
    <definedName name="A" localSheetId="59" hidden="1">#REF!</definedName>
    <definedName name="A" localSheetId="92" hidden="1">#REF!</definedName>
    <definedName name="A" localSheetId="81" hidden="1">#REF!</definedName>
    <definedName name="A" localSheetId="56" hidden="1">#REF!</definedName>
    <definedName name="A" localSheetId="79" hidden="1">#REF!</definedName>
    <definedName name="A" localSheetId="89" hidden="1">#REF!</definedName>
    <definedName name="A" localSheetId="76" hidden="1">#REF!</definedName>
    <definedName name="A" localSheetId="25" hidden="1">#REF!</definedName>
    <definedName name="A" localSheetId="34" hidden="1">#REF!</definedName>
    <definedName name="A" localSheetId="38" hidden="1">#REF!</definedName>
    <definedName name="A" localSheetId="9" hidden="1">#REF!</definedName>
    <definedName name="A" localSheetId="24" hidden="1">#REF!</definedName>
    <definedName name="A" localSheetId="32" hidden="1">#REF!</definedName>
    <definedName name="A" localSheetId="42" hidden="1">#REF!</definedName>
    <definedName name="A" localSheetId="29" hidden="1">#REF!</definedName>
    <definedName name="A" localSheetId="23" hidden="1">#REF!</definedName>
    <definedName name="A" localSheetId="36" hidden="1">#REF!</definedName>
    <definedName name="A" localSheetId="8" hidden="1">#REF!</definedName>
    <definedName name="A" localSheetId="27" hidden="1">#REF!</definedName>
    <definedName name="A" hidden="1">#REF!</definedName>
    <definedName name="d" localSheetId="28" hidden="1">#REF!</definedName>
    <definedName name="d" localSheetId="33" hidden="1">#REF!</definedName>
    <definedName name="d" localSheetId="47" hidden="1">#REF!</definedName>
    <definedName name="d" localSheetId="48" hidden="1">#REF!</definedName>
    <definedName name="d" localSheetId="49" hidden="1">#REF!</definedName>
    <definedName name="d" localSheetId="5" hidden="1">#REF!</definedName>
    <definedName name="d" localSheetId="7" hidden="1">#REF!</definedName>
    <definedName name="d" localSheetId="0" hidden="1">#REF!</definedName>
    <definedName name="d" localSheetId="35" hidden="1">#REF!</definedName>
    <definedName name="d" localSheetId="37" hidden="1">#REF!</definedName>
    <definedName name="d" localSheetId="21" hidden="1">#REF!</definedName>
    <definedName name="d" localSheetId="16" hidden="1">#REF!</definedName>
    <definedName name="d" localSheetId="51" hidden="1">#REF!</definedName>
    <definedName name="d" localSheetId="50" hidden="1">#REF!</definedName>
    <definedName name="d" localSheetId="18" hidden="1">#REF!</definedName>
    <definedName name="d" localSheetId="46" hidden="1">#REF!</definedName>
    <definedName name="d" localSheetId="30" hidden="1">#REF!</definedName>
    <definedName name="d" localSheetId="6" hidden="1">#REF!</definedName>
    <definedName name="d" localSheetId="20" hidden="1">#REF!</definedName>
    <definedName name="d" localSheetId="43" hidden="1">#REF!</definedName>
    <definedName name="d" localSheetId="44" hidden="1">#REF!</definedName>
    <definedName name="d" localSheetId="10" hidden="1">#REF!</definedName>
    <definedName name="d" localSheetId="14" hidden="1">#REF!</definedName>
    <definedName name="d" localSheetId="15" hidden="1">#REF!</definedName>
    <definedName name="d" localSheetId="40" hidden="1">#REF!</definedName>
    <definedName name="d" localSheetId="12" hidden="1">#REF!</definedName>
    <definedName name="d" localSheetId="22" hidden="1">#REF!</definedName>
    <definedName name="d" localSheetId="26" hidden="1">#REF!</definedName>
    <definedName name="d" localSheetId="19" hidden="1">#REF!</definedName>
    <definedName name="d" localSheetId="39" hidden="1">#REF!</definedName>
    <definedName name="d" localSheetId="31" hidden="1">#REF!</definedName>
    <definedName name="d" localSheetId="41" hidden="1">#REF!</definedName>
    <definedName name="d" localSheetId="45" hidden="1">#REF!</definedName>
    <definedName name="d" localSheetId="75" hidden="1">#REF!</definedName>
    <definedName name="d" localSheetId="80" hidden="1">#REF!</definedName>
    <definedName name="d" localSheetId="52" hidden="1">#REF!</definedName>
    <definedName name="d" localSheetId="98" hidden="1">#REF!</definedName>
    <definedName name="d" localSheetId="77" hidden="1">#REF!</definedName>
    <definedName name="d" localSheetId="53" hidden="1">#REF!</definedName>
    <definedName name="d" localSheetId="59" hidden="1">#REF!</definedName>
    <definedName name="d" localSheetId="92" hidden="1">#REF!</definedName>
    <definedName name="d" localSheetId="81" hidden="1">#REF!</definedName>
    <definedName name="d" localSheetId="79" hidden="1">#REF!</definedName>
    <definedName name="d" localSheetId="89" hidden="1">#REF!</definedName>
    <definedName name="d" localSheetId="76" hidden="1">#REF!</definedName>
    <definedName name="d" localSheetId="25" hidden="1">#REF!</definedName>
    <definedName name="d" localSheetId="34" hidden="1">#REF!</definedName>
    <definedName name="d" localSheetId="38" hidden="1">#REF!</definedName>
    <definedName name="d" localSheetId="9" hidden="1">#REF!</definedName>
    <definedName name="d" localSheetId="24" hidden="1">#REF!</definedName>
    <definedName name="d" localSheetId="32" hidden="1">#REF!</definedName>
    <definedName name="d" localSheetId="42" hidden="1">#REF!</definedName>
    <definedName name="d" localSheetId="29" hidden="1">#REF!</definedName>
    <definedName name="d" localSheetId="23" hidden="1">#REF!</definedName>
    <definedName name="d" localSheetId="36" hidden="1">#REF!</definedName>
    <definedName name="d" localSheetId="8" hidden="1">#REF!</definedName>
    <definedName name="d" localSheetId="27" hidden="1">#REF!</definedName>
    <definedName name="d" hidden="1">#REF!</definedName>
    <definedName name="LGBF_1">Lookups!$L$9:$L$17</definedName>
    <definedName name="LGBF_2">Lookups!$M$9:$M$17</definedName>
    <definedName name="LGBF_3">Lookups!$N$9:$N$17</definedName>
    <definedName name="LGBF_4">Lookups!$O$9:$O$17</definedName>
    <definedName name="LGBF_5">'LGBF Family Groups'!$D$2:$D$10</definedName>
    <definedName name="LGBF_6">'LGBF Family Groups'!$E$2:$E$10</definedName>
    <definedName name="LGBF_7">'LGBF Family Groups'!$F$2:$F$10</definedName>
    <definedName name="LGBF_8">'LGBF Family Groups'!$G$2:$G$10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41" l="1"/>
  <c r="D9" i="141"/>
  <c r="C39" i="67"/>
  <c r="B48" i="67"/>
  <c r="P47" i="94" l="1"/>
  <c r="P42" i="94"/>
  <c r="P10" i="94"/>
  <c r="P11" i="94"/>
  <c r="P12" i="94"/>
  <c r="P13" i="94"/>
  <c r="P14" i="94"/>
  <c r="P15" i="94"/>
  <c r="P16" i="94"/>
  <c r="P17" i="94"/>
  <c r="P18" i="94"/>
  <c r="P19" i="94"/>
  <c r="P20" i="94"/>
  <c r="P21" i="94"/>
  <c r="P22" i="94"/>
  <c r="P23" i="94"/>
  <c r="P24" i="94"/>
  <c r="P25" i="94"/>
  <c r="P27" i="94"/>
  <c r="P28" i="94"/>
  <c r="P30" i="94"/>
  <c r="P31" i="94"/>
  <c r="P32" i="94"/>
  <c r="P33" i="94"/>
  <c r="P34" i="94"/>
  <c r="P35" i="94"/>
  <c r="P36" i="94"/>
  <c r="P37" i="94"/>
  <c r="P38" i="94"/>
  <c r="P39" i="94"/>
  <c r="P40" i="94"/>
  <c r="N47" i="94"/>
  <c r="N42" i="94"/>
  <c r="N10" i="94"/>
  <c r="N11" i="94"/>
  <c r="N12" i="94"/>
  <c r="N13" i="94"/>
  <c r="N14" i="94"/>
  <c r="N15" i="94"/>
  <c r="N16" i="94"/>
  <c r="N17" i="94"/>
  <c r="N18" i="94"/>
  <c r="N19" i="94"/>
  <c r="N20" i="94"/>
  <c r="N21" i="94"/>
  <c r="N22" i="94"/>
  <c r="N23" i="94"/>
  <c r="N24" i="94"/>
  <c r="N25" i="94"/>
  <c r="N27" i="94"/>
  <c r="N28" i="94"/>
  <c r="N30" i="94"/>
  <c r="N31" i="94"/>
  <c r="N32" i="94"/>
  <c r="N33" i="94"/>
  <c r="N34" i="94"/>
  <c r="N35" i="94"/>
  <c r="N36" i="94"/>
  <c r="N37" i="94"/>
  <c r="N38" i="94"/>
  <c r="N39" i="94"/>
  <c r="N40" i="94"/>
  <c r="P9" i="94"/>
  <c r="N9" i="94"/>
  <c r="L47" i="94"/>
  <c r="J47" i="94"/>
  <c r="K47" i="94" s="1"/>
  <c r="G46" i="94"/>
  <c r="H46" i="94" s="1"/>
  <c r="F46" i="94"/>
  <c r="C46" i="94"/>
  <c r="B46" i="94"/>
  <c r="D46" i="94" s="1"/>
  <c r="H45" i="94"/>
  <c r="G45" i="94"/>
  <c r="F45" i="94"/>
  <c r="C45" i="94"/>
  <c r="B45" i="94"/>
  <c r="D45" i="94" s="1"/>
  <c r="G44" i="94"/>
  <c r="F44" i="94"/>
  <c r="H44" i="94" s="1"/>
  <c r="C44" i="94"/>
  <c r="B44" i="94"/>
  <c r="D44" i="94" s="1"/>
  <c r="G43" i="94"/>
  <c r="F43" i="94"/>
  <c r="H43" i="94" s="1"/>
  <c r="C43" i="94"/>
  <c r="B43" i="94"/>
  <c r="D43" i="94" s="1"/>
  <c r="L42" i="94"/>
  <c r="K42" i="94" s="1"/>
  <c r="J42" i="94"/>
  <c r="L40" i="94"/>
  <c r="K40" i="94" s="1"/>
  <c r="J40" i="94"/>
  <c r="L39" i="94"/>
  <c r="J39" i="94"/>
  <c r="K39" i="94" s="1"/>
  <c r="L38" i="94"/>
  <c r="J38" i="94"/>
  <c r="K38" i="94" s="1"/>
  <c r="L37" i="94"/>
  <c r="J37" i="94"/>
  <c r="K37" i="94" s="1"/>
  <c r="L36" i="94"/>
  <c r="J36" i="94"/>
  <c r="J46" i="94" s="1"/>
  <c r="L35" i="94"/>
  <c r="K35" i="94"/>
  <c r="J35" i="94"/>
  <c r="L34" i="94"/>
  <c r="K34" i="94"/>
  <c r="J34" i="94"/>
  <c r="L33" i="94"/>
  <c r="J33" i="94"/>
  <c r="K33" i="94" s="1"/>
  <c r="L32" i="94"/>
  <c r="K32" i="94" s="1"/>
  <c r="J32" i="94"/>
  <c r="L31" i="94"/>
  <c r="J31" i="94"/>
  <c r="K31" i="94" s="1"/>
  <c r="L30" i="94"/>
  <c r="J30" i="94"/>
  <c r="K30" i="94" s="1"/>
  <c r="L29" i="94"/>
  <c r="J29" i="94"/>
  <c r="K29" i="94" s="1"/>
  <c r="L28" i="94"/>
  <c r="J28" i="94"/>
  <c r="K28" i="94" s="1"/>
  <c r="L27" i="94"/>
  <c r="K27" i="94"/>
  <c r="J27" i="94"/>
  <c r="L26" i="94"/>
  <c r="K26" i="94"/>
  <c r="J26" i="94"/>
  <c r="L25" i="94"/>
  <c r="J25" i="94"/>
  <c r="K25" i="94" s="1"/>
  <c r="L24" i="94"/>
  <c r="K24" i="94" s="1"/>
  <c r="K43" i="94" s="1"/>
  <c r="J24" i="94"/>
  <c r="J43" i="94" s="1"/>
  <c r="L43" i="94" s="1"/>
  <c r="L23" i="94"/>
  <c r="J23" i="94"/>
  <c r="K23" i="94" s="1"/>
  <c r="L22" i="94"/>
  <c r="J22" i="94"/>
  <c r="K22" i="94" s="1"/>
  <c r="L21" i="94"/>
  <c r="J21" i="94"/>
  <c r="K21" i="94" s="1"/>
  <c r="L20" i="94"/>
  <c r="J20" i="94"/>
  <c r="K20" i="94" s="1"/>
  <c r="L19" i="94"/>
  <c r="K19" i="94"/>
  <c r="J19" i="94"/>
  <c r="L18" i="94"/>
  <c r="K18" i="94"/>
  <c r="J18" i="94"/>
  <c r="L17" i="94"/>
  <c r="J17" i="94"/>
  <c r="K17" i="94" s="1"/>
  <c r="L16" i="94"/>
  <c r="K16" i="94" s="1"/>
  <c r="J16" i="94"/>
  <c r="L15" i="94"/>
  <c r="J15" i="94"/>
  <c r="K15" i="94" s="1"/>
  <c r="L14" i="94"/>
  <c r="J14" i="94"/>
  <c r="K14" i="94" s="1"/>
  <c r="L13" i="94"/>
  <c r="J13" i="94"/>
  <c r="K13" i="94" s="1"/>
  <c r="L12" i="94"/>
  <c r="J12" i="94"/>
  <c r="K12" i="94" s="1"/>
  <c r="L11" i="94"/>
  <c r="K11" i="94"/>
  <c r="K45" i="94" s="1"/>
  <c r="J11" i="94"/>
  <c r="L10" i="94"/>
  <c r="K10" i="94"/>
  <c r="J10" i="94"/>
  <c r="L9" i="94"/>
  <c r="J9" i="94"/>
  <c r="K9" i="94" s="1"/>
  <c r="P48" i="82"/>
  <c r="P48" i="82" a="1"/>
  <c r="N48" i="82" a="1"/>
  <c r="N48" i="82" s="1"/>
  <c r="O48" i="82" s="1"/>
  <c r="L48" i="82" a="1"/>
  <c r="L48" i="82" s="1"/>
  <c r="J48" i="82"/>
  <c r="K48" i="82" s="1"/>
  <c r="J48" i="82" a="1"/>
  <c r="H48" i="82" a="1"/>
  <c r="H48" i="82" s="1"/>
  <c r="F48" i="82" a="1"/>
  <c r="F48" i="82" s="1"/>
  <c r="G48" i="82" s="1"/>
  <c r="D48" i="82" a="1"/>
  <c r="D48" i="82" s="1"/>
  <c r="B48" i="82" a="1"/>
  <c r="B48" i="82" s="1"/>
  <c r="P43" i="82" a="1"/>
  <c r="P43" i="82" s="1"/>
  <c r="N43" i="82" a="1"/>
  <c r="N43" i="82" s="1"/>
  <c r="O43" i="82" s="1"/>
  <c r="L43" i="82" a="1"/>
  <c r="L43" i="82" s="1"/>
  <c r="J43" i="82" a="1"/>
  <c r="J43" i="82" s="1"/>
  <c r="K43" i="82" s="1"/>
  <c r="H43" i="82" a="1"/>
  <c r="H43" i="82" s="1"/>
  <c r="F43" i="82" a="1"/>
  <c r="F43" i="82" s="1"/>
  <c r="G43" i="82" s="1"/>
  <c r="D43" i="82"/>
  <c r="D43" i="82" a="1"/>
  <c r="B43" i="82" a="1"/>
  <c r="B43" i="82" s="1"/>
  <c r="C43" i="82" s="1"/>
  <c r="P42" i="82" a="1"/>
  <c r="P42" i="82" s="1"/>
  <c r="N42" i="82" a="1"/>
  <c r="N42" i="82" s="1"/>
  <c r="O42" i="82" s="1"/>
  <c r="L42" i="82" a="1"/>
  <c r="L42" i="82" s="1"/>
  <c r="J42" i="82" a="1"/>
  <c r="J42" i="82" s="1"/>
  <c r="K42" i="82" s="1"/>
  <c r="H42" i="82" a="1"/>
  <c r="H42" i="82" s="1"/>
  <c r="F42" i="82" a="1"/>
  <c r="F42" i="82" s="1"/>
  <c r="G42" i="82" s="1"/>
  <c r="D42" i="82"/>
  <c r="D42" i="82" a="1"/>
  <c r="B42" i="82" a="1"/>
  <c r="B42" i="82" s="1"/>
  <c r="C42" i="82" s="1"/>
  <c r="P40" i="82"/>
  <c r="P40" i="82" a="1"/>
  <c r="O40" i="82"/>
  <c r="N40" i="82"/>
  <c r="N40" i="82" a="1"/>
  <c r="P39" i="82"/>
  <c r="P39" i="82" a="1"/>
  <c r="O39" i="82"/>
  <c r="N39" i="82"/>
  <c r="N39" i="82" a="1"/>
  <c r="P38" i="82"/>
  <c r="P38" i="82" a="1"/>
  <c r="O38" i="82"/>
  <c r="N38" i="82"/>
  <c r="N38" i="82" a="1"/>
  <c r="P37" i="82"/>
  <c r="P37" i="82" a="1"/>
  <c r="O37" i="82"/>
  <c r="N37" i="82"/>
  <c r="N37" i="82" a="1"/>
  <c r="P36" i="82"/>
  <c r="P36" i="82" a="1"/>
  <c r="O36" i="82"/>
  <c r="N36" i="82"/>
  <c r="N36" i="82" a="1"/>
  <c r="P35" i="82"/>
  <c r="P35" i="82" a="1"/>
  <c r="O35" i="82"/>
  <c r="N35" i="82"/>
  <c r="N35" i="82" a="1"/>
  <c r="P34" i="82"/>
  <c r="P34" i="82" a="1"/>
  <c r="O34" i="82"/>
  <c r="N34" i="82"/>
  <c r="N34" i="82" a="1"/>
  <c r="P33" i="82"/>
  <c r="P33" i="82" a="1"/>
  <c r="O33" i="82"/>
  <c r="N33" i="82"/>
  <c r="N33" i="82" a="1"/>
  <c r="P32" i="82"/>
  <c r="P32" i="82" a="1"/>
  <c r="O32" i="82"/>
  <c r="N32" i="82"/>
  <c r="N32" i="82" a="1"/>
  <c r="P31" i="82"/>
  <c r="P31" i="82" a="1"/>
  <c r="O31" i="82"/>
  <c r="N31" i="82"/>
  <c r="N31" i="82" a="1"/>
  <c r="P30" i="82"/>
  <c r="P30" i="82" a="1"/>
  <c r="O30" i="82"/>
  <c r="N30" i="82"/>
  <c r="N30" i="82" a="1"/>
  <c r="P29" i="82"/>
  <c r="P29" i="82" a="1"/>
  <c r="O29" i="82"/>
  <c r="N29" i="82"/>
  <c r="N29" i="82" a="1"/>
  <c r="P28" i="82"/>
  <c r="P28" i="82" a="1"/>
  <c r="O28" i="82"/>
  <c r="N28" i="82"/>
  <c r="N28" i="82" a="1"/>
  <c r="P27" i="82"/>
  <c r="P27" i="82" a="1"/>
  <c r="O27" i="82"/>
  <c r="N27" i="82"/>
  <c r="N27" i="82" a="1"/>
  <c r="P26" i="82"/>
  <c r="P26" i="82" a="1"/>
  <c r="O26" i="82"/>
  <c r="N26" i="82"/>
  <c r="N26" i="82" a="1"/>
  <c r="P25" i="82"/>
  <c r="P25" i="82" a="1"/>
  <c r="O25" i="82"/>
  <c r="N25" i="82"/>
  <c r="N25" i="82" a="1"/>
  <c r="P24" i="82"/>
  <c r="P24" i="82" a="1"/>
  <c r="O24" i="82"/>
  <c r="N24" i="82"/>
  <c r="N24" i="82" a="1"/>
  <c r="P23" i="82"/>
  <c r="P23" i="82" a="1"/>
  <c r="O23" i="82"/>
  <c r="N23" i="82"/>
  <c r="N23" i="82" a="1"/>
  <c r="P22" i="82"/>
  <c r="P22" i="82" a="1"/>
  <c r="O22" i="82"/>
  <c r="N22" i="82"/>
  <c r="N22" i="82" a="1"/>
  <c r="P21" i="82"/>
  <c r="P21" i="82" a="1"/>
  <c r="O21" i="82"/>
  <c r="N21" i="82"/>
  <c r="N21" i="82" a="1"/>
  <c r="P20" i="82"/>
  <c r="P20" i="82" a="1"/>
  <c r="O20" i="82"/>
  <c r="N20" i="82"/>
  <c r="N20" i="82" a="1"/>
  <c r="P19" i="82"/>
  <c r="P19" i="82" a="1"/>
  <c r="O19" i="82"/>
  <c r="N19" i="82"/>
  <c r="N19" i="82" a="1"/>
  <c r="P18" i="82"/>
  <c r="P18" i="82" a="1"/>
  <c r="O18" i="82"/>
  <c r="N18" i="82"/>
  <c r="N18" i="82" a="1"/>
  <c r="P17" i="82"/>
  <c r="P17" i="82" a="1"/>
  <c r="O17" i="82"/>
  <c r="N17" i="82"/>
  <c r="N17" i="82" a="1"/>
  <c r="P16" i="82"/>
  <c r="P16" i="82" a="1"/>
  <c r="O16" i="82"/>
  <c r="N16" i="82"/>
  <c r="N16" i="82" a="1"/>
  <c r="P15" i="82"/>
  <c r="P15" i="82" a="1"/>
  <c r="O15" i="82"/>
  <c r="N15" i="82"/>
  <c r="N15" i="82" a="1"/>
  <c r="P14" i="82"/>
  <c r="P14" i="82" a="1"/>
  <c r="O14" i="82"/>
  <c r="N14" i="82"/>
  <c r="N14" i="82" a="1"/>
  <c r="P13" i="82"/>
  <c r="P13" i="82" a="1"/>
  <c r="O13" i="82"/>
  <c r="N13" i="82"/>
  <c r="N13" i="82" a="1"/>
  <c r="P12" i="82"/>
  <c r="P12" i="82" a="1"/>
  <c r="O12" i="82"/>
  <c r="N12" i="82"/>
  <c r="N12" i="82" a="1"/>
  <c r="P11" i="82"/>
  <c r="P11" i="82" a="1"/>
  <c r="O11" i="82"/>
  <c r="N11" i="82"/>
  <c r="N11" i="82" a="1"/>
  <c r="P10" i="82"/>
  <c r="P10" i="82" a="1"/>
  <c r="O10" i="82"/>
  <c r="N10" i="82"/>
  <c r="N10" i="82" a="1"/>
  <c r="P9" i="82"/>
  <c r="P9" i="82" a="1"/>
  <c r="O9" i="82"/>
  <c r="N9" i="82"/>
  <c r="N9" i="82" a="1"/>
  <c r="L40" i="82" a="1"/>
  <c r="L40" i="82" s="1"/>
  <c r="J40" i="82" a="1"/>
  <c r="J40" i="82" s="1"/>
  <c r="L39" i="82" a="1"/>
  <c r="L39" i="82" s="1"/>
  <c r="J39" i="82" a="1"/>
  <c r="J39" i="82" s="1"/>
  <c r="L38" i="82" a="1"/>
  <c r="L38" i="82" s="1"/>
  <c r="J38" i="82" a="1"/>
  <c r="J38" i="82" s="1"/>
  <c r="K38" i="82" s="1"/>
  <c r="L37" i="82"/>
  <c r="L37" i="82" a="1"/>
  <c r="J37" i="82" a="1"/>
  <c r="J37" i="82" s="1"/>
  <c r="K37" i="82" s="1"/>
  <c r="L36" i="82"/>
  <c r="L36" i="82" a="1"/>
  <c r="J36" i="82"/>
  <c r="K36" i="82" s="1"/>
  <c r="J36" i="82" a="1"/>
  <c r="L35" i="82"/>
  <c r="L35" i="82" a="1"/>
  <c r="J35" i="82" a="1"/>
  <c r="J35" i="82" s="1"/>
  <c r="K35" i="82" s="1"/>
  <c r="L34" i="82" a="1"/>
  <c r="L34" i="82" s="1"/>
  <c r="J34" i="82"/>
  <c r="J34" i="82" a="1"/>
  <c r="L33" i="82" a="1"/>
  <c r="L33" i="82" s="1"/>
  <c r="J33" i="82" a="1"/>
  <c r="J33" i="82" s="1"/>
  <c r="L32" i="82" a="1"/>
  <c r="L32" i="82" s="1"/>
  <c r="J32" i="82" a="1"/>
  <c r="J32" i="82" s="1"/>
  <c r="K32" i="82" s="1"/>
  <c r="L31" i="82" a="1"/>
  <c r="L31" i="82" s="1"/>
  <c r="J31" i="82" a="1"/>
  <c r="J31" i="82" s="1"/>
  <c r="L30" i="82" a="1"/>
  <c r="L30" i="82" s="1"/>
  <c r="J30" i="82" a="1"/>
  <c r="J30" i="82" s="1"/>
  <c r="L29" i="82"/>
  <c r="L29" i="82" a="1"/>
  <c r="J29" i="82" a="1"/>
  <c r="J29" i="82" s="1"/>
  <c r="K29" i="82" s="1"/>
  <c r="L28" i="82"/>
  <c r="L28" i="82" a="1"/>
  <c r="J28" i="82"/>
  <c r="K28" i="82" s="1"/>
  <c r="J28" i="82" a="1"/>
  <c r="L27" i="82"/>
  <c r="L27" i="82" a="1"/>
  <c r="J27" i="82" a="1"/>
  <c r="J27" i="82" s="1"/>
  <c r="K27" i="82" s="1"/>
  <c r="L26" i="82" a="1"/>
  <c r="L26" i="82" s="1"/>
  <c r="J26" i="82"/>
  <c r="K26" i="82" s="1"/>
  <c r="J26" i="82" a="1"/>
  <c r="L25" i="82"/>
  <c r="L25" i="82" a="1"/>
  <c r="J25" i="82" a="1"/>
  <c r="J25" i="82" s="1"/>
  <c r="K25" i="82" s="1"/>
  <c r="L24" i="82" a="1"/>
  <c r="L24" i="82" s="1"/>
  <c r="J24" i="82" a="1"/>
  <c r="J24" i="82" s="1"/>
  <c r="L23" i="82" a="1"/>
  <c r="L23" i="82" s="1"/>
  <c r="J23" i="82" a="1"/>
  <c r="J23" i="82" s="1"/>
  <c r="K23" i="82" s="1"/>
  <c r="L22" i="82" a="1"/>
  <c r="L22" i="82" s="1"/>
  <c r="J22" i="82" a="1"/>
  <c r="J22" i="82" s="1"/>
  <c r="L21" i="82"/>
  <c r="L21" i="82" a="1"/>
  <c r="J21" i="82" a="1"/>
  <c r="J21" i="82" s="1"/>
  <c r="K21" i="82" s="1"/>
  <c r="L20" i="82"/>
  <c r="L20" i="82" a="1"/>
  <c r="J20" i="82"/>
  <c r="K20" i="82" s="1"/>
  <c r="J20" i="82" a="1"/>
  <c r="L19" i="82"/>
  <c r="L19" i="82" a="1"/>
  <c r="J19" i="82" a="1"/>
  <c r="J19" i="82" s="1"/>
  <c r="K19" i="82" s="1"/>
  <c r="L18" i="82" a="1"/>
  <c r="L18" i="82" s="1"/>
  <c r="J18" i="82"/>
  <c r="J18" i="82" a="1"/>
  <c r="L17" i="82"/>
  <c r="L17" i="82" a="1"/>
  <c r="J17" i="82" a="1"/>
  <c r="J17" i="82" s="1"/>
  <c r="K17" i="82" s="1"/>
  <c r="L16" i="82" a="1"/>
  <c r="L16" i="82" s="1"/>
  <c r="J16" i="82" a="1"/>
  <c r="J16" i="82" s="1"/>
  <c r="K16" i="82" s="1"/>
  <c r="L15" i="82" a="1"/>
  <c r="L15" i="82" s="1"/>
  <c r="J15" i="82" a="1"/>
  <c r="J15" i="82" s="1"/>
  <c r="L14" i="82" a="1"/>
  <c r="L14" i="82" s="1"/>
  <c r="J14" i="82" a="1"/>
  <c r="J14" i="82" s="1"/>
  <c r="K14" i="82" s="1"/>
  <c r="L13" i="82"/>
  <c r="L13" i="82" a="1"/>
  <c r="J13" i="82" a="1"/>
  <c r="J13" i="82" s="1"/>
  <c r="K13" i="82" s="1"/>
  <c r="L12" i="82"/>
  <c r="L12" i="82" a="1"/>
  <c r="J12" i="82"/>
  <c r="K12" i="82" s="1"/>
  <c r="J12" i="82" a="1"/>
  <c r="L11" i="82"/>
  <c r="L11" i="82" a="1"/>
  <c r="J11" i="82" a="1"/>
  <c r="J11" i="82" s="1"/>
  <c r="K11" i="82" s="1"/>
  <c r="L10" i="82" a="1"/>
  <c r="L10" i="82" s="1"/>
  <c r="J10" i="82"/>
  <c r="K10" i="82" s="1"/>
  <c r="J10" i="82" a="1"/>
  <c r="L9" i="82"/>
  <c r="L9" i="82" a="1"/>
  <c r="J9" i="82" a="1"/>
  <c r="J9" i="82" s="1"/>
  <c r="K9" i="82" s="1"/>
  <c r="H40" i="82" a="1"/>
  <c r="H40" i="82" s="1"/>
  <c r="F40" i="82" a="1"/>
  <c r="F40" i="82" s="1"/>
  <c r="H39" i="82" a="1"/>
  <c r="H39" i="82" s="1"/>
  <c r="F39" i="82" a="1"/>
  <c r="F39" i="82" s="1"/>
  <c r="G39" i="82" s="1"/>
  <c r="H38" i="82" a="1"/>
  <c r="H38" i="82" s="1"/>
  <c r="F38" i="82" a="1"/>
  <c r="F38" i="82" s="1"/>
  <c r="G38" i="82" s="1"/>
  <c r="H37" i="82"/>
  <c r="H37" i="82" a="1"/>
  <c r="F37" i="82" a="1"/>
  <c r="F37" i="82" s="1"/>
  <c r="G37" i="82" s="1"/>
  <c r="H36" i="82"/>
  <c r="H36" i="82" a="1"/>
  <c r="F36" i="82"/>
  <c r="G36" i="82" s="1"/>
  <c r="F36" i="82" a="1"/>
  <c r="H35" i="82"/>
  <c r="H35" i="82" a="1"/>
  <c r="F35" i="82" a="1"/>
  <c r="F35" i="82" s="1"/>
  <c r="G35" i="82" s="1"/>
  <c r="H34" i="82" a="1"/>
  <c r="H34" i="82" s="1"/>
  <c r="F34" i="82"/>
  <c r="F34" i="82" a="1"/>
  <c r="H33" i="82"/>
  <c r="H33" i="82" a="1"/>
  <c r="F33" i="82" a="1"/>
  <c r="F33" i="82" s="1"/>
  <c r="G33" i="82" s="1"/>
  <c r="H32" i="82" a="1"/>
  <c r="H32" i="82" s="1"/>
  <c r="F32" i="82" a="1"/>
  <c r="F32" i="82" s="1"/>
  <c r="G32" i="82" s="1"/>
  <c r="H31" i="82" a="1"/>
  <c r="H31" i="82" s="1"/>
  <c r="F31" i="82" a="1"/>
  <c r="F31" i="82" s="1"/>
  <c r="H30" i="82" a="1"/>
  <c r="H30" i="82" s="1"/>
  <c r="F30" i="82" a="1"/>
  <c r="F30" i="82" s="1"/>
  <c r="G30" i="82" s="1"/>
  <c r="H29" i="82"/>
  <c r="H29" i="82" a="1"/>
  <c r="F29" i="82" a="1"/>
  <c r="F29" i="82" s="1"/>
  <c r="G29" i="82" s="1"/>
  <c r="H28" i="82" a="1"/>
  <c r="H28" i="82" s="1"/>
  <c r="F28" i="82"/>
  <c r="F28" i="82" a="1"/>
  <c r="H27" i="82"/>
  <c r="H27" i="82" a="1"/>
  <c r="F27" i="82" a="1"/>
  <c r="F27" i="82" s="1"/>
  <c r="G27" i="82" s="1"/>
  <c r="H26" i="82" a="1"/>
  <c r="H26" i="82" s="1"/>
  <c r="F26" i="82" a="1"/>
  <c r="F26" i="82" s="1"/>
  <c r="G26" i="82" s="1"/>
  <c r="H25" i="82"/>
  <c r="H25" i="82" a="1"/>
  <c r="F25" i="82" a="1"/>
  <c r="F25" i="82" s="1"/>
  <c r="G25" i="82" s="1"/>
  <c r="H24" i="82" a="1"/>
  <c r="H24" i="82" s="1"/>
  <c r="F24" i="82" a="1"/>
  <c r="F24" i="82" s="1"/>
  <c r="G24" i="82" s="1"/>
  <c r="H23" i="82" a="1"/>
  <c r="H23" i="82" s="1"/>
  <c r="F23" i="82" a="1"/>
  <c r="F23" i="82" s="1"/>
  <c r="G23" i="82" s="1"/>
  <c r="H22" i="82" a="1"/>
  <c r="H22" i="82" s="1"/>
  <c r="F22" i="82" a="1"/>
  <c r="F22" i="82" s="1"/>
  <c r="G22" i="82" s="1"/>
  <c r="H21" i="82"/>
  <c r="H21" i="82" a="1"/>
  <c r="F21" i="82" a="1"/>
  <c r="F21" i="82" s="1"/>
  <c r="G21" i="82" s="1"/>
  <c r="H20" i="82" a="1"/>
  <c r="H20" i="82" s="1"/>
  <c r="F20" i="82"/>
  <c r="F20" i="82" a="1"/>
  <c r="H19" i="82"/>
  <c r="H19" i="82" a="1"/>
  <c r="F19" i="82" a="1"/>
  <c r="F19" i="82" s="1"/>
  <c r="G19" i="82" s="1"/>
  <c r="H18" i="82" a="1"/>
  <c r="H18" i="82" s="1"/>
  <c r="F18" i="82" a="1"/>
  <c r="F18" i="82" s="1"/>
  <c r="H17" i="82"/>
  <c r="H17" i="82" a="1"/>
  <c r="F17" i="82" a="1"/>
  <c r="F17" i="82" s="1"/>
  <c r="G17" i="82" s="1"/>
  <c r="H16" i="82" a="1"/>
  <c r="H16" i="82" s="1"/>
  <c r="F16" i="82" a="1"/>
  <c r="F16" i="82" s="1"/>
  <c r="G16" i="82" s="1"/>
  <c r="H15" i="82" a="1"/>
  <c r="H15" i="82" s="1"/>
  <c r="F15" i="82" a="1"/>
  <c r="F15" i="82" s="1"/>
  <c r="H14" i="82" a="1"/>
  <c r="H14" i="82" s="1"/>
  <c r="F14" i="82" a="1"/>
  <c r="F14" i="82" s="1"/>
  <c r="G14" i="82" s="1"/>
  <c r="H13" i="82"/>
  <c r="H13" i="82" a="1"/>
  <c r="F13" i="82" a="1"/>
  <c r="F13" i="82" s="1"/>
  <c r="G13" i="82" s="1"/>
  <c r="H12" i="82" a="1"/>
  <c r="H12" i="82" s="1"/>
  <c r="F12" i="82"/>
  <c r="F12" i="82" a="1"/>
  <c r="H11" i="82"/>
  <c r="H11" i="82" a="1"/>
  <c r="F11" i="82" a="1"/>
  <c r="F11" i="82" s="1"/>
  <c r="G11" i="82" s="1"/>
  <c r="H10" i="82" a="1"/>
  <c r="H10" i="82" s="1"/>
  <c r="F10" i="82" a="1"/>
  <c r="F10" i="82" s="1"/>
  <c r="G10" i="82" s="1"/>
  <c r="H9" i="82"/>
  <c r="H9" i="82" a="1"/>
  <c r="F9" i="82" a="1"/>
  <c r="F9" i="82" s="1"/>
  <c r="G9" i="82" s="1"/>
  <c r="D10" i="82" a="1"/>
  <c r="D10" i="82" s="1"/>
  <c r="C10" i="82" s="1"/>
  <c r="D11" i="82" a="1"/>
  <c r="D11" i="82" s="1"/>
  <c r="C11" i="82" s="1"/>
  <c r="D12" i="82" a="1"/>
  <c r="D12" i="82" s="1"/>
  <c r="C12" i="82" s="1"/>
  <c r="D13" i="82" a="1"/>
  <c r="D13" i="82" s="1"/>
  <c r="C13" i="82" s="1"/>
  <c r="D14" i="82" a="1"/>
  <c r="D14" i="82" s="1"/>
  <c r="C14" i="82" s="1"/>
  <c r="D15" i="82" a="1"/>
  <c r="D15" i="82"/>
  <c r="C15" i="82" s="1"/>
  <c r="D16" i="82" a="1"/>
  <c r="D16" i="82"/>
  <c r="C16" i="82" s="1"/>
  <c r="D17" i="82" a="1"/>
  <c r="D17" i="82"/>
  <c r="C17" i="82" s="1"/>
  <c r="D18" i="82" a="1"/>
  <c r="D18" i="82" s="1"/>
  <c r="C18" i="82" s="1"/>
  <c r="D19" i="82" a="1"/>
  <c r="D19" i="82" s="1"/>
  <c r="C19" i="82" s="1"/>
  <c r="D20" i="82" a="1"/>
  <c r="D20" i="82" s="1"/>
  <c r="C20" i="82" s="1"/>
  <c r="D21" i="82" a="1"/>
  <c r="D21" i="82" s="1"/>
  <c r="C21" i="82" s="1"/>
  <c r="D22" i="82" a="1"/>
  <c r="D22" i="82" s="1"/>
  <c r="C22" i="82" s="1"/>
  <c r="D23" i="82" a="1"/>
  <c r="D23" i="82"/>
  <c r="C23" i="82" s="1"/>
  <c r="D24" i="82" a="1"/>
  <c r="D24" i="82"/>
  <c r="C24" i="82" s="1"/>
  <c r="D25" i="82" a="1"/>
  <c r="D25" i="82"/>
  <c r="C25" i="82" s="1"/>
  <c r="D26" i="82" a="1"/>
  <c r="D26" i="82" s="1"/>
  <c r="C26" i="82" s="1"/>
  <c r="D27" i="82" a="1"/>
  <c r="D27" i="82" s="1"/>
  <c r="C27" i="82" s="1"/>
  <c r="D28" i="82" a="1"/>
  <c r="D28" i="82" s="1"/>
  <c r="C28" i="82" s="1"/>
  <c r="D29" i="82" a="1"/>
  <c r="D29" i="82" s="1"/>
  <c r="C29" i="82" s="1"/>
  <c r="D30" i="82" a="1"/>
  <c r="D30" i="82" s="1"/>
  <c r="C30" i="82" s="1"/>
  <c r="D31" i="82" a="1"/>
  <c r="D31" i="82"/>
  <c r="C31" i="82" s="1"/>
  <c r="D32" i="82" a="1"/>
  <c r="D32" i="82" s="1"/>
  <c r="C32" i="82" s="1"/>
  <c r="D33" i="82" a="1"/>
  <c r="D33" i="82"/>
  <c r="C33" i="82" s="1"/>
  <c r="D34" i="82" a="1"/>
  <c r="D34" i="82" s="1"/>
  <c r="C34" i="82" s="1"/>
  <c r="D35" i="82" a="1"/>
  <c r="D35" i="82" s="1"/>
  <c r="C35" i="82" s="1"/>
  <c r="D36" i="82" a="1"/>
  <c r="D36" i="82" s="1"/>
  <c r="C36" i="82" s="1"/>
  <c r="D37" i="82" a="1"/>
  <c r="D37" i="82" s="1"/>
  <c r="C37" i="82" s="1"/>
  <c r="D38" i="82" a="1"/>
  <c r="D38" i="82" s="1"/>
  <c r="C38" i="82" s="1"/>
  <c r="D39" i="82" a="1"/>
  <c r="D39" i="82"/>
  <c r="C39" i="82" s="1"/>
  <c r="D40" i="82" a="1"/>
  <c r="D40" i="82"/>
  <c r="C40" i="82" s="1"/>
  <c r="C9" i="82"/>
  <c r="D9" i="82" a="1"/>
  <c r="D9" i="82" s="1"/>
  <c r="B10" i="82" a="1"/>
  <c r="B10" i="82" s="1"/>
  <c r="B11" i="82" a="1"/>
  <c r="B11" i="82" s="1"/>
  <c r="B12" i="82" a="1"/>
  <c r="B12" i="82" s="1"/>
  <c r="B13" i="82" a="1"/>
  <c r="B13" i="82"/>
  <c r="B14" i="82" a="1"/>
  <c r="B14" i="82" s="1"/>
  <c r="B15" i="82" a="1"/>
  <c r="B15" i="82" s="1"/>
  <c r="B16" i="82" a="1"/>
  <c r="B16" i="82" s="1"/>
  <c r="B17" i="82" a="1"/>
  <c r="B17" i="82" s="1"/>
  <c r="B18" i="82" a="1"/>
  <c r="B18" i="82" s="1"/>
  <c r="B19" i="82" a="1"/>
  <c r="B19" i="82" s="1"/>
  <c r="B20" i="82" a="1"/>
  <c r="B20" i="82"/>
  <c r="B21" i="82" a="1"/>
  <c r="B21" i="82" s="1"/>
  <c r="B22" i="82" a="1"/>
  <c r="B22" i="82" s="1"/>
  <c r="B23" i="82" a="1"/>
  <c r="B23" i="82" s="1"/>
  <c r="B24" i="82" a="1"/>
  <c r="B24" i="82"/>
  <c r="B25" i="82" a="1"/>
  <c r="B25" i="82"/>
  <c r="B26" i="82" a="1"/>
  <c r="B26" i="82" s="1"/>
  <c r="B27" i="82" a="1"/>
  <c r="B27" i="82" s="1"/>
  <c r="B28" i="82" a="1"/>
  <c r="B28" i="82" s="1"/>
  <c r="B29" i="82" a="1"/>
  <c r="B29" i="82"/>
  <c r="B30" i="82" a="1"/>
  <c r="B30" i="82" s="1"/>
  <c r="B31" i="82" a="1"/>
  <c r="B31" i="82" s="1"/>
  <c r="B32" i="82" a="1"/>
  <c r="B32" i="82" s="1"/>
  <c r="B33" i="82" a="1"/>
  <c r="B33" i="82" s="1"/>
  <c r="B34" i="82" a="1"/>
  <c r="B34" i="82" s="1"/>
  <c r="B35" i="82" a="1"/>
  <c r="B35" i="82" s="1"/>
  <c r="B36" i="82" a="1"/>
  <c r="B36" i="82" s="1"/>
  <c r="B37" i="82" a="1"/>
  <c r="B37" i="82" s="1"/>
  <c r="B38" i="82" a="1"/>
  <c r="B38" i="82" s="1"/>
  <c r="B39" i="82" a="1"/>
  <c r="B39" i="82" s="1"/>
  <c r="B40" i="82" a="1"/>
  <c r="B40" i="82" s="1"/>
  <c r="B9" i="82" a="1"/>
  <c r="B9" i="82" s="1"/>
  <c r="D8" i="82"/>
  <c r="H8" i="82"/>
  <c r="L8" i="82"/>
  <c r="P8" i="82"/>
  <c r="P43" i="10"/>
  <c r="L43" i="10"/>
  <c r="H43" i="10"/>
  <c r="D43" i="10"/>
  <c r="B42" i="10"/>
  <c r="O10" i="10"/>
  <c r="O42" i="10" s="1"/>
  <c r="O11" i="10"/>
  <c r="O12" i="10"/>
  <c r="O14" i="10"/>
  <c r="O15" i="10"/>
  <c r="O16" i="10"/>
  <c r="O17" i="10"/>
  <c r="O18" i="10"/>
  <c r="O19" i="10"/>
  <c r="O20" i="10"/>
  <c r="O22" i="10"/>
  <c r="O23" i="10"/>
  <c r="O24" i="10"/>
  <c r="O25" i="10"/>
  <c r="O26" i="10"/>
  <c r="O27" i="10"/>
  <c r="O28" i="10"/>
  <c r="O30" i="10"/>
  <c r="O31" i="10"/>
  <c r="O32" i="10"/>
  <c r="O33" i="10"/>
  <c r="O34" i="10"/>
  <c r="O35" i="10"/>
  <c r="O36" i="10"/>
  <c r="O37" i="10"/>
  <c r="O38" i="10"/>
  <c r="O39" i="10"/>
  <c r="O40" i="10"/>
  <c r="O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9" i="10"/>
  <c r="G10" i="10"/>
  <c r="G11" i="10"/>
  <c r="G12" i="10"/>
  <c r="G13" i="10"/>
  <c r="G15" i="10"/>
  <c r="G16" i="10"/>
  <c r="G17" i="10"/>
  <c r="G18" i="10"/>
  <c r="G19" i="10"/>
  <c r="G20" i="10"/>
  <c r="G21" i="10"/>
  <c r="G23" i="10"/>
  <c r="G24" i="10"/>
  <c r="G25" i="10"/>
  <c r="G26" i="10"/>
  <c r="G27" i="10"/>
  <c r="G28" i="10"/>
  <c r="G29" i="10"/>
  <c r="G31" i="10"/>
  <c r="G32" i="10"/>
  <c r="G33" i="10"/>
  <c r="G34" i="10"/>
  <c r="G35" i="10"/>
  <c r="G36" i="10"/>
  <c r="G37" i="10"/>
  <c r="G38" i="10"/>
  <c r="G39" i="10"/>
  <c r="G40" i="10"/>
  <c r="G9" i="10"/>
  <c r="O29" i="10"/>
  <c r="O21" i="10"/>
  <c r="O13" i="10"/>
  <c r="G30" i="10"/>
  <c r="G22" i="10"/>
  <c r="G14"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9" i="10"/>
  <c r="B42" i="105"/>
  <c r="F42" i="105"/>
  <c r="J42" i="105"/>
  <c r="N42" i="105"/>
  <c r="B95" i="105"/>
  <c r="C95" i="105"/>
  <c r="D95" i="105"/>
  <c r="C45" i="84" l="1"/>
  <c r="C48" i="84"/>
  <c r="C46" i="84"/>
  <c r="C44" i="84"/>
  <c r="C47" i="84"/>
  <c r="K41" i="94" a="1"/>
  <c r="K41" i="94" s="1"/>
  <c r="K44" i="94"/>
  <c r="J41" i="94" a="1"/>
  <c r="J41" i="94" s="1"/>
  <c r="K36" i="94"/>
  <c r="K46" i="94" s="1"/>
  <c r="L46" i="94" s="1"/>
  <c r="J44" i="94"/>
  <c r="L44" i="94" s="1"/>
  <c r="J45" i="94"/>
  <c r="L45" i="94" s="1"/>
  <c r="C48" i="82"/>
  <c r="K15" i="82"/>
  <c r="K18" i="82"/>
  <c r="K24" i="82"/>
  <c r="K33" i="82"/>
  <c r="K39" i="82"/>
  <c r="K30" i="82"/>
  <c r="K34" i="82"/>
  <c r="K40" i="82"/>
  <c r="K22" i="82"/>
  <c r="K31" i="82"/>
  <c r="G20" i="82"/>
  <c r="G18" i="82"/>
  <c r="G15" i="82"/>
  <c r="G31" i="82"/>
  <c r="G34" i="82"/>
  <c r="G40" i="82"/>
  <c r="G12" i="82"/>
  <c r="G28" i="82"/>
  <c r="K42" i="10"/>
  <c r="G42" i="10"/>
  <c r="H42" i="10" s="1"/>
  <c r="C42" i="10"/>
  <c r="D42" i="10" s="1"/>
  <c r="N42" i="10"/>
  <c r="P42" i="10" s="1"/>
  <c r="J42" i="10"/>
  <c r="F42" i="10"/>
  <c r="E95" i="105"/>
  <c r="P6" i="105"/>
  <c r="L6" i="105"/>
  <c r="H6" i="105"/>
  <c r="D6" i="105"/>
  <c r="C34" i="65"/>
  <c r="D34" i="65"/>
  <c r="E34" i="65"/>
  <c r="F34" i="65"/>
  <c r="L41" i="94" l="1"/>
  <c r="L42" i="10"/>
  <c r="C16" i="105"/>
  <c r="C24" i="105"/>
  <c r="C32" i="105"/>
  <c r="C40" i="105"/>
  <c r="C17" i="105"/>
  <c r="C25" i="105"/>
  <c r="C33" i="105"/>
  <c r="C41" i="105"/>
  <c r="C9" i="105"/>
  <c r="C44" i="105" s="1" a="1"/>
  <c r="C44" i="105" s="1"/>
  <c r="C10" i="105"/>
  <c r="C18" i="105"/>
  <c r="C26" i="105"/>
  <c r="C34" i="105"/>
  <c r="C43" i="105"/>
  <c r="C20" i="105"/>
  <c r="C36" i="105"/>
  <c r="C14" i="105"/>
  <c r="C30" i="105"/>
  <c r="C15" i="105"/>
  <c r="C39" i="105"/>
  <c r="C11" i="105"/>
  <c r="C19" i="105"/>
  <c r="C27" i="105"/>
  <c r="C35" i="105"/>
  <c r="C12" i="105"/>
  <c r="C28" i="105"/>
  <c r="C23" i="105"/>
  <c r="C13" i="105"/>
  <c r="C21" i="105"/>
  <c r="C29" i="105"/>
  <c r="C37" i="105"/>
  <c r="C42" i="105"/>
  <c r="D42" i="105" s="1"/>
  <c r="C22" i="105"/>
  <c r="C38" i="105"/>
  <c r="C31" i="105"/>
  <c r="G37" i="105"/>
  <c r="G29" i="105"/>
  <c r="G21" i="105"/>
  <c r="G13" i="105"/>
  <c r="G38" i="105"/>
  <c r="G36" i="105"/>
  <c r="G28" i="105"/>
  <c r="G20" i="105"/>
  <c r="G12" i="105"/>
  <c r="G43" i="105"/>
  <c r="G35" i="105"/>
  <c r="G27" i="105"/>
  <c r="G19" i="105"/>
  <c r="G11" i="105"/>
  <c r="G39" i="105"/>
  <c r="G15" i="105"/>
  <c r="G22" i="105"/>
  <c r="G42" i="105"/>
  <c r="H42" i="105" s="1"/>
  <c r="G34" i="105"/>
  <c r="G26" i="105"/>
  <c r="G18" i="105"/>
  <c r="G10" i="105"/>
  <c r="G24" i="105"/>
  <c r="G30" i="105"/>
  <c r="G41" i="105"/>
  <c r="G33" i="105"/>
  <c r="G25" i="105"/>
  <c r="G17" i="105"/>
  <c r="G9" i="105"/>
  <c r="G40" i="105"/>
  <c r="G32" i="105"/>
  <c r="G16" i="105"/>
  <c r="G31" i="105"/>
  <c r="G23" i="105"/>
  <c r="G14" i="105"/>
  <c r="O15" i="105"/>
  <c r="O23" i="105"/>
  <c r="O31" i="105"/>
  <c r="O39" i="105"/>
  <c r="K26" i="105"/>
  <c r="K15" i="105"/>
  <c r="K28" i="105"/>
  <c r="K35" i="105"/>
  <c r="K20" i="105"/>
  <c r="O16" i="105"/>
  <c r="O24" i="105"/>
  <c r="O32" i="105"/>
  <c r="O40" i="105"/>
  <c r="K42" i="105"/>
  <c r="L42" i="105" s="1"/>
  <c r="K16" i="105"/>
  <c r="K21" i="105"/>
  <c r="K36" i="105"/>
  <c r="O17" i="105"/>
  <c r="O25" i="105"/>
  <c r="O33" i="105"/>
  <c r="O41" i="105"/>
  <c r="K17" i="105"/>
  <c r="K29" i="105"/>
  <c r="K37" i="105"/>
  <c r="K11" i="105"/>
  <c r="K39" i="105"/>
  <c r="O12" i="105"/>
  <c r="O36" i="105"/>
  <c r="O9" i="105"/>
  <c r="K13" i="105"/>
  <c r="K33" i="105"/>
  <c r="O22" i="105"/>
  <c r="K24" i="105"/>
  <c r="K34" i="105"/>
  <c r="O10" i="105"/>
  <c r="O18" i="105"/>
  <c r="O26" i="105"/>
  <c r="O34" i="105"/>
  <c r="O42" i="105"/>
  <c r="P42" i="105" s="1"/>
  <c r="K10" i="105"/>
  <c r="K18" i="105"/>
  <c r="K30" i="105"/>
  <c r="K38" i="105"/>
  <c r="K19" i="105"/>
  <c r="O28" i="105"/>
  <c r="O30" i="105"/>
  <c r="K27" i="105"/>
  <c r="O11" i="105"/>
  <c r="O19" i="105"/>
  <c r="O27" i="105"/>
  <c r="O35" i="105"/>
  <c r="O43" i="105"/>
  <c r="K31" i="105"/>
  <c r="O20" i="105"/>
  <c r="K12" i="105"/>
  <c r="K22" i="105"/>
  <c r="K32" i="105"/>
  <c r="K40" i="105"/>
  <c r="O13" i="105"/>
  <c r="O21" i="105"/>
  <c r="O29" i="105"/>
  <c r="O37" i="105"/>
  <c r="K23" i="105"/>
  <c r="K25" i="105"/>
  <c r="K43" i="105"/>
  <c r="O14" i="105"/>
  <c r="O38" i="105"/>
  <c r="K14" i="105"/>
  <c r="K9" i="105"/>
  <c r="K41" i="105"/>
  <c r="C40" i="31" a="1"/>
  <c r="C40" i="31" s="1"/>
  <c r="C41" i="31"/>
  <c r="C43" i="31"/>
  <c r="C42" i="31"/>
  <c r="D34" i="62"/>
  <c r="E34" i="62"/>
  <c r="F34" i="62"/>
  <c r="C34" i="62"/>
  <c r="O48" i="105" l="1" a="1"/>
  <c r="O48" i="105" s="1"/>
  <c r="O46" i="105" a="1"/>
  <c r="O46" i="105" s="1"/>
  <c r="O49" i="105" a="1"/>
  <c r="O49" i="105" s="1"/>
  <c r="O45" i="105" a="1"/>
  <c r="O45" i="105" s="1"/>
  <c r="K45" i="105" a="1"/>
  <c r="K45" i="105" s="1"/>
  <c r="G45" i="105" a="1"/>
  <c r="G45" i="105" s="1"/>
  <c r="K49" i="105"/>
  <c r="K48" i="105" a="1"/>
  <c r="K48" i="105" s="1"/>
  <c r="O44" i="105" a="1"/>
  <c r="O44" i="105" s="1"/>
  <c r="G49" i="105"/>
  <c r="K51" i="105"/>
  <c r="G44" i="105" a="1"/>
  <c r="G44" i="105" s="1"/>
  <c r="G46" i="105" a="1"/>
  <c r="G46" i="105" s="1"/>
  <c r="O50" i="105"/>
  <c r="O47" i="105" a="1"/>
  <c r="O47" i="105" s="1"/>
  <c r="K46" i="105" a="1"/>
  <c r="K46" i="105" s="1"/>
  <c r="K47" i="105" a="1"/>
  <c r="K47" i="105" s="1"/>
  <c r="K50" i="105"/>
  <c r="G48" i="105" a="1"/>
  <c r="G48" i="105" s="1"/>
  <c r="C48" i="105" a="1"/>
  <c r="C48" i="105" s="1"/>
  <c r="C50" i="105"/>
  <c r="C47" i="105" a="1"/>
  <c r="C47" i="105" s="1"/>
  <c r="O51" i="105"/>
  <c r="K44" i="105" a="1"/>
  <c r="K44" i="105" s="1"/>
  <c r="G51" i="105"/>
  <c r="C46" i="105" a="1"/>
  <c r="C46" i="105" s="1"/>
  <c r="C49" i="105"/>
  <c r="C51" i="105"/>
  <c r="G50" i="105"/>
  <c r="G47" i="105" a="1"/>
  <c r="G47" i="105" s="1"/>
  <c r="C45" i="105" a="1"/>
  <c r="C45" i="105" s="1"/>
  <c r="N8" i="33"/>
  <c r="G15" i="141"/>
  <c r="D11" i="141"/>
  <c r="K11" i="114"/>
  <c r="G54" i="141" l="1"/>
  <c r="D54" i="141"/>
  <c r="G53" i="141"/>
  <c r="D53" i="141"/>
  <c r="G52" i="141"/>
  <c r="D52" i="141"/>
  <c r="G51" i="141"/>
  <c r="D51" i="141"/>
  <c r="G50" i="141"/>
  <c r="D50" i="141"/>
  <c r="G49" i="141"/>
  <c r="D49" i="141"/>
  <c r="G48" i="141"/>
  <c r="D48" i="141"/>
  <c r="G45" i="141"/>
  <c r="D45" i="141"/>
  <c r="G44" i="141"/>
  <c r="D44" i="141"/>
  <c r="G43" i="141"/>
  <c r="D43" i="141"/>
  <c r="G42" i="141"/>
  <c r="D42" i="141"/>
  <c r="G41" i="141"/>
  <c r="D41" i="141"/>
  <c r="G40" i="141"/>
  <c r="D40" i="141"/>
  <c r="G39" i="141"/>
  <c r="D39" i="141"/>
  <c r="G38" i="141"/>
  <c r="D38" i="141"/>
  <c r="G37" i="141"/>
  <c r="D37" i="141"/>
  <c r="G36" i="141"/>
  <c r="D36" i="141"/>
  <c r="G35" i="141"/>
  <c r="D35" i="141"/>
  <c r="G34" i="141"/>
  <c r="D34" i="141"/>
  <c r="G33" i="141"/>
  <c r="D33" i="141"/>
  <c r="G32" i="141"/>
  <c r="D32" i="141"/>
  <c r="G31" i="141"/>
  <c r="D31" i="141"/>
  <c r="D30" i="141"/>
  <c r="D29" i="141"/>
  <c r="D28" i="141"/>
  <c r="G27" i="141"/>
  <c r="D27" i="141"/>
  <c r="G26" i="141"/>
  <c r="D26" i="141"/>
  <c r="G25" i="141"/>
  <c r="D25" i="141"/>
  <c r="G24" i="141"/>
  <c r="G23" i="141"/>
  <c r="D23" i="141"/>
  <c r="G22" i="141"/>
  <c r="D22" i="141"/>
  <c r="G18" i="141"/>
  <c r="D18" i="141"/>
  <c r="G17" i="141"/>
  <c r="D17" i="141"/>
  <c r="D15" i="141"/>
  <c r="G12" i="141"/>
  <c r="D12" i="141"/>
  <c r="G11" i="141"/>
  <c r="G10" i="141"/>
  <c r="D10" i="141"/>
  <c r="G9" i="141"/>
  <c r="G8" i="141"/>
  <c r="N10" i="113"/>
  <c r="P9" i="113"/>
  <c r="O9" i="113"/>
  <c r="K9" i="113"/>
  <c r="G14" i="116"/>
  <c r="O10" i="67"/>
  <c r="P10" i="67" s="1"/>
  <c r="O11" i="67"/>
  <c r="O12" i="67"/>
  <c r="P12" i="67" s="1"/>
  <c r="O13" i="67"/>
  <c r="O14" i="67"/>
  <c r="O15" i="67"/>
  <c r="O16" i="67"/>
  <c r="O17" i="67"/>
  <c r="P17" i="67" s="1"/>
  <c r="O18" i="67"/>
  <c r="P18" i="67" s="1"/>
  <c r="O19" i="67"/>
  <c r="O20" i="67"/>
  <c r="P20" i="67" s="1"/>
  <c r="O21" i="67"/>
  <c r="O22" i="67"/>
  <c r="O23" i="67"/>
  <c r="O24" i="67"/>
  <c r="O25" i="67"/>
  <c r="P25" i="67" s="1"/>
  <c r="O26" i="67"/>
  <c r="P26" i="67" s="1"/>
  <c r="O27" i="67"/>
  <c r="O28" i="67"/>
  <c r="P28" i="67" s="1"/>
  <c r="O29" i="67"/>
  <c r="O30" i="67"/>
  <c r="O31" i="67"/>
  <c r="O32" i="67"/>
  <c r="O33" i="67"/>
  <c r="P33" i="67" s="1"/>
  <c r="O34" i="67"/>
  <c r="P34" i="67" s="1"/>
  <c r="O35" i="67"/>
  <c r="O36" i="67"/>
  <c r="P36" i="67" s="1"/>
  <c r="O37" i="67"/>
  <c r="O38" i="67"/>
  <c r="O39" i="67"/>
  <c r="O40" i="67"/>
  <c r="O9" i="67"/>
  <c r="P9" i="67" s="1"/>
  <c r="K10" i="67"/>
  <c r="G9" i="67"/>
  <c r="H9" i="67" s="1"/>
  <c r="N48" i="67"/>
  <c r="P48" i="67" s="1"/>
  <c r="N40" i="67"/>
  <c r="N39" i="67"/>
  <c r="N38" i="67"/>
  <c r="N37" i="67"/>
  <c r="N36" i="67"/>
  <c r="N35" i="67"/>
  <c r="N34" i="67"/>
  <c r="N33" i="67"/>
  <c r="N32" i="67"/>
  <c r="N31" i="67"/>
  <c r="N30" i="67"/>
  <c r="N29" i="67"/>
  <c r="N28" i="67"/>
  <c r="N27" i="67"/>
  <c r="N26" i="67"/>
  <c r="N25" i="67"/>
  <c r="N24" i="67"/>
  <c r="N23" i="67"/>
  <c r="N22" i="67"/>
  <c r="P22" i="67" s="1"/>
  <c r="N21" i="67"/>
  <c r="N20" i="67"/>
  <c r="N19" i="67"/>
  <c r="N18" i="67"/>
  <c r="N17" i="67"/>
  <c r="N16" i="67"/>
  <c r="N15" i="67"/>
  <c r="N14" i="67"/>
  <c r="P14" i="67" s="1"/>
  <c r="N13" i="67"/>
  <c r="N12" i="67"/>
  <c r="N11" i="67"/>
  <c r="N10" i="67"/>
  <c r="N9" i="67"/>
  <c r="J48" i="67"/>
  <c r="L48" i="67" s="1"/>
  <c r="K40" i="67"/>
  <c r="L40" i="67" s="1"/>
  <c r="J40" i="67"/>
  <c r="K39" i="67"/>
  <c r="J39" i="67"/>
  <c r="K38" i="67"/>
  <c r="J38" i="67"/>
  <c r="K37" i="67"/>
  <c r="J37" i="67"/>
  <c r="K36" i="67"/>
  <c r="L36" i="67" s="1"/>
  <c r="J36" i="67"/>
  <c r="K35" i="67"/>
  <c r="J35" i="67"/>
  <c r="K34" i="67"/>
  <c r="J34" i="67"/>
  <c r="K33" i="67"/>
  <c r="L33" i="67" s="1"/>
  <c r="J33" i="67"/>
  <c r="K32" i="67"/>
  <c r="L32" i="67" s="1"/>
  <c r="J32" i="67"/>
  <c r="K31" i="67"/>
  <c r="J31" i="67"/>
  <c r="K30" i="67"/>
  <c r="J30" i="67"/>
  <c r="K29" i="67"/>
  <c r="L29" i="67" s="1"/>
  <c r="J29" i="67"/>
  <c r="K28" i="67"/>
  <c r="L28" i="67" s="1"/>
  <c r="J28" i="67"/>
  <c r="K27" i="67"/>
  <c r="J27" i="67"/>
  <c r="K26" i="67"/>
  <c r="J26" i="67"/>
  <c r="K25" i="67"/>
  <c r="L25" i="67" s="1"/>
  <c r="J25" i="67"/>
  <c r="K24" i="67"/>
  <c r="L24" i="67" s="1"/>
  <c r="J24" i="67"/>
  <c r="K23" i="67"/>
  <c r="J23" i="67"/>
  <c r="K22" i="67"/>
  <c r="J22" i="67"/>
  <c r="L21" i="67"/>
  <c r="K21" i="67"/>
  <c r="J21" i="67"/>
  <c r="K20" i="67"/>
  <c r="L20" i="67" s="1"/>
  <c r="J20" i="67"/>
  <c r="K19" i="67"/>
  <c r="J19" i="67"/>
  <c r="K18" i="67"/>
  <c r="J18" i="67"/>
  <c r="K17" i="67"/>
  <c r="L17" i="67" s="1"/>
  <c r="J17" i="67"/>
  <c r="K16" i="67"/>
  <c r="L16" i="67" s="1"/>
  <c r="J16" i="67"/>
  <c r="K15" i="67"/>
  <c r="J15" i="67"/>
  <c r="K14" i="67"/>
  <c r="J14" i="67"/>
  <c r="K13" i="67"/>
  <c r="L13" i="67" s="1"/>
  <c r="J13" i="67"/>
  <c r="K12" i="67"/>
  <c r="L12" i="67" s="1"/>
  <c r="J12" i="67"/>
  <c r="K11" i="67"/>
  <c r="J11" i="67"/>
  <c r="J10" i="67"/>
  <c r="K9" i="67"/>
  <c r="L9" i="67" s="1"/>
  <c r="J9" i="67"/>
  <c r="F48" i="67"/>
  <c r="H48" i="67" s="1"/>
  <c r="G40" i="67"/>
  <c r="F40" i="67"/>
  <c r="G39" i="67"/>
  <c r="F39" i="67"/>
  <c r="G38" i="67"/>
  <c r="F38" i="67"/>
  <c r="G37" i="67"/>
  <c r="H37" i="67" s="1"/>
  <c r="F37" i="67"/>
  <c r="G36" i="67"/>
  <c r="H36" i="67" s="1"/>
  <c r="F36" i="67"/>
  <c r="G35" i="67"/>
  <c r="F35" i="67"/>
  <c r="G34" i="67"/>
  <c r="H34" i="67" s="1"/>
  <c r="F34" i="67"/>
  <c r="G33" i="67"/>
  <c r="H33" i="67" s="1"/>
  <c r="F33" i="67"/>
  <c r="G32" i="67"/>
  <c r="F32" i="67"/>
  <c r="G31" i="67"/>
  <c r="F31" i="67"/>
  <c r="G30" i="67"/>
  <c r="F30" i="67"/>
  <c r="G29" i="67"/>
  <c r="H29" i="67" s="1"/>
  <c r="F29" i="67"/>
  <c r="G28" i="67"/>
  <c r="H28" i="67" s="1"/>
  <c r="F28" i="67"/>
  <c r="G27" i="67"/>
  <c r="F27" i="67"/>
  <c r="G26" i="67"/>
  <c r="H26" i="67" s="1"/>
  <c r="F26" i="67"/>
  <c r="G25" i="67"/>
  <c r="H25" i="67" s="1"/>
  <c r="F25" i="67"/>
  <c r="G24" i="67"/>
  <c r="F24" i="67"/>
  <c r="G23" i="67"/>
  <c r="H23" i="67" s="1"/>
  <c r="F23" i="67"/>
  <c r="G22" i="67"/>
  <c r="F22" i="67"/>
  <c r="G21" i="67"/>
  <c r="F21" i="67"/>
  <c r="G20" i="67"/>
  <c r="H20" i="67" s="1"/>
  <c r="F20" i="67"/>
  <c r="G19" i="67"/>
  <c r="F19" i="67"/>
  <c r="G18" i="67"/>
  <c r="H18" i="67" s="1"/>
  <c r="F18" i="67"/>
  <c r="G17" i="67"/>
  <c r="H17" i="67" s="1"/>
  <c r="F17" i="67"/>
  <c r="G16" i="67"/>
  <c r="F16" i="67"/>
  <c r="G15" i="67"/>
  <c r="H15" i="67" s="1"/>
  <c r="F15" i="67"/>
  <c r="G14" i="67"/>
  <c r="F14" i="67"/>
  <c r="G13" i="67"/>
  <c r="F13" i="67"/>
  <c r="G12" i="67"/>
  <c r="F12" i="67"/>
  <c r="G11" i="67"/>
  <c r="F11" i="67"/>
  <c r="G10" i="67"/>
  <c r="H10" i="67" s="1"/>
  <c r="F10" i="67"/>
  <c r="F9" i="67"/>
  <c r="D48" i="67"/>
  <c r="D39" i="67"/>
  <c r="B47" i="67"/>
  <c r="O9" i="93"/>
  <c r="O10" i="93"/>
  <c r="O11" i="93"/>
  <c r="O12" i="93"/>
  <c r="O13" i="93"/>
  <c r="O14" i="93"/>
  <c r="O15" i="93"/>
  <c r="O16" i="93"/>
  <c r="O17" i="93"/>
  <c r="O18" i="93"/>
  <c r="O19" i="93"/>
  <c r="O20" i="93"/>
  <c r="O21" i="93"/>
  <c r="O22" i="93"/>
  <c r="O23" i="93"/>
  <c r="O24" i="93"/>
  <c r="O25" i="93"/>
  <c r="O26" i="93"/>
  <c r="O27" i="93"/>
  <c r="O28" i="93"/>
  <c r="O29" i="93"/>
  <c r="O30" i="93"/>
  <c r="O31" i="93"/>
  <c r="O32" i="93"/>
  <c r="O33" i="93"/>
  <c r="O34" i="93"/>
  <c r="O35" i="93"/>
  <c r="O36" i="93"/>
  <c r="O37" i="93"/>
  <c r="O38" i="93"/>
  <c r="O39" i="93"/>
  <c r="O40" i="93"/>
  <c r="O8" i="93"/>
  <c r="K9" i="93"/>
  <c r="K10" i="93"/>
  <c r="K11" i="93"/>
  <c r="K12" i="93"/>
  <c r="K13" i="93"/>
  <c r="K14" i="93"/>
  <c r="K15" i="93"/>
  <c r="K16" i="93"/>
  <c r="K17" i="93"/>
  <c r="K18" i="93"/>
  <c r="K19" i="93"/>
  <c r="K20" i="93"/>
  <c r="K21" i="93"/>
  <c r="K22" i="93"/>
  <c r="K23" i="93"/>
  <c r="K24" i="93"/>
  <c r="K25" i="93"/>
  <c r="K26" i="93"/>
  <c r="K27" i="93"/>
  <c r="K28" i="93"/>
  <c r="K29" i="93"/>
  <c r="K30" i="93"/>
  <c r="K31" i="93"/>
  <c r="K32" i="93"/>
  <c r="K33" i="93"/>
  <c r="K34" i="93"/>
  <c r="K35" i="93"/>
  <c r="K36" i="93"/>
  <c r="K37" i="93"/>
  <c r="K38" i="93"/>
  <c r="K39" i="93"/>
  <c r="K40" i="93"/>
  <c r="K8" i="93"/>
  <c r="L22" i="67" l="1"/>
  <c r="H40" i="67"/>
  <c r="P38" i="67"/>
  <c r="P16" i="67"/>
  <c r="P24" i="67"/>
  <c r="P32" i="67"/>
  <c r="L11" i="67"/>
  <c r="L15" i="67"/>
  <c r="H13" i="67"/>
  <c r="P13" i="67"/>
  <c r="P21" i="67"/>
  <c r="P11" i="67"/>
  <c r="P19" i="67"/>
  <c r="P35" i="67"/>
  <c r="K47" i="67"/>
  <c r="P29" i="67"/>
  <c r="H12" i="67"/>
  <c r="L18" i="67"/>
  <c r="H21" i="67"/>
  <c r="L26" i="67"/>
  <c r="P23" i="67"/>
  <c r="P30" i="67"/>
  <c r="P37" i="67"/>
  <c r="G47" i="67"/>
  <c r="H22" i="67"/>
  <c r="H30" i="67"/>
  <c r="L23" i="67"/>
  <c r="L35" i="67"/>
  <c r="L42" i="67" s="1" a="1"/>
  <c r="L42" i="67" s="1"/>
  <c r="L39" i="67"/>
  <c r="H16" i="67"/>
  <c r="H19" i="67"/>
  <c r="L19" i="67"/>
  <c r="P31" i="67"/>
  <c r="P42" i="67" s="1" a="1"/>
  <c r="P42" i="67" s="1"/>
  <c r="L30" i="67"/>
  <c r="L45" i="67" s="1" a="1"/>
  <c r="L45" i="67" s="1"/>
  <c r="L37" i="67"/>
  <c r="P39" i="67"/>
  <c r="H14" i="67"/>
  <c r="H24" i="67"/>
  <c r="H27" i="67"/>
  <c r="H31" i="67"/>
  <c r="H38" i="67"/>
  <c r="L27" i="67"/>
  <c r="P27" i="67"/>
  <c r="P40" i="67"/>
  <c r="P44" i="67" s="1" a="1"/>
  <c r="P44" i="67" s="1"/>
  <c r="L31" i="67"/>
  <c r="L34" i="67"/>
  <c r="L38" i="67"/>
  <c r="P15" i="67"/>
  <c r="H11" i="67"/>
  <c r="H44" i="67" s="1" a="1"/>
  <c r="H44" i="67" s="1"/>
  <c r="H32" i="67"/>
  <c r="H43" i="67" s="1" a="1"/>
  <c r="H43" i="67" s="1"/>
  <c r="H35" i="67"/>
  <c r="H39" i="67"/>
  <c r="L14" i="67"/>
  <c r="O47" i="67"/>
  <c r="P47" i="67" s="1"/>
  <c r="L10" i="67"/>
  <c r="N47" i="67"/>
  <c r="J47" i="67"/>
  <c r="L47" i="67" s="1"/>
  <c r="F47" i="67"/>
  <c r="O41" i="90"/>
  <c r="O9" i="90"/>
  <c r="O10" i="90"/>
  <c r="O11" i="90"/>
  <c r="O12" i="90"/>
  <c r="O13" i="90"/>
  <c r="O14" i="90"/>
  <c r="O15" i="90"/>
  <c r="O16" i="90"/>
  <c r="O17" i="90"/>
  <c r="O18" i="90"/>
  <c r="O19" i="90"/>
  <c r="O20" i="90"/>
  <c r="O21" i="90"/>
  <c r="O22" i="90"/>
  <c r="O23" i="90"/>
  <c r="O24" i="90"/>
  <c r="O25" i="90"/>
  <c r="O26" i="90"/>
  <c r="O27" i="90"/>
  <c r="O28" i="90"/>
  <c r="O29" i="90"/>
  <c r="O30" i="90"/>
  <c r="O31" i="90"/>
  <c r="O32" i="90"/>
  <c r="O33" i="90"/>
  <c r="O34" i="90"/>
  <c r="O35" i="90"/>
  <c r="O36" i="90"/>
  <c r="O37" i="90"/>
  <c r="O38" i="90"/>
  <c r="O39" i="90"/>
  <c r="O40" i="90"/>
  <c r="O8" i="90"/>
  <c r="K9" i="90"/>
  <c r="K10" i="90"/>
  <c r="K11" i="90"/>
  <c r="K12" i="90"/>
  <c r="K13" i="90"/>
  <c r="K14" i="90"/>
  <c r="K15" i="90"/>
  <c r="K16" i="90"/>
  <c r="K17" i="90"/>
  <c r="K18" i="90"/>
  <c r="K19" i="90"/>
  <c r="K20" i="90"/>
  <c r="K21" i="90"/>
  <c r="K22" i="90"/>
  <c r="K23" i="90"/>
  <c r="K24" i="90"/>
  <c r="K25" i="90"/>
  <c r="K26" i="90"/>
  <c r="K27" i="90"/>
  <c r="K28" i="90"/>
  <c r="K29" i="90"/>
  <c r="K30" i="90"/>
  <c r="K31" i="90"/>
  <c r="K32" i="90"/>
  <c r="K33" i="90"/>
  <c r="K34" i="90"/>
  <c r="K35" i="90"/>
  <c r="K36" i="90"/>
  <c r="K37" i="90"/>
  <c r="K38" i="90"/>
  <c r="K39" i="90"/>
  <c r="K40" i="90"/>
  <c r="K8" i="90"/>
  <c r="G8" i="90"/>
  <c r="C8" i="90"/>
  <c r="P43" i="67" l="1" a="1"/>
  <c r="P43" i="67" s="1"/>
  <c r="H45" i="67" a="1"/>
  <c r="H45" i="67" s="1"/>
  <c r="H42" i="67" a="1"/>
  <c r="H42" i="67" s="1"/>
  <c r="L43" i="67" a="1"/>
  <c r="L43" i="67" s="1"/>
  <c r="L44" i="67" a="1"/>
  <c r="L44" i="67" s="1"/>
  <c r="P45" i="67" a="1"/>
  <c r="P45" i="67" s="1"/>
  <c r="H47" i="67"/>
  <c r="H92" i="131"/>
  <c r="G92" i="131"/>
  <c r="F92" i="131"/>
  <c r="E92" i="131"/>
  <c r="D92" i="131"/>
  <c r="C92" i="131"/>
  <c r="B92" i="131"/>
  <c r="C43" i="131"/>
  <c r="D43" i="131"/>
  <c r="E43" i="131"/>
  <c r="F43" i="131"/>
  <c r="G43" i="131"/>
  <c r="H43" i="131"/>
  <c r="B43" i="131"/>
  <c r="O48" i="114"/>
  <c r="O43" i="114"/>
  <c r="O42" i="114"/>
  <c r="O10" i="114"/>
  <c r="O11" i="114"/>
  <c r="O12" i="114"/>
  <c r="O13" i="114"/>
  <c r="O14" i="114"/>
  <c r="O15" i="114"/>
  <c r="O16" i="114"/>
  <c r="O17" i="114"/>
  <c r="O18" i="114"/>
  <c r="O19" i="114"/>
  <c r="O20" i="114"/>
  <c r="O21" i="114"/>
  <c r="O22" i="114"/>
  <c r="O23" i="114"/>
  <c r="O24" i="114"/>
  <c r="O25" i="114"/>
  <c r="O26" i="114"/>
  <c r="O27" i="114"/>
  <c r="O28" i="114"/>
  <c r="O29" i="114"/>
  <c r="O30" i="114"/>
  <c r="O31" i="114"/>
  <c r="O32" i="114"/>
  <c r="O33" i="114"/>
  <c r="O34" i="114"/>
  <c r="O35" i="114"/>
  <c r="O36" i="114"/>
  <c r="O37" i="114"/>
  <c r="O38" i="114"/>
  <c r="O39" i="114"/>
  <c r="O40" i="114"/>
  <c r="O9" i="114"/>
  <c r="K13" i="114"/>
  <c r="O48" i="113"/>
  <c r="O43" i="113"/>
  <c r="O42" i="113"/>
  <c r="O10" i="113"/>
  <c r="O11" i="113"/>
  <c r="O12" i="113"/>
  <c r="O13" i="113"/>
  <c r="O14" i="113"/>
  <c r="O15" i="113"/>
  <c r="O16" i="113"/>
  <c r="O17" i="113"/>
  <c r="O18" i="113"/>
  <c r="O19" i="113"/>
  <c r="O20" i="113"/>
  <c r="O21" i="113"/>
  <c r="O22" i="113"/>
  <c r="O23" i="113"/>
  <c r="O24" i="113"/>
  <c r="O25" i="113"/>
  <c r="O26" i="113"/>
  <c r="O27" i="113"/>
  <c r="O28" i="113"/>
  <c r="O29" i="113"/>
  <c r="O30" i="113"/>
  <c r="O31" i="113"/>
  <c r="O32" i="113"/>
  <c r="O33" i="113"/>
  <c r="O34" i="113"/>
  <c r="O35" i="113"/>
  <c r="O36" i="113"/>
  <c r="O37" i="113"/>
  <c r="O38" i="113"/>
  <c r="O39" i="113"/>
  <c r="O40" i="113"/>
  <c r="N9" i="114"/>
  <c r="N9" i="113"/>
  <c r="J93" i="114"/>
  <c r="I93" i="114"/>
  <c r="H93" i="114"/>
  <c r="J93" i="113"/>
  <c r="I93" i="113"/>
  <c r="H93" i="113"/>
  <c r="O48" i="59"/>
  <c r="O43" i="59"/>
  <c r="O42"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9" i="59"/>
  <c r="K48" i="59"/>
  <c r="K42" i="59"/>
  <c r="K10" i="59"/>
  <c r="K11" i="59"/>
  <c r="K12" i="59"/>
  <c r="K13" i="59"/>
  <c r="K14" i="59"/>
  <c r="K15" i="59"/>
  <c r="K16" i="59"/>
  <c r="K17" i="59"/>
  <c r="K18" i="59"/>
  <c r="K19" i="59"/>
  <c r="K20" i="59"/>
  <c r="K21" i="59"/>
  <c r="K22" i="59"/>
  <c r="K23" i="59"/>
  <c r="K24" i="59"/>
  <c r="K25" i="59"/>
  <c r="K26" i="59"/>
  <c r="K27" i="59"/>
  <c r="K28" i="59"/>
  <c r="K29" i="59"/>
  <c r="K30" i="59"/>
  <c r="K31" i="59"/>
  <c r="K32" i="59"/>
  <c r="K33" i="59"/>
  <c r="K34" i="59"/>
  <c r="K35" i="59"/>
  <c r="K36" i="59"/>
  <c r="K37" i="59"/>
  <c r="K38" i="59"/>
  <c r="K39" i="59"/>
  <c r="K40" i="59"/>
  <c r="K9" i="59"/>
  <c r="J17" i="43" l="1"/>
  <c r="J18" i="43"/>
  <c r="J19" i="43"/>
  <c r="J20" i="43"/>
  <c r="J16" i="43"/>
  <c r="J8" i="43"/>
  <c r="J9" i="43"/>
  <c r="J10" i="43"/>
  <c r="J11" i="43"/>
  <c r="J12" i="43"/>
  <c r="J13" i="43"/>
  <c r="J14" i="43"/>
  <c r="J7" i="43"/>
  <c r="I17" i="43"/>
  <c r="I18" i="43"/>
  <c r="I19" i="43"/>
  <c r="I20" i="43"/>
  <c r="I16" i="43"/>
  <c r="I8" i="43"/>
  <c r="I9" i="43"/>
  <c r="I10" i="43"/>
  <c r="I11" i="43"/>
  <c r="I12" i="43"/>
  <c r="I13" i="43"/>
  <c r="I14" i="43"/>
  <c r="I7" i="43"/>
  <c r="N34" i="105" l="1"/>
  <c r="H13" i="12"/>
  <c r="L13" i="12"/>
  <c r="N13" i="12" s="1"/>
  <c r="K13" i="12"/>
  <c r="J13" i="12"/>
  <c r="F13" i="12"/>
  <c r="D8" i="119"/>
  <c r="G8" i="119"/>
  <c r="F8" i="119"/>
  <c r="C8" i="119"/>
  <c r="H20" i="6"/>
  <c r="H19" i="6"/>
  <c r="H18" i="6"/>
  <c r="H17" i="6"/>
  <c r="H16" i="6"/>
  <c r="H8" i="6"/>
  <c r="H9" i="6"/>
  <c r="H10" i="6"/>
  <c r="H11" i="6"/>
  <c r="H12" i="6"/>
  <c r="H13" i="6"/>
  <c r="H14" i="6"/>
  <c r="H7" i="6"/>
  <c r="G17" i="6"/>
  <c r="G18" i="6"/>
  <c r="G19" i="6"/>
  <c r="G20" i="6"/>
  <c r="G16" i="6"/>
  <c r="G8" i="6"/>
  <c r="G9" i="6"/>
  <c r="G10" i="6"/>
  <c r="G11" i="6"/>
  <c r="G12" i="6"/>
  <c r="G13" i="6"/>
  <c r="G14" i="6"/>
  <c r="G7" i="6"/>
  <c r="G7" i="119"/>
  <c r="F7" i="119"/>
  <c r="E7" i="119"/>
  <c r="D7" i="119"/>
  <c r="H7" i="119" s="1"/>
  <c r="I7" i="119" s="1"/>
  <c r="C7" i="119"/>
  <c r="H12" i="12"/>
  <c r="H44" i="12"/>
  <c r="H32" i="12"/>
  <c r="H31" i="12"/>
  <c r="H30" i="12"/>
  <c r="H25" i="12"/>
  <c r="H17" i="12"/>
  <c r="H16" i="12"/>
  <c r="H11" i="12"/>
  <c r="L12" i="12"/>
  <c r="N12" i="12" s="1"/>
  <c r="K12" i="12"/>
  <c r="J12" i="12"/>
  <c r="F12" i="12"/>
  <c r="H20" i="18"/>
  <c r="H19" i="18"/>
  <c r="H18" i="18"/>
  <c r="H17" i="18"/>
  <c r="H16" i="18"/>
  <c r="H8" i="18"/>
  <c r="H9" i="18"/>
  <c r="H10" i="18"/>
  <c r="H11" i="18"/>
  <c r="H12" i="18"/>
  <c r="H13" i="18"/>
  <c r="H14" i="18"/>
  <c r="H7" i="18"/>
  <c r="G17" i="18"/>
  <c r="G18" i="18"/>
  <c r="G19" i="18"/>
  <c r="G20" i="18"/>
  <c r="G16" i="18"/>
  <c r="G8" i="18"/>
  <c r="G9" i="18"/>
  <c r="G10" i="18"/>
  <c r="G11" i="18"/>
  <c r="G12" i="18"/>
  <c r="G13" i="18"/>
  <c r="G14" i="18"/>
  <c r="G7" i="18"/>
  <c r="N44" i="21" a="1"/>
  <c r="N44" i="21" s="1"/>
  <c r="P44" i="21" s="1"/>
  <c r="B8" i="33"/>
  <c r="B9" i="33"/>
  <c r="D9" i="33"/>
  <c r="B10" i="33"/>
  <c r="D10" i="33"/>
  <c r="B11" i="33"/>
  <c r="D11" i="33"/>
  <c r="B12" i="33"/>
  <c r="D12" i="33"/>
  <c r="B13" i="33"/>
  <c r="D13" i="33"/>
  <c r="B14" i="33"/>
  <c r="D14" i="33"/>
  <c r="B15" i="33"/>
  <c r="D15" i="33"/>
  <c r="B16" i="33"/>
  <c r="D16" i="33"/>
  <c r="B17" i="33"/>
  <c r="D17" i="33"/>
  <c r="B18" i="33"/>
  <c r="D18" i="33"/>
  <c r="B19" i="33"/>
  <c r="D19" i="33"/>
  <c r="B20" i="33"/>
  <c r="D20" i="33"/>
  <c r="B21" i="33"/>
  <c r="D21" i="33"/>
  <c r="B22" i="33"/>
  <c r="D22" i="33"/>
  <c r="B23" i="33"/>
  <c r="D23" i="33"/>
  <c r="B24" i="33"/>
  <c r="D24" i="33"/>
  <c r="B25" i="33"/>
  <c r="D25" i="33"/>
  <c r="B26" i="33"/>
  <c r="D26" i="33"/>
  <c r="B27" i="33"/>
  <c r="D27" i="33"/>
  <c r="B28" i="33"/>
  <c r="D28" i="33"/>
  <c r="B29" i="33"/>
  <c r="D29" i="33"/>
  <c r="B30" i="33"/>
  <c r="D30" i="33"/>
  <c r="B31" i="33"/>
  <c r="D31" i="33"/>
  <c r="B32" i="33"/>
  <c r="D32" i="33"/>
  <c r="B33" i="33"/>
  <c r="D33" i="33"/>
  <c r="B34" i="33"/>
  <c r="D34" i="33"/>
  <c r="B35" i="33"/>
  <c r="D35" i="33"/>
  <c r="B36" i="33"/>
  <c r="D36" i="33"/>
  <c r="B37" i="33"/>
  <c r="D37" i="33"/>
  <c r="B39" i="33"/>
  <c r="D39" i="33"/>
  <c r="B40" i="33"/>
  <c r="D40" i="33"/>
  <c r="B41" i="33"/>
  <c r="D41" i="33"/>
  <c r="B42" i="33"/>
  <c r="D42" i="33"/>
  <c r="B43" i="33"/>
  <c r="D43" i="33"/>
  <c r="G12" i="12" l="1"/>
  <c r="C20" i="33"/>
  <c r="C24" i="33"/>
  <c r="C32" i="33"/>
  <c r="C40" i="33"/>
  <c r="C35" i="33"/>
  <c r="C31" i="33"/>
  <c r="C23" i="33"/>
  <c r="C19" i="33"/>
  <c r="C43" i="33"/>
  <c r="C26" i="33"/>
  <c r="C22" i="33"/>
  <c r="C41" i="33"/>
  <c r="C36" i="33"/>
  <c r="C42" i="33"/>
  <c r="C29" i="33"/>
  <c r="C25" i="33"/>
  <c r="C17" i="33"/>
  <c r="C13" i="33"/>
  <c r="C9" i="33"/>
  <c r="C30" i="33"/>
  <c r="C10" i="33"/>
  <c r="C21" i="33"/>
  <c r="C37" i="33"/>
  <c r="C27" i="33"/>
  <c r="B38" i="33"/>
  <c r="C34" i="33"/>
  <c r="C28" i="33"/>
  <c r="C15" i="33"/>
  <c r="C11" i="33"/>
  <c r="C33" i="33"/>
  <c r="C18" i="33"/>
  <c r="C14" i="33"/>
  <c r="C39" i="33"/>
  <c r="C16" i="33"/>
  <c r="C12" i="33"/>
  <c r="C38" i="33" l="1"/>
  <c r="D38" i="33" s="1"/>
  <c r="F9" i="33"/>
  <c r="N38" i="53" l="1"/>
  <c r="O37" i="53"/>
  <c r="N39" i="53"/>
  <c r="O3" i="53" a="1"/>
  <c r="O3" i="53" s="1"/>
  <c r="N3" i="53" a="1"/>
  <c r="N3" i="53" s="1"/>
  <c r="P3" i="53" s="1"/>
  <c r="N40" i="53"/>
  <c r="N37" i="53"/>
  <c r="O39" i="53"/>
  <c r="O38" i="53"/>
  <c r="K40" i="53"/>
  <c r="J40" i="53"/>
  <c r="L40" i="53" s="1"/>
  <c r="G40" i="53"/>
  <c r="F40" i="53"/>
  <c r="H40" i="53" s="1"/>
  <c r="C40" i="53"/>
  <c r="B40" i="53"/>
  <c r="D40" i="53" s="1"/>
  <c r="K39" i="53"/>
  <c r="L39" i="53" s="1"/>
  <c r="J39" i="53"/>
  <c r="G39" i="53"/>
  <c r="H39" i="53" s="1"/>
  <c r="F39" i="53"/>
  <c r="D39" i="53"/>
  <c r="C39" i="53"/>
  <c r="B39" i="53"/>
  <c r="L38" i="53"/>
  <c r="K38" i="53"/>
  <c r="J38" i="53"/>
  <c r="G38" i="53"/>
  <c r="F38" i="53"/>
  <c r="H38" i="53" s="1"/>
  <c r="C38" i="53"/>
  <c r="B38" i="53"/>
  <c r="D38" i="53" s="1"/>
  <c r="K37" i="53"/>
  <c r="J37" i="53"/>
  <c r="L37" i="53" s="1"/>
  <c r="G37" i="53"/>
  <c r="F37" i="53"/>
  <c r="H37" i="53" s="1"/>
  <c r="C37" i="53"/>
  <c r="B37" i="53"/>
  <c r="D37" i="53" s="1"/>
  <c r="K3" i="53"/>
  <c r="K3" i="53" a="1"/>
  <c r="J3" i="53"/>
  <c r="L3" i="53" s="1"/>
  <c r="J3" i="53" a="1"/>
  <c r="G3" i="53" a="1"/>
  <c r="G3" i="53" s="1"/>
  <c r="F3" i="53" a="1"/>
  <c r="F3" i="53" s="1"/>
  <c r="H3" i="53" s="1"/>
  <c r="C3" i="53"/>
  <c r="C3" i="53" a="1"/>
  <c r="B3" i="53" a="1"/>
  <c r="B3" i="53" s="1"/>
  <c r="D3" i="53" s="1"/>
  <c r="O3" i="49" a="1"/>
  <c r="O3" i="49" s="1"/>
  <c r="K40" i="49"/>
  <c r="J40" i="49"/>
  <c r="L40" i="49" s="1"/>
  <c r="H40" i="49"/>
  <c r="G40" i="49"/>
  <c r="F40" i="49"/>
  <c r="C40" i="49"/>
  <c r="D40" i="49" s="1"/>
  <c r="B40" i="49"/>
  <c r="K39" i="49"/>
  <c r="J39" i="49"/>
  <c r="L39" i="49" s="1"/>
  <c r="G39" i="49"/>
  <c r="F39" i="49"/>
  <c r="H39" i="49" s="1"/>
  <c r="D39" i="49"/>
  <c r="C39" i="49"/>
  <c r="B39" i="49"/>
  <c r="K38" i="49"/>
  <c r="L38" i="49" s="1"/>
  <c r="J38" i="49"/>
  <c r="G38" i="49"/>
  <c r="F38" i="49"/>
  <c r="H38" i="49" s="1"/>
  <c r="C38" i="49"/>
  <c r="B38" i="49"/>
  <c r="D38" i="49" s="1"/>
  <c r="K37" i="49" a="1"/>
  <c r="K37" i="49" s="1"/>
  <c r="J37" i="49" a="1"/>
  <c r="J37" i="49" s="1"/>
  <c r="L37" i="49" s="1"/>
  <c r="G37" i="49"/>
  <c r="F37" i="49"/>
  <c r="H37" i="49" s="1"/>
  <c r="C37" i="49"/>
  <c r="B37" i="49"/>
  <c r="D37" i="49" s="1"/>
  <c r="K3" i="49"/>
  <c r="K3" i="49" a="1"/>
  <c r="J3" i="49" a="1"/>
  <c r="J3" i="49" s="1"/>
  <c r="L3" i="49" s="1"/>
  <c r="G3" i="49" a="1"/>
  <c r="G3" i="49" s="1"/>
  <c r="F3" i="49" a="1"/>
  <c r="F3" i="49" s="1"/>
  <c r="C3" i="49" a="1"/>
  <c r="C3" i="49" s="1"/>
  <c r="B3" i="49"/>
  <c r="D3" i="49" s="1"/>
  <c r="B3" i="49" a="1"/>
  <c r="K40" i="51" a="1"/>
  <c r="K40" i="51" s="1"/>
  <c r="J40" i="51" a="1"/>
  <c r="J40" i="51" s="1"/>
  <c r="L40" i="51" s="1"/>
  <c r="G40" i="51" a="1"/>
  <c r="G40" i="51" s="1"/>
  <c r="F40" i="51" a="1"/>
  <c r="F40" i="51" s="1"/>
  <c r="C40" i="51" a="1"/>
  <c r="C40" i="51" s="1"/>
  <c r="B40" i="51" a="1"/>
  <c r="B40" i="51" s="1"/>
  <c r="K39" i="51" a="1"/>
  <c r="K39" i="51" s="1"/>
  <c r="J39" i="51" a="1"/>
  <c r="J39" i="51" s="1"/>
  <c r="L39" i="51" s="1"/>
  <c r="G39" i="51" a="1"/>
  <c r="G39" i="51" s="1"/>
  <c r="F39" i="51" a="1"/>
  <c r="F39" i="51" s="1"/>
  <c r="C39" i="51" a="1"/>
  <c r="C39" i="51" s="1"/>
  <c r="B39" i="51" a="1"/>
  <c r="B39" i="51" s="1"/>
  <c r="K38" i="51" a="1"/>
  <c r="K38" i="51" s="1"/>
  <c r="J38" i="51" a="1"/>
  <c r="J38" i="51" s="1"/>
  <c r="G38" i="51" a="1"/>
  <c r="G38" i="51" s="1"/>
  <c r="F38" i="51" a="1"/>
  <c r="F38" i="51" s="1"/>
  <c r="C38" i="51" a="1"/>
  <c r="C38" i="51" s="1"/>
  <c r="B38" i="51" a="1"/>
  <c r="B38" i="51" s="1"/>
  <c r="K37" i="51" a="1"/>
  <c r="K37" i="51" s="1"/>
  <c r="J37" i="51" a="1"/>
  <c r="J37" i="51" s="1"/>
  <c r="G37" i="51" a="1"/>
  <c r="G37" i="51" s="1"/>
  <c r="F37" i="51" a="1"/>
  <c r="F37" i="51" s="1"/>
  <c r="C37" i="51" a="1"/>
  <c r="C37" i="51" s="1"/>
  <c r="B37" i="51" a="1"/>
  <c r="B37" i="51" s="1"/>
  <c r="K3" i="51"/>
  <c r="K3" i="51" a="1"/>
  <c r="J3" i="51" a="1"/>
  <c r="J3" i="51" s="1"/>
  <c r="G3" i="51" a="1"/>
  <c r="G3" i="51" s="1"/>
  <c r="F3" i="51" a="1"/>
  <c r="F3" i="51" s="1"/>
  <c r="C3" i="51" a="1"/>
  <c r="C3" i="51" s="1"/>
  <c r="B3" i="51" a="1"/>
  <c r="B3" i="51" s="1"/>
  <c r="D3" i="51" s="1"/>
  <c r="N40" i="93"/>
  <c r="J40" i="93"/>
  <c r="G40" i="93"/>
  <c r="F40" i="93"/>
  <c r="C40" i="93"/>
  <c r="B40" i="93"/>
  <c r="N39" i="93"/>
  <c r="J39" i="93"/>
  <c r="G39" i="93"/>
  <c r="F39" i="93"/>
  <c r="C39" i="93"/>
  <c r="B39" i="93"/>
  <c r="N38" i="93"/>
  <c r="J38" i="93"/>
  <c r="G38" i="93"/>
  <c r="F38" i="93"/>
  <c r="C38" i="93"/>
  <c r="B38" i="93"/>
  <c r="N37" i="93"/>
  <c r="J37" i="93"/>
  <c r="G37" i="93"/>
  <c r="F37" i="93"/>
  <c r="C37" i="93"/>
  <c r="B37" i="93"/>
  <c r="N36" i="93"/>
  <c r="J36" i="93"/>
  <c r="G36" i="93"/>
  <c r="F36" i="93"/>
  <c r="C36" i="93"/>
  <c r="B36" i="93"/>
  <c r="N35" i="93"/>
  <c r="J35" i="93"/>
  <c r="G35" i="93"/>
  <c r="F35" i="93"/>
  <c r="C35" i="93"/>
  <c r="B35" i="93"/>
  <c r="N34" i="93"/>
  <c r="J34" i="93"/>
  <c r="G34" i="93"/>
  <c r="F34" i="93"/>
  <c r="H34" i="93" s="1"/>
  <c r="C34" i="93"/>
  <c r="B34" i="93"/>
  <c r="N33" i="93"/>
  <c r="J33" i="93"/>
  <c r="G33" i="93"/>
  <c r="F33" i="93"/>
  <c r="C33" i="93"/>
  <c r="B33" i="93"/>
  <c r="N32" i="93"/>
  <c r="J32" i="93"/>
  <c r="G32" i="93"/>
  <c r="F32" i="93"/>
  <c r="C32" i="93"/>
  <c r="B32" i="93"/>
  <c r="N31" i="93"/>
  <c r="J31" i="93"/>
  <c r="G31" i="93"/>
  <c r="F31" i="93"/>
  <c r="C31" i="93"/>
  <c r="B31" i="93"/>
  <c r="N30" i="93"/>
  <c r="J30" i="93"/>
  <c r="G30" i="93"/>
  <c r="F30" i="93"/>
  <c r="C30" i="93"/>
  <c r="B30" i="93"/>
  <c r="N29" i="93"/>
  <c r="J29" i="93"/>
  <c r="G29" i="93"/>
  <c r="F29" i="93"/>
  <c r="C29" i="93"/>
  <c r="B29" i="93"/>
  <c r="N28" i="93"/>
  <c r="J28" i="93"/>
  <c r="G28" i="93"/>
  <c r="F28" i="93"/>
  <c r="C28" i="93"/>
  <c r="B28" i="93"/>
  <c r="N27" i="93"/>
  <c r="J27" i="93"/>
  <c r="G27" i="93"/>
  <c r="F27" i="93"/>
  <c r="C27" i="93"/>
  <c r="B27" i="93"/>
  <c r="N26" i="93"/>
  <c r="J26" i="93"/>
  <c r="L26" i="93" s="1"/>
  <c r="G26" i="93"/>
  <c r="F26" i="93"/>
  <c r="C26" i="93"/>
  <c r="B26" i="93"/>
  <c r="N25" i="93"/>
  <c r="J25" i="93"/>
  <c r="G25" i="93"/>
  <c r="F25" i="93"/>
  <c r="C25" i="93"/>
  <c r="B25" i="93"/>
  <c r="N24" i="93"/>
  <c r="J24" i="93"/>
  <c r="G24" i="93"/>
  <c r="F24" i="93"/>
  <c r="C24" i="93"/>
  <c r="B24" i="93"/>
  <c r="N23" i="93"/>
  <c r="J23" i="93"/>
  <c r="G23" i="93"/>
  <c r="F23" i="93"/>
  <c r="C23" i="93"/>
  <c r="B23" i="93"/>
  <c r="N22" i="93"/>
  <c r="J22" i="93"/>
  <c r="G22" i="93"/>
  <c r="F22" i="93"/>
  <c r="C22" i="93"/>
  <c r="B22" i="93"/>
  <c r="N21" i="93"/>
  <c r="J21" i="93"/>
  <c r="G21" i="93"/>
  <c r="F21" i="93"/>
  <c r="C21" i="93"/>
  <c r="B21" i="93"/>
  <c r="N20" i="93"/>
  <c r="J20" i="93"/>
  <c r="G20" i="93"/>
  <c r="F20" i="93"/>
  <c r="C20" i="93"/>
  <c r="B20" i="93"/>
  <c r="N19" i="93"/>
  <c r="J19" i="93"/>
  <c r="G19" i="93"/>
  <c r="F19" i="93"/>
  <c r="F43" i="93" s="1" a="1"/>
  <c r="F43" i="93" s="1"/>
  <c r="C19" i="93"/>
  <c r="B19" i="93"/>
  <c r="N18" i="93"/>
  <c r="J18" i="93"/>
  <c r="G18" i="93"/>
  <c r="F18" i="93"/>
  <c r="C18" i="93"/>
  <c r="B18" i="93"/>
  <c r="N17" i="93"/>
  <c r="J17" i="93"/>
  <c r="G17" i="93"/>
  <c r="F17" i="93"/>
  <c r="C17" i="93"/>
  <c r="B17" i="93"/>
  <c r="N16" i="93"/>
  <c r="J16" i="93"/>
  <c r="G16" i="93"/>
  <c r="F16" i="93"/>
  <c r="C16" i="93"/>
  <c r="B16" i="93"/>
  <c r="N15" i="93"/>
  <c r="J15" i="93"/>
  <c r="G15" i="93"/>
  <c r="F15" i="93"/>
  <c r="C15" i="93"/>
  <c r="B15" i="93"/>
  <c r="N14" i="93"/>
  <c r="J14" i="93"/>
  <c r="G14" i="93"/>
  <c r="F14" i="93"/>
  <c r="C14" i="93"/>
  <c r="B14" i="93"/>
  <c r="N13" i="93"/>
  <c r="J13" i="93"/>
  <c r="G13" i="93"/>
  <c r="F13" i="93"/>
  <c r="C13" i="93"/>
  <c r="B13" i="93"/>
  <c r="N12" i="93"/>
  <c r="J12" i="93"/>
  <c r="G12" i="93"/>
  <c r="F12" i="93"/>
  <c r="C12" i="93"/>
  <c r="B12" i="93"/>
  <c r="N11" i="93"/>
  <c r="J11" i="93"/>
  <c r="G11" i="93"/>
  <c r="F11" i="93"/>
  <c r="C11" i="93"/>
  <c r="B11" i="93"/>
  <c r="N10" i="93"/>
  <c r="J10" i="93"/>
  <c r="G10" i="93"/>
  <c r="F10" i="93"/>
  <c r="C10" i="93"/>
  <c r="B10" i="93"/>
  <c r="N9" i="93"/>
  <c r="J9" i="93"/>
  <c r="G9" i="93"/>
  <c r="F9" i="93"/>
  <c r="C9" i="93"/>
  <c r="B9" i="93"/>
  <c r="N8" i="93"/>
  <c r="J8" i="93"/>
  <c r="G8" i="93"/>
  <c r="F8" i="93"/>
  <c r="C8" i="93"/>
  <c r="B8" i="93"/>
  <c r="N8"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B9" i="90"/>
  <c r="C9" i="90"/>
  <c r="B10" i="90"/>
  <c r="C10" i="90"/>
  <c r="B11" i="90"/>
  <c r="C11" i="90"/>
  <c r="B12" i="90"/>
  <c r="C12" i="90"/>
  <c r="B13" i="90"/>
  <c r="C13" i="90"/>
  <c r="B14" i="90"/>
  <c r="C14" i="90"/>
  <c r="B15" i="90"/>
  <c r="C15" i="90"/>
  <c r="B16" i="90"/>
  <c r="C16" i="90"/>
  <c r="B17" i="90"/>
  <c r="C17" i="90"/>
  <c r="B18" i="90"/>
  <c r="C18" i="90"/>
  <c r="B19" i="90"/>
  <c r="B43" i="90" s="1" a="1"/>
  <c r="B43" i="90" s="1"/>
  <c r="C19" i="90"/>
  <c r="B20" i="90"/>
  <c r="C20" i="90"/>
  <c r="B21" i="90"/>
  <c r="C21" i="90"/>
  <c r="B22" i="90"/>
  <c r="C22" i="90"/>
  <c r="B23" i="90"/>
  <c r="C23" i="90"/>
  <c r="B24" i="90"/>
  <c r="C24" i="90"/>
  <c r="B25" i="90"/>
  <c r="C25" i="90"/>
  <c r="B26" i="90"/>
  <c r="C26" i="90"/>
  <c r="B27" i="90"/>
  <c r="C27" i="90"/>
  <c r="B28" i="90"/>
  <c r="C28" i="90"/>
  <c r="B29" i="90"/>
  <c r="C29" i="90"/>
  <c r="B30" i="90"/>
  <c r="C30" i="90"/>
  <c r="B31" i="90"/>
  <c r="C31" i="90"/>
  <c r="B32" i="90"/>
  <c r="C32" i="90"/>
  <c r="B33" i="90"/>
  <c r="C33" i="90"/>
  <c r="B34" i="90"/>
  <c r="C34" i="90"/>
  <c r="B35" i="90"/>
  <c r="C35" i="90"/>
  <c r="B36" i="90"/>
  <c r="C36" i="90"/>
  <c r="B37" i="90"/>
  <c r="C37" i="90"/>
  <c r="B38" i="90"/>
  <c r="C38" i="90"/>
  <c r="B39" i="90"/>
  <c r="C39" i="90"/>
  <c r="B40" i="90"/>
  <c r="C40" i="90"/>
  <c r="N40" i="90"/>
  <c r="N39" i="90"/>
  <c r="N38" i="90"/>
  <c r="N37" i="90"/>
  <c r="N36" i="90"/>
  <c r="N35" i="90"/>
  <c r="N34" i="90"/>
  <c r="N33" i="90"/>
  <c r="N32" i="90"/>
  <c r="N31" i="90"/>
  <c r="N30" i="90"/>
  <c r="N29" i="90"/>
  <c r="N28" i="90"/>
  <c r="N27" i="90"/>
  <c r="N26" i="90"/>
  <c r="N25" i="90"/>
  <c r="N24" i="90"/>
  <c r="N23" i="90"/>
  <c r="N22" i="90"/>
  <c r="N21" i="90"/>
  <c r="P21" i="90" s="1"/>
  <c r="N20" i="90"/>
  <c r="N19" i="90"/>
  <c r="N18" i="90"/>
  <c r="N17" i="90"/>
  <c r="N16" i="90"/>
  <c r="N15" i="90"/>
  <c r="N14" i="90"/>
  <c r="N13" i="90"/>
  <c r="N12" i="90"/>
  <c r="N11" i="90"/>
  <c r="N10" i="90"/>
  <c r="N9" i="90"/>
  <c r="P9" i="90" s="1"/>
  <c r="J40" i="90"/>
  <c r="J39" i="90"/>
  <c r="J38" i="90"/>
  <c r="J37" i="90"/>
  <c r="J36" i="90"/>
  <c r="J35" i="90"/>
  <c r="J34" i="90"/>
  <c r="J33" i="90"/>
  <c r="J32" i="90"/>
  <c r="J31" i="90"/>
  <c r="J30" i="90"/>
  <c r="J29" i="90"/>
  <c r="J28" i="90"/>
  <c r="J27" i="90"/>
  <c r="J26" i="90"/>
  <c r="J25" i="90"/>
  <c r="J24" i="90"/>
  <c r="J23" i="90"/>
  <c r="J22" i="90"/>
  <c r="J21" i="90"/>
  <c r="J20" i="90"/>
  <c r="J19" i="90"/>
  <c r="J18" i="90"/>
  <c r="J17" i="90"/>
  <c r="J16" i="90"/>
  <c r="J15" i="90"/>
  <c r="J14" i="90"/>
  <c r="J13" i="90"/>
  <c r="J12" i="90"/>
  <c r="J11" i="90"/>
  <c r="J10" i="90"/>
  <c r="J9" i="90"/>
  <c r="J8" i="90"/>
  <c r="F40" i="90"/>
  <c r="F39" i="90"/>
  <c r="F38" i="90"/>
  <c r="F37" i="90"/>
  <c r="F36" i="90"/>
  <c r="F35" i="90"/>
  <c r="F34" i="90"/>
  <c r="F33" i="90"/>
  <c r="F32" i="90"/>
  <c r="F31" i="90"/>
  <c r="F30" i="90"/>
  <c r="F29" i="90"/>
  <c r="F28" i="90"/>
  <c r="F27" i="90"/>
  <c r="F26" i="90"/>
  <c r="F25" i="90"/>
  <c r="F24" i="90"/>
  <c r="F23" i="90"/>
  <c r="F22" i="90"/>
  <c r="F21" i="90"/>
  <c r="F20" i="90"/>
  <c r="F19" i="90"/>
  <c r="F18" i="90"/>
  <c r="F17" i="90"/>
  <c r="F16" i="90"/>
  <c r="F15" i="90"/>
  <c r="F14" i="90"/>
  <c r="F13" i="90"/>
  <c r="F12" i="90"/>
  <c r="F11" i="90"/>
  <c r="F10" i="90"/>
  <c r="F9" i="90"/>
  <c r="F8" i="90"/>
  <c r="B8" i="90"/>
  <c r="P25" i="93" l="1"/>
  <c r="P31" i="93"/>
  <c r="H26" i="93"/>
  <c r="H32" i="93"/>
  <c r="L30" i="93"/>
  <c r="L32" i="93"/>
  <c r="L40" i="93"/>
  <c r="H10" i="93"/>
  <c r="H12" i="93"/>
  <c r="H18" i="93"/>
  <c r="H20" i="93"/>
  <c r="L8" i="93"/>
  <c r="L10" i="93"/>
  <c r="L16" i="93"/>
  <c r="L18" i="93"/>
  <c r="L24" i="93"/>
  <c r="N43" i="93" a="1"/>
  <c r="N43" i="93" s="1"/>
  <c r="P9" i="93"/>
  <c r="P15" i="93"/>
  <c r="P17" i="93"/>
  <c r="P23" i="93"/>
  <c r="L25" i="93"/>
  <c r="P40" i="90"/>
  <c r="P32" i="90"/>
  <c r="P24" i="90"/>
  <c r="P16" i="90"/>
  <c r="H13" i="90"/>
  <c r="H21" i="90"/>
  <c r="H29" i="90"/>
  <c r="H37" i="90"/>
  <c r="L12" i="90"/>
  <c r="L20" i="90"/>
  <c r="L28" i="90"/>
  <c r="L36" i="90"/>
  <c r="H14" i="90"/>
  <c r="H22" i="90"/>
  <c r="H30" i="90"/>
  <c r="H38" i="90"/>
  <c r="L13" i="90"/>
  <c r="L21" i="90"/>
  <c r="L29" i="90"/>
  <c r="L37" i="90"/>
  <c r="P31" i="90"/>
  <c r="P23" i="90"/>
  <c r="P15" i="90"/>
  <c r="H15" i="90"/>
  <c r="H23" i="90"/>
  <c r="H31" i="90"/>
  <c r="L14" i="90"/>
  <c r="L22" i="90"/>
  <c r="L30" i="90"/>
  <c r="L38" i="90"/>
  <c r="P38" i="90"/>
  <c r="P30" i="90"/>
  <c r="P22" i="90"/>
  <c r="P14" i="90"/>
  <c r="H8" i="90"/>
  <c r="H16" i="90"/>
  <c r="H24" i="90"/>
  <c r="H32" i="90"/>
  <c r="H40" i="90"/>
  <c r="L15" i="90"/>
  <c r="L23" i="90"/>
  <c r="L31" i="90"/>
  <c r="P37" i="90"/>
  <c r="P29" i="90"/>
  <c r="P13" i="90"/>
  <c r="H9" i="90"/>
  <c r="H17" i="90"/>
  <c r="H25" i="90"/>
  <c r="H33" i="90"/>
  <c r="L8" i="90"/>
  <c r="L16" i="90"/>
  <c r="L24" i="90"/>
  <c r="L32" i="90"/>
  <c r="L40" i="90"/>
  <c r="P36" i="90"/>
  <c r="P28" i="90"/>
  <c r="P20" i="90"/>
  <c r="P12" i="90"/>
  <c r="H10" i="90"/>
  <c r="H18" i="90"/>
  <c r="H26" i="90"/>
  <c r="H34" i="90"/>
  <c r="L9" i="90"/>
  <c r="L17" i="90"/>
  <c r="L25" i="90"/>
  <c r="L33" i="90"/>
  <c r="P35" i="90"/>
  <c r="P27" i="90"/>
  <c r="P19" i="90"/>
  <c r="P11" i="90"/>
  <c r="H11" i="90"/>
  <c r="H19" i="90"/>
  <c r="H27" i="90"/>
  <c r="H35" i="90"/>
  <c r="L10" i="90"/>
  <c r="L18" i="90"/>
  <c r="L26" i="90"/>
  <c r="L34" i="90"/>
  <c r="P34" i="90"/>
  <c r="P26" i="90"/>
  <c r="P18" i="90"/>
  <c r="P10" i="90"/>
  <c r="H12" i="90"/>
  <c r="H20" i="90"/>
  <c r="H28" i="90"/>
  <c r="H36" i="90"/>
  <c r="L11" i="90"/>
  <c r="L19" i="90"/>
  <c r="L27" i="90"/>
  <c r="L35" i="90"/>
  <c r="P33" i="90"/>
  <c r="P25" i="90"/>
  <c r="P17" i="90"/>
  <c r="H29" i="93"/>
  <c r="H30" i="93"/>
  <c r="K45" i="93" a="1"/>
  <c r="K45" i="93" s="1"/>
  <c r="D11" i="93"/>
  <c r="D12" i="93"/>
  <c r="K44" i="93" a="1"/>
  <c r="K44" i="93" s="1"/>
  <c r="D21" i="93"/>
  <c r="D22" i="93"/>
  <c r="D23" i="93"/>
  <c r="D25" i="93"/>
  <c r="C43" i="93" a="1"/>
  <c r="C43" i="93" s="1"/>
  <c r="L15" i="93"/>
  <c r="L17" i="93"/>
  <c r="D31" i="93"/>
  <c r="D32" i="93"/>
  <c r="D33" i="93"/>
  <c r="D34" i="93"/>
  <c r="L29" i="93"/>
  <c r="L33" i="93"/>
  <c r="O43" i="93" a="1"/>
  <c r="O43" i="93" s="1"/>
  <c r="P20" i="93"/>
  <c r="P22" i="93"/>
  <c r="C43" i="90" a="1"/>
  <c r="C43" i="90" s="1"/>
  <c r="D43" i="90" s="1"/>
  <c r="H17" i="93"/>
  <c r="P24" i="93"/>
  <c r="K46" i="93" a="1"/>
  <c r="K46" i="93" s="1"/>
  <c r="H37" i="93"/>
  <c r="H38" i="93"/>
  <c r="D9" i="93"/>
  <c r="L12" i="93"/>
  <c r="L13" i="93"/>
  <c r="L14" i="93"/>
  <c r="H22" i="93"/>
  <c r="H23" i="93"/>
  <c r="L34" i="93"/>
  <c r="L35" i="93"/>
  <c r="L36" i="93"/>
  <c r="L37" i="93"/>
  <c r="L38" i="93"/>
  <c r="L39" i="93"/>
  <c r="H9" i="93"/>
  <c r="P12" i="93"/>
  <c r="P13" i="93"/>
  <c r="P14" i="93"/>
  <c r="D29" i="93"/>
  <c r="D30" i="93"/>
  <c r="P32" i="93"/>
  <c r="P33" i="93"/>
  <c r="C44" i="93" a="1"/>
  <c r="C44" i="93" s="1"/>
  <c r="C46" i="93" a="1"/>
  <c r="C46" i="93" s="1"/>
  <c r="G41" i="93"/>
  <c r="H40" i="93"/>
  <c r="H8" i="93"/>
  <c r="D10" i="93"/>
  <c r="P10" i="93"/>
  <c r="P11" i="93"/>
  <c r="D19" i="93"/>
  <c r="D20" i="93"/>
  <c r="O45" i="93" a="1"/>
  <c r="O45" i="93" s="1"/>
  <c r="G44" i="93" a="1"/>
  <c r="G44" i="93" s="1"/>
  <c r="G46" i="93" a="1"/>
  <c r="G46" i="93" s="1"/>
  <c r="K41" i="93"/>
  <c r="C45" i="93" a="1"/>
  <c r="C45" i="93" s="1"/>
  <c r="D24" i="93"/>
  <c r="H28" i="93"/>
  <c r="H31" i="93"/>
  <c r="P34" i="93"/>
  <c r="P35" i="93"/>
  <c r="P36" i="93"/>
  <c r="P37" i="93"/>
  <c r="P38" i="93"/>
  <c r="L9" i="93"/>
  <c r="D13" i="93"/>
  <c r="D14" i="93"/>
  <c r="D15" i="93"/>
  <c r="P16" i="93"/>
  <c r="G43" i="93" a="1"/>
  <c r="G43" i="93" s="1"/>
  <c r="H43" i="93" s="1"/>
  <c r="O41" i="93"/>
  <c r="H11" i="93"/>
  <c r="D16" i="93"/>
  <c r="L19" i="93"/>
  <c r="G45" i="93" a="1"/>
  <c r="G45" i="93" s="1"/>
  <c r="H24" i="93"/>
  <c r="D26" i="93"/>
  <c r="P26" i="93"/>
  <c r="L31" i="93"/>
  <c r="D35" i="93"/>
  <c r="D36" i="93"/>
  <c r="D37" i="93"/>
  <c r="D38" i="93"/>
  <c r="D39" i="93"/>
  <c r="P39" i="93"/>
  <c r="P40" i="93"/>
  <c r="G41" i="90"/>
  <c r="P8" i="93"/>
  <c r="H13" i="93"/>
  <c r="H14" i="93"/>
  <c r="H15" i="93"/>
  <c r="D17" i="93"/>
  <c r="K43" i="93" a="1"/>
  <c r="K43" i="93" s="1"/>
  <c r="L20" i="93"/>
  <c r="L21" i="93"/>
  <c r="L22" i="93"/>
  <c r="L23" i="93"/>
  <c r="H25" i="93"/>
  <c r="O44" i="93" a="1"/>
  <c r="O44" i="93" s="1"/>
  <c r="P29" i="93"/>
  <c r="H33" i="93"/>
  <c r="C41" i="93"/>
  <c r="D40" i="93"/>
  <c r="K41" i="90"/>
  <c r="D8" i="93"/>
  <c r="L11" i="93"/>
  <c r="H16" i="93"/>
  <c r="D18" i="93"/>
  <c r="P18" i="93"/>
  <c r="D27" i="93"/>
  <c r="O46" i="93" a="1"/>
  <c r="O46" i="93" s="1"/>
  <c r="P30" i="93"/>
  <c r="H35" i="93"/>
  <c r="H36" i="93"/>
  <c r="P39" i="53"/>
  <c r="P37" i="53"/>
  <c r="P38" i="53"/>
  <c r="O40" i="53"/>
  <c r="P40" i="53" s="1"/>
  <c r="N3" i="49" a="1"/>
  <c r="N3" i="49" s="1"/>
  <c r="P3" i="49" s="1"/>
  <c r="H3" i="49"/>
  <c r="H39" i="51"/>
  <c r="L3" i="51"/>
  <c r="H38" i="51"/>
  <c r="L38" i="51"/>
  <c r="D38" i="51"/>
  <c r="L37" i="51"/>
  <c r="D39" i="51"/>
  <c r="D40" i="51"/>
  <c r="D37" i="51"/>
  <c r="H40" i="51"/>
  <c r="H3" i="51"/>
  <c r="H37" i="51"/>
  <c r="F46" i="93" a="1"/>
  <c r="F46" i="93" s="1"/>
  <c r="F44" i="93" a="1"/>
  <c r="F44" i="93" s="1"/>
  <c r="P19" i="93"/>
  <c r="J44" i="93" a="1"/>
  <c r="J44" i="93" s="1"/>
  <c r="F41" i="93"/>
  <c r="N45" i="93" a="1"/>
  <c r="N45" i="93" s="1"/>
  <c r="N44" i="93" a="1"/>
  <c r="N44" i="93" s="1"/>
  <c r="P21" i="93"/>
  <c r="J46" i="93" a="1"/>
  <c r="J46" i="93" s="1"/>
  <c r="P27" i="93"/>
  <c r="L28" i="93"/>
  <c r="N41" i="93"/>
  <c r="F45" i="93" a="1"/>
  <c r="F45" i="93" s="1"/>
  <c r="B46" i="93" a="1"/>
  <c r="B46" i="93" s="1"/>
  <c r="N46" i="93" a="1"/>
  <c r="N46" i="93" s="1"/>
  <c r="H19" i="93"/>
  <c r="H21" i="93"/>
  <c r="H27" i="93"/>
  <c r="H39" i="93"/>
  <c r="B45" i="93" a="1"/>
  <c r="B45" i="93" s="1"/>
  <c r="D28" i="93"/>
  <c r="J43" i="93" a="1"/>
  <c r="J43" i="93" s="1"/>
  <c r="J45" i="93" a="1"/>
  <c r="J45" i="93" s="1"/>
  <c r="P28" i="93"/>
  <c r="B43" i="93" a="1"/>
  <c r="B43" i="93" s="1"/>
  <c r="J41" i="93"/>
  <c r="L41" i="93" s="1"/>
  <c r="L27" i="93"/>
  <c r="B41" i="93"/>
  <c r="B44" i="93" a="1"/>
  <c r="B44" i="93" s="1"/>
  <c r="P8" i="90"/>
  <c r="P39" i="90"/>
  <c r="L39" i="90"/>
  <c r="H39" i="90"/>
  <c r="O9" i="115"/>
  <c r="K93" i="115"/>
  <c r="J93" i="115"/>
  <c r="I93" i="115"/>
  <c r="D93" i="115"/>
  <c r="N48" i="115" s="1"/>
  <c r="C93" i="115"/>
  <c r="B93" i="115"/>
  <c r="J42" i="114"/>
  <c r="N43" i="114"/>
  <c r="P43" i="114" s="1"/>
  <c r="N42" i="114"/>
  <c r="N43" i="59"/>
  <c r="K43" i="59"/>
  <c r="J43" i="59"/>
  <c r="G43" i="59"/>
  <c r="F43" i="59"/>
  <c r="C43" i="59"/>
  <c r="B43" i="59"/>
  <c r="N42" i="59"/>
  <c r="J42" i="59"/>
  <c r="G42" i="59"/>
  <c r="F42" i="59"/>
  <c r="C42" i="59"/>
  <c r="B42" i="59"/>
  <c r="P42" i="56"/>
  <c r="L42" i="56"/>
  <c r="H42" i="56"/>
  <c r="D42" i="56"/>
  <c r="P41" i="56"/>
  <c r="L41" i="56"/>
  <c r="H41" i="56"/>
  <c r="D41" i="56"/>
  <c r="P40" i="56"/>
  <c r="L40" i="56"/>
  <c r="H40" i="56"/>
  <c r="D40" i="56"/>
  <c r="P39" i="56"/>
  <c r="L39" i="56"/>
  <c r="H39" i="56"/>
  <c r="D39" i="56"/>
  <c r="P38" i="56"/>
  <c r="L38" i="56"/>
  <c r="H38" i="56"/>
  <c r="D38" i="56"/>
  <c r="P37" i="56"/>
  <c r="L37" i="56"/>
  <c r="H37" i="56"/>
  <c r="D37" i="56"/>
  <c r="P36" i="56"/>
  <c r="L36" i="56"/>
  <c r="H36" i="56"/>
  <c r="D36" i="56"/>
  <c r="P35" i="56"/>
  <c r="L35" i="56"/>
  <c r="H35" i="56"/>
  <c r="D35" i="56"/>
  <c r="P34" i="56"/>
  <c r="L34" i="56"/>
  <c r="H34" i="56"/>
  <c r="D34" i="56"/>
  <c r="P33" i="56"/>
  <c r="L33" i="56"/>
  <c r="H33" i="56"/>
  <c r="D33" i="56"/>
  <c r="P32" i="56"/>
  <c r="P46" i="56" s="1" a="1"/>
  <c r="P46" i="56" s="1"/>
  <c r="L32" i="56"/>
  <c r="H32" i="56"/>
  <c r="H46" i="56" s="1" a="1"/>
  <c r="H46" i="56" s="1"/>
  <c r="D32" i="56"/>
  <c r="P31" i="56"/>
  <c r="L31" i="56"/>
  <c r="H31" i="56"/>
  <c r="D31" i="56"/>
  <c r="P30" i="56"/>
  <c r="L30" i="56"/>
  <c r="H30" i="56"/>
  <c r="H48" i="56" s="1" a="1"/>
  <c r="H48" i="56" s="1"/>
  <c r="D30" i="56"/>
  <c r="P29" i="56"/>
  <c r="L29" i="56"/>
  <c r="H29" i="56"/>
  <c r="D29" i="56"/>
  <c r="P28" i="56"/>
  <c r="P45" i="56" s="1" a="1"/>
  <c r="P45" i="56" s="1"/>
  <c r="L28" i="56"/>
  <c r="L45" i="56" s="1" a="1"/>
  <c r="L45" i="56" s="1"/>
  <c r="H28" i="56"/>
  <c r="H45" i="56" s="1" a="1"/>
  <c r="H45" i="56" s="1"/>
  <c r="D28" i="56"/>
  <c r="P27" i="56"/>
  <c r="L27" i="56"/>
  <c r="H27" i="56"/>
  <c r="D27" i="56"/>
  <c r="P26" i="56"/>
  <c r="L26" i="56"/>
  <c r="H26" i="56"/>
  <c r="D26" i="56"/>
  <c r="P25" i="56"/>
  <c r="L25" i="56"/>
  <c r="H25" i="56"/>
  <c r="D25" i="56"/>
  <c r="P24" i="56"/>
  <c r="L24" i="56"/>
  <c r="H24" i="56"/>
  <c r="D24" i="56"/>
  <c r="P23" i="56"/>
  <c r="L23" i="56"/>
  <c r="H23" i="56"/>
  <c r="D23" i="56"/>
  <c r="P22" i="56"/>
  <c r="L22" i="56"/>
  <c r="H22" i="56"/>
  <c r="D22" i="56"/>
  <c r="P21" i="56"/>
  <c r="L21" i="56"/>
  <c r="H21" i="56"/>
  <c r="D21" i="56"/>
  <c r="P20" i="56"/>
  <c r="L20" i="56"/>
  <c r="H20" i="56"/>
  <c r="D20" i="56"/>
  <c r="P19" i="56"/>
  <c r="L19" i="56"/>
  <c r="H19" i="56"/>
  <c r="D19" i="56"/>
  <c r="P18" i="56"/>
  <c r="L18" i="56"/>
  <c r="L43" i="56" s="1"/>
  <c r="H18" i="56"/>
  <c r="H43" i="56" s="1"/>
  <c r="D18" i="56"/>
  <c r="D43" i="56" s="1"/>
  <c r="P17" i="56"/>
  <c r="L17" i="56"/>
  <c r="H17" i="56"/>
  <c r="D17" i="56"/>
  <c r="P16" i="56"/>
  <c r="L16" i="56"/>
  <c r="H16" i="56"/>
  <c r="D16" i="56"/>
  <c r="P15" i="56"/>
  <c r="L15" i="56"/>
  <c r="H15" i="56"/>
  <c r="D15" i="56"/>
  <c r="P14" i="56"/>
  <c r="L14" i="56"/>
  <c r="H14" i="56"/>
  <c r="D14" i="56"/>
  <c r="D47" i="56" s="1" a="1"/>
  <c r="D47" i="56" s="1"/>
  <c r="P13" i="56"/>
  <c r="L13" i="56"/>
  <c r="H13" i="56"/>
  <c r="D13" i="56"/>
  <c r="P12" i="56"/>
  <c r="L12" i="56"/>
  <c r="H12" i="56"/>
  <c r="D12" i="56"/>
  <c r="P11" i="56"/>
  <c r="P47" i="56" s="1" a="1"/>
  <c r="P47" i="56" s="1"/>
  <c r="L11" i="56"/>
  <c r="L47" i="56" s="1" a="1"/>
  <c r="L47" i="56" s="1"/>
  <c r="H11" i="56"/>
  <c r="D11" i="56"/>
  <c r="P10" i="56"/>
  <c r="L10" i="56"/>
  <c r="H10" i="56"/>
  <c r="D10" i="56"/>
  <c r="P9" i="56"/>
  <c r="L9" i="56"/>
  <c r="H9" i="56"/>
  <c r="D9" i="56"/>
  <c r="L43" i="24"/>
  <c r="D10" i="24"/>
  <c r="H10" i="24"/>
  <c r="L10" i="24"/>
  <c r="P10" i="24"/>
  <c r="D11" i="24"/>
  <c r="H11" i="24"/>
  <c r="L11" i="24"/>
  <c r="P11" i="24"/>
  <c r="D12" i="24"/>
  <c r="H12" i="24"/>
  <c r="L12" i="24"/>
  <c r="P12" i="24"/>
  <c r="D13" i="24"/>
  <c r="H13" i="24"/>
  <c r="L13" i="24"/>
  <c r="P13" i="24"/>
  <c r="D14" i="24"/>
  <c r="H14" i="24"/>
  <c r="L14" i="24"/>
  <c r="P14" i="24"/>
  <c r="D15" i="24"/>
  <c r="H15" i="24"/>
  <c r="L15" i="24"/>
  <c r="P15" i="24"/>
  <c r="D16" i="24"/>
  <c r="H16" i="24"/>
  <c r="L16" i="24"/>
  <c r="P16" i="24"/>
  <c r="D17" i="24"/>
  <c r="H17" i="24"/>
  <c r="L17" i="24"/>
  <c r="P17" i="24"/>
  <c r="D18" i="24"/>
  <c r="H18" i="24"/>
  <c r="L18" i="24"/>
  <c r="P18" i="24"/>
  <c r="D19" i="24"/>
  <c r="H19" i="24"/>
  <c r="L19" i="24"/>
  <c r="P19" i="24"/>
  <c r="D20" i="24"/>
  <c r="H20" i="24"/>
  <c r="L20" i="24"/>
  <c r="P20" i="24"/>
  <c r="D21" i="24"/>
  <c r="H21" i="24"/>
  <c r="L21" i="24"/>
  <c r="P21" i="24"/>
  <c r="D22" i="24"/>
  <c r="H22" i="24"/>
  <c r="L22" i="24"/>
  <c r="P22" i="24"/>
  <c r="D23" i="24"/>
  <c r="H23" i="24"/>
  <c r="L23" i="24"/>
  <c r="P23" i="24"/>
  <c r="D24" i="24"/>
  <c r="H24" i="24"/>
  <c r="L24" i="24"/>
  <c r="P24" i="24"/>
  <c r="D25" i="24"/>
  <c r="H25" i="24"/>
  <c r="L25" i="24"/>
  <c r="P25" i="24"/>
  <c r="D26" i="24"/>
  <c r="H26" i="24"/>
  <c r="L26" i="24"/>
  <c r="P26" i="24"/>
  <c r="D27" i="24"/>
  <c r="H27" i="24"/>
  <c r="L27" i="24"/>
  <c r="P27" i="24"/>
  <c r="D28" i="24"/>
  <c r="H28" i="24"/>
  <c r="L28" i="24"/>
  <c r="P28" i="24"/>
  <c r="D29" i="24"/>
  <c r="H29" i="24"/>
  <c r="L29" i="24"/>
  <c r="P29" i="24"/>
  <c r="D30" i="24"/>
  <c r="H30" i="24"/>
  <c r="L30" i="24"/>
  <c r="P30" i="24"/>
  <c r="D31" i="24"/>
  <c r="H31" i="24"/>
  <c r="L31" i="24"/>
  <c r="P31" i="24"/>
  <c r="D32" i="24"/>
  <c r="H32" i="24"/>
  <c r="L32" i="24"/>
  <c r="P32" i="24"/>
  <c r="D33" i="24"/>
  <c r="H33" i="24"/>
  <c r="L33" i="24"/>
  <c r="P33" i="24"/>
  <c r="D34" i="24"/>
  <c r="H34" i="24"/>
  <c r="L34" i="24"/>
  <c r="P34" i="24"/>
  <c r="D35" i="24"/>
  <c r="H35" i="24"/>
  <c r="L35" i="24"/>
  <c r="P35" i="24"/>
  <c r="D36" i="24"/>
  <c r="H36" i="24"/>
  <c r="L36" i="24"/>
  <c r="P36" i="24"/>
  <c r="D37" i="24"/>
  <c r="H37" i="24"/>
  <c r="L37" i="24"/>
  <c r="P37" i="24"/>
  <c r="D38" i="24"/>
  <c r="H38" i="24"/>
  <c r="L38" i="24"/>
  <c r="P38" i="24"/>
  <c r="D39" i="24"/>
  <c r="H39" i="24"/>
  <c r="L39" i="24"/>
  <c r="P39" i="24"/>
  <c r="D40" i="24"/>
  <c r="H40" i="24"/>
  <c r="L40" i="24"/>
  <c r="P40" i="24"/>
  <c r="D41" i="24"/>
  <c r="H41" i="24"/>
  <c r="L41" i="24"/>
  <c r="P41" i="24"/>
  <c r="D42" i="24"/>
  <c r="H42" i="24"/>
  <c r="L42" i="24"/>
  <c r="P42" i="24"/>
  <c r="P9" i="24"/>
  <c r="L9" i="24"/>
  <c r="H9" i="24"/>
  <c r="D9" i="24"/>
  <c r="G20" i="38"/>
  <c r="F20" i="38"/>
  <c r="E20" i="38"/>
  <c r="D20" i="38"/>
  <c r="G19" i="38"/>
  <c r="F19" i="38"/>
  <c r="E19" i="38"/>
  <c r="D19" i="38"/>
  <c r="I19" i="38" s="1"/>
  <c r="G18" i="38"/>
  <c r="F18" i="38"/>
  <c r="E18" i="38"/>
  <c r="D18" i="38"/>
  <c r="G17" i="38"/>
  <c r="F17" i="38"/>
  <c r="E17" i="38"/>
  <c r="D17" i="38"/>
  <c r="I17" i="38" s="1"/>
  <c r="C16" i="38"/>
  <c r="G16" i="38" s="1"/>
  <c r="G14" i="38"/>
  <c r="F14" i="38"/>
  <c r="E14" i="38"/>
  <c r="D14" i="38"/>
  <c r="G13" i="38"/>
  <c r="F13" i="38"/>
  <c r="E13" i="38"/>
  <c r="D13" i="38"/>
  <c r="G12" i="38"/>
  <c r="F12" i="38"/>
  <c r="E12" i="38"/>
  <c r="D12" i="38"/>
  <c r="G11" i="38"/>
  <c r="F11" i="38"/>
  <c r="E11" i="38"/>
  <c r="D11" i="38"/>
  <c r="I11" i="38" s="1"/>
  <c r="G10" i="38"/>
  <c r="I10" i="38" s="1"/>
  <c r="F10" i="38"/>
  <c r="E10" i="38"/>
  <c r="D10" i="38"/>
  <c r="G9" i="38"/>
  <c r="F9" i="38"/>
  <c r="E9" i="38"/>
  <c r="D9" i="38"/>
  <c r="G8" i="38"/>
  <c r="F8" i="38"/>
  <c r="E8" i="38"/>
  <c r="D8" i="38"/>
  <c r="G7" i="38"/>
  <c r="F7" i="38"/>
  <c r="E7" i="38"/>
  <c r="D7" i="38"/>
  <c r="H7" i="38" s="1"/>
  <c r="I20" i="38"/>
  <c r="I18" i="38"/>
  <c r="H14" i="38"/>
  <c r="I14" i="38"/>
  <c r="H13" i="38"/>
  <c r="I13" i="38"/>
  <c r="H12" i="38"/>
  <c r="I12" i="38"/>
  <c r="H11" i="38"/>
  <c r="H10" i="38"/>
  <c r="H9" i="38"/>
  <c r="I9" i="38"/>
  <c r="H8" i="38"/>
  <c r="I8" i="38"/>
  <c r="D7" i="37"/>
  <c r="F38" i="36"/>
  <c r="E38" i="36"/>
  <c r="D38" i="36"/>
  <c r="C38" i="36"/>
  <c r="B38" i="36"/>
  <c r="F37" i="36"/>
  <c r="E37" i="36"/>
  <c r="D37" i="36"/>
  <c r="C37" i="36"/>
  <c r="B37" i="36"/>
  <c r="F34" i="36"/>
  <c r="E34" i="36"/>
  <c r="D34" i="36"/>
  <c r="C34" i="36"/>
  <c r="B34" i="36"/>
  <c r="F33" i="36"/>
  <c r="F36" i="36" s="1"/>
  <c r="E33" i="36"/>
  <c r="E36" i="36" s="1"/>
  <c r="D33" i="36"/>
  <c r="D36" i="36" s="1"/>
  <c r="C33" i="36"/>
  <c r="C36" i="36" s="1"/>
  <c r="B33" i="36"/>
  <c r="F32" i="36"/>
  <c r="E32" i="36"/>
  <c r="D32" i="36"/>
  <c r="C32" i="36"/>
  <c r="B32" i="36"/>
  <c r="B40" i="36" s="1" a="1"/>
  <c r="B40" i="36" s="1"/>
  <c r="F31" i="36"/>
  <c r="E31" i="36"/>
  <c r="D31" i="36"/>
  <c r="C31" i="36"/>
  <c r="B31" i="36"/>
  <c r="F30" i="36"/>
  <c r="E30" i="36"/>
  <c r="D30" i="36"/>
  <c r="C30" i="36"/>
  <c r="B30" i="36"/>
  <c r="F29" i="36"/>
  <c r="E29" i="36"/>
  <c r="D29" i="36"/>
  <c r="C29" i="36"/>
  <c r="B29" i="36"/>
  <c r="F28" i="36"/>
  <c r="E28" i="36"/>
  <c r="D28" i="36"/>
  <c r="C28" i="36"/>
  <c r="B28" i="36"/>
  <c r="F27" i="36"/>
  <c r="E27" i="36"/>
  <c r="D27" i="36"/>
  <c r="C27" i="36"/>
  <c r="B27" i="36"/>
  <c r="B36" i="36" s="1"/>
  <c r="F26" i="36"/>
  <c r="F40" i="36" s="1" a="1"/>
  <c r="F40" i="36" s="1"/>
  <c r="E26" i="36"/>
  <c r="D26" i="36"/>
  <c r="D40" i="36" s="1" a="1"/>
  <c r="D40" i="36" s="1"/>
  <c r="C26" i="36"/>
  <c r="C40" i="36" s="1" a="1"/>
  <c r="C40" i="36" s="1"/>
  <c r="B26" i="36"/>
  <c r="F25" i="36"/>
  <c r="E25" i="36"/>
  <c r="D25" i="36"/>
  <c r="C25" i="36"/>
  <c r="B25" i="36"/>
  <c r="F24" i="36"/>
  <c r="F42" i="36" s="1" a="1"/>
  <c r="F42" i="36" s="1"/>
  <c r="E24" i="36"/>
  <c r="E42" i="36" s="1" a="1"/>
  <c r="E42" i="36" s="1"/>
  <c r="D24" i="36"/>
  <c r="C24" i="36"/>
  <c r="B24" i="36"/>
  <c r="B42" i="36" s="1" a="1"/>
  <c r="B42" i="36" s="1"/>
  <c r="F23" i="36"/>
  <c r="E23" i="36"/>
  <c r="E40" i="36" s="1" a="1"/>
  <c r="E40" i="36" s="1"/>
  <c r="D23" i="36"/>
  <c r="C23" i="36"/>
  <c r="B23" i="36"/>
  <c r="F22" i="36"/>
  <c r="E22" i="36"/>
  <c r="E39" i="36" s="1" a="1"/>
  <c r="E39" i="36" s="1"/>
  <c r="D22" i="36"/>
  <c r="D39" i="36" s="1" a="1"/>
  <c r="D39" i="36" s="1"/>
  <c r="C22" i="36"/>
  <c r="C39" i="36" s="1" a="1"/>
  <c r="C39" i="36" s="1"/>
  <c r="B22" i="36"/>
  <c r="B39" i="36" s="1" a="1"/>
  <c r="B39" i="36" s="1"/>
  <c r="F21" i="36"/>
  <c r="E21" i="36"/>
  <c r="D21" i="36"/>
  <c r="C21" i="36"/>
  <c r="B21" i="36"/>
  <c r="F20" i="36"/>
  <c r="E20" i="36"/>
  <c r="E41" i="36" s="1" a="1"/>
  <c r="E41" i="36" s="1"/>
  <c r="D20" i="36"/>
  <c r="D41" i="36" s="1" a="1"/>
  <c r="D41" i="36" s="1"/>
  <c r="C20" i="36"/>
  <c r="B20" i="36"/>
  <c r="F19" i="36"/>
  <c r="E19" i="36"/>
  <c r="D19" i="36"/>
  <c r="C19" i="36"/>
  <c r="B19" i="36"/>
  <c r="F18" i="36"/>
  <c r="F39" i="36" s="1" a="1"/>
  <c r="F39" i="36" s="1"/>
  <c r="E18" i="36"/>
  <c r="D18" i="36"/>
  <c r="C18" i="36"/>
  <c r="B18" i="36"/>
  <c r="F17" i="36"/>
  <c r="E17" i="36"/>
  <c r="D17" i="36"/>
  <c r="C17" i="36"/>
  <c r="B17" i="36"/>
  <c r="F16" i="36"/>
  <c r="E16" i="36"/>
  <c r="D16" i="36"/>
  <c r="C16" i="36"/>
  <c r="B16" i="36"/>
  <c r="F15" i="36"/>
  <c r="E15" i="36"/>
  <c r="D15" i="36"/>
  <c r="C15" i="36"/>
  <c r="B15" i="36"/>
  <c r="F14" i="36"/>
  <c r="E14" i="36"/>
  <c r="D14" i="36"/>
  <c r="C14" i="36"/>
  <c r="B14" i="36"/>
  <c r="F13" i="36"/>
  <c r="E13" i="36"/>
  <c r="D13" i="36"/>
  <c r="C13" i="36"/>
  <c r="B13" i="36"/>
  <c r="F12" i="36"/>
  <c r="E12" i="36"/>
  <c r="D12" i="36"/>
  <c r="D42" i="36" s="1" a="1"/>
  <c r="D42" i="36" s="1"/>
  <c r="C12" i="36"/>
  <c r="B12" i="36"/>
  <c r="F11" i="36"/>
  <c r="E11" i="36"/>
  <c r="D11" i="36"/>
  <c r="C11" i="36"/>
  <c r="B11" i="36"/>
  <c r="F10" i="36"/>
  <c r="E10" i="36"/>
  <c r="D10" i="36"/>
  <c r="C10" i="36"/>
  <c r="B10" i="36"/>
  <c r="F9" i="36"/>
  <c r="E9" i="36"/>
  <c r="D9" i="36"/>
  <c r="C9" i="36"/>
  <c r="B9" i="36"/>
  <c r="F8" i="36"/>
  <c r="E8" i="36"/>
  <c r="D8" i="36"/>
  <c r="C8" i="36"/>
  <c r="B8" i="36"/>
  <c r="F7" i="36"/>
  <c r="E7" i="36"/>
  <c r="D7" i="36"/>
  <c r="C7" i="36"/>
  <c r="B7" i="36"/>
  <c r="F6" i="36"/>
  <c r="E6" i="36"/>
  <c r="D6" i="36"/>
  <c r="C6" i="36"/>
  <c r="B6" i="36"/>
  <c r="F5" i="36"/>
  <c r="F41" i="36" s="1" a="1"/>
  <c r="F41" i="36" s="1"/>
  <c r="E5" i="36"/>
  <c r="D5" i="36"/>
  <c r="C5" i="36"/>
  <c r="C41" i="36" s="1" a="1"/>
  <c r="C41" i="36" s="1"/>
  <c r="B5" i="36"/>
  <c r="B41" i="36" s="1" a="1"/>
  <c r="B41" i="36" s="1"/>
  <c r="F4" i="36"/>
  <c r="E4" i="36"/>
  <c r="D4" i="36"/>
  <c r="C4" i="36"/>
  <c r="B4" i="36"/>
  <c r="F3" i="36"/>
  <c r="E3" i="36"/>
  <c r="D3" i="36"/>
  <c r="C3" i="36"/>
  <c r="B3" i="36"/>
  <c r="J46" i="36"/>
  <c r="J47" i="36"/>
  <c r="J48" i="36"/>
  <c r="J49" i="36"/>
  <c r="J50" i="36"/>
  <c r="J51" i="36"/>
  <c r="J52" i="36"/>
  <c r="J53" i="36"/>
  <c r="J54" i="36"/>
  <c r="J55" i="36"/>
  <c r="J56" i="36"/>
  <c r="J57" i="36"/>
  <c r="J58" i="36"/>
  <c r="J59" i="36"/>
  <c r="J60" i="36"/>
  <c r="J61" i="36"/>
  <c r="J62" i="36"/>
  <c r="J63" i="36"/>
  <c r="J64" i="36"/>
  <c r="J65" i="36"/>
  <c r="J66" i="36"/>
  <c r="J67" i="36"/>
  <c r="J68" i="36"/>
  <c r="J69" i="36"/>
  <c r="J70" i="36"/>
  <c r="J71" i="36"/>
  <c r="J72" i="36"/>
  <c r="J73" i="36"/>
  <c r="J74" i="36"/>
  <c r="J75" i="36"/>
  <c r="J76" i="36"/>
  <c r="J77" i="36"/>
  <c r="J78" i="36"/>
  <c r="J79" i="36"/>
  <c r="J80" i="36"/>
  <c r="J81" i="36"/>
  <c r="J82" i="36"/>
  <c r="J83" i="36"/>
  <c r="J84" i="36"/>
  <c r="J85" i="36"/>
  <c r="J86" i="36"/>
  <c r="J87" i="36"/>
  <c r="J88" i="36"/>
  <c r="J89" i="36"/>
  <c r="J90" i="36"/>
  <c r="J91" i="36"/>
  <c r="J92" i="36"/>
  <c r="J93" i="36"/>
  <c r="J94" i="36"/>
  <c r="J95" i="36"/>
  <c r="J96" i="36"/>
  <c r="J97" i="36"/>
  <c r="J98" i="36"/>
  <c r="J99" i="36"/>
  <c r="J100" i="36"/>
  <c r="J101" i="36"/>
  <c r="J102" i="36"/>
  <c r="J103" i="36"/>
  <c r="J104" i="36"/>
  <c r="J105" i="36"/>
  <c r="J106" i="36"/>
  <c r="J107" i="36"/>
  <c r="J108" i="36"/>
  <c r="J109" i="36"/>
  <c r="J110" i="36"/>
  <c r="J111" i="36"/>
  <c r="J112" i="36"/>
  <c r="J113" i="36"/>
  <c r="J114" i="36"/>
  <c r="J115" i="36"/>
  <c r="J116" i="36"/>
  <c r="J117" i="36"/>
  <c r="J118" i="36"/>
  <c r="J119" i="36"/>
  <c r="J120" i="36"/>
  <c r="J121" i="36"/>
  <c r="J122" i="36"/>
  <c r="J123" i="36"/>
  <c r="J124" i="36"/>
  <c r="J125" i="36"/>
  <c r="J126" i="36"/>
  <c r="J127" i="36"/>
  <c r="J128" i="36"/>
  <c r="J129" i="36"/>
  <c r="J130" i="36"/>
  <c r="J131" i="36"/>
  <c r="J132" i="36"/>
  <c r="J133" i="36"/>
  <c r="J134" i="36"/>
  <c r="J135" i="36"/>
  <c r="J136" i="36"/>
  <c r="J137" i="36"/>
  <c r="J138" i="36"/>
  <c r="J139" i="36"/>
  <c r="J140" i="36"/>
  <c r="J141" i="36"/>
  <c r="J142" i="36"/>
  <c r="J143" i="36"/>
  <c r="J144" i="36"/>
  <c r="J145" i="36"/>
  <c r="J146" i="36"/>
  <c r="J147" i="36"/>
  <c r="J148" i="36"/>
  <c r="J149" i="36"/>
  <c r="J150" i="36"/>
  <c r="J151" i="36"/>
  <c r="J152" i="36"/>
  <c r="J153" i="36"/>
  <c r="J154" i="36"/>
  <c r="J155" i="36"/>
  <c r="J156" i="36"/>
  <c r="J157" i="36"/>
  <c r="J158" i="36"/>
  <c r="J159" i="36"/>
  <c r="J160" i="36"/>
  <c r="J161" i="36"/>
  <c r="J162" i="36"/>
  <c r="J163" i="36"/>
  <c r="J164" i="36"/>
  <c r="J165" i="36"/>
  <c r="J166" i="36"/>
  <c r="J167" i="36"/>
  <c r="J168" i="36"/>
  <c r="J169" i="36"/>
  <c r="J170" i="36"/>
  <c r="J171" i="36"/>
  <c r="J172" i="36"/>
  <c r="J173" i="36"/>
  <c r="J174" i="36"/>
  <c r="J175" i="36"/>
  <c r="J176" i="36"/>
  <c r="J177" i="36"/>
  <c r="J178" i="36"/>
  <c r="J179" i="36"/>
  <c r="J180" i="36"/>
  <c r="J181" i="36"/>
  <c r="J182" i="36"/>
  <c r="J183" i="36"/>
  <c r="J184" i="36"/>
  <c r="J185" i="36"/>
  <c r="J186" i="36"/>
  <c r="J187" i="36"/>
  <c r="J188" i="36"/>
  <c r="J189" i="36"/>
  <c r="J190" i="36"/>
  <c r="J191" i="36"/>
  <c r="J192" i="36"/>
  <c r="J193" i="36"/>
  <c r="J194" i="36"/>
  <c r="J195" i="36"/>
  <c r="J196" i="36"/>
  <c r="J197" i="36"/>
  <c r="J198" i="36"/>
  <c r="J199" i="36"/>
  <c r="J200" i="36"/>
  <c r="J201" i="36"/>
  <c r="J202" i="36"/>
  <c r="J203" i="36"/>
  <c r="J204" i="36"/>
  <c r="J205" i="36"/>
  <c r="J206" i="36"/>
  <c r="J207" i="36"/>
  <c r="J208" i="36"/>
  <c r="J209" i="36"/>
  <c r="J210" i="36"/>
  <c r="J211" i="36"/>
  <c r="J212" i="36"/>
  <c r="J213" i="36"/>
  <c r="J214" i="36"/>
  <c r="J215" i="36"/>
  <c r="J216" i="36"/>
  <c r="J217" i="36"/>
  <c r="J218" i="36"/>
  <c r="J219" i="36"/>
  <c r="J220" i="36"/>
  <c r="J221" i="36"/>
  <c r="J222" i="36"/>
  <c r="J223" i="36"/>
  <c r="J224" i="36"/>
  <c r="J225" i="36"/>
  <c r="J226" i="36"/>
  <c r="J227" i="36"/>
  <c r="J228" i="36"/>
  <c r="J229" i="36"/>
  <c r="J230" i="36"/>
  <c r="J231" i="36"/>
  <c r="J232" i="36"/>
  <c r="J233" i="36"/>
  <c r="J234" i="36"/>
  <c r="J235" i="36"/>
  <c r="J236" i="36"/>
  <c r="J237" i="36"/>
  <c r="J238" i="36"/>
  <c r="J239" i="36"/>
  <c r="J240" i="36"/>
  <c r="J241" i="36"/>
  <c r="J242" i="36"/>
  <c r="J243" i="36"/>
  <c r="J244" i="36"/>
  <c r="J245" i="36"/>
  <c r="J246" i="36"/>
  <c r="J247" i="36"/>
  <c r="J248" i="36"/>
  <c r="J249" i="36"/>
  <c r="J250" i="36"/>
  <c r="J251" i="36"/>
  <c r="J252" i="36"/>
  <c r="J45" i="36"/>
  <c r="C42" i="35" a="1"/>
  <c r="C42" i="35" s="1"/>
  <c r="D42" i="35" a="1"/>
  <c r="D42" i="35" s="1"/>
  <c r="E42" i="35" a="1"/>
  <c r="E42" i="35" s="1"/>
  <c r="F42" i="35" a="1"/>
  <c r="F42" i="35" s="1"/>
  <c r="B42" i="35" a="1"/>
  <c r="B42" i="35" s="1"/>
  <c r="F38" i="35"/>
  <c r="E38" i="35"/>
  <c r="D38" i="35"/>
  <c r="C38" i="35"/>
  <c r="B38" i="35"/>
  <c r="F37" i="35"/>
  <c r="E37" i="35"/>
  <c r="D37" i="35"/>
  <c r="C37" i="35"/>
  <c r="B37" i="35"/>
  <c r="B4" i="35"/>
  <c r="C4" i="35"/>
  <c r="D4" i="35"/>
  <c r="E4" i="35"/>
  <c r="F4" i="35"/>
  <c r="B5" i="35"/>
  <c r="C5" i="35"/>
  <c r="D5" i="35"/>
  <c r="E5" i="35"/>
  <c r="F5" i="35"/>
  <c r="F41" i="35" s="1" a="1"/>
  <c r="F41" i="35" s="1"/>
  <c r="B6" i="35"/>
  <c r="C6" i="35"/>
  <c r="D6" i="35"/>
  <c r="E6" i="35"/>
  <c r="F6" i="35"/>
  <c r="B7" i="35"/>
  <c r="C7" i="35"/>
  <c r="D7" i="35"/>
  <c r="E7" i="35"/>
  <c r="F7" i="35"/>
  <c r="B8" i="35"/>
  <c r="B41" i="35" s="1" a="1"/>
  <c r="B41" i="35" s="1"/>
  <c r="C8" i="35"/>
  <c r="D8" i="35"/>
  <c r="E8" i="35"/>
  <c r="E41" i="35" s="1" a="1"/>
  <c r="E41" i="35" s="1"/>
  <c r="F8" i="35"/>
  <c r="B9" i="35"/>
  <c r="C9" i="35"/>
  <c r="D9" i="35"/>
  <c r="E9" i="35"/>
  <c r="F9" i="35"/>
  <c r="B10" i="35"/>
  <c r="C10" i="35"/>
  <c r="D10" i="35"/>
  <c r="E10" i="35"/>
  <c r="F10" i="35"/>
  <c r="B11" i="35"/>
  <c r="C11" i="35"/>
  <c r="D11" i="35"/>
  <c r="E11" i="35"/>
  <c r="F11" i="35"/>
  <c r="B12" i="35"/>
  <c r="C12" i="35"/>
  <c r="D12" i="35"/>
  <c r="E12" i="35"/>
  <c r="F12" i="35"/>
  <c r="B13" i="35"/>
  <c r="C13" i="35"/>
  <c r="D13" i="35"/>
  <c r="E13" i="35"/>
  <c r="F13" i="35"/>
  <c r="B14" i="35"/>
  <c r="C14" i="35"/>
  <c r="D14" i="35"/>
  <c r="E14" i="35"/>
  <c r="F14" i="35"/>
  <c r="B15" i="35"/>
  <c r="C15" i="35"/>
  <c r="D15" i="35"/>
  <c r="E15" i="35"/>
  <c r="F15" i="35"/>
  <c r="B16" i="35"/>
  <c r="C16" i="35"/>
  <c r="D16" i="35"/>
  <c r="E16" i="35"/>
  <c r="F16" i="35"/>
  <c r="B17" i="35"/>
  <c r="C17" i="35"/>
  <c r="D17" i="35"/>
  <c r="E17" i="35"/>
  <c r="F17" i="35"/>
  <c r="B18" i="35"/>
  <c r="C18" i="35"/>
  <c r="D18" i="35"/>
  <c r="E18" i="35"/>
  <c r="E39" i="35" s="1" a="1"/>
  <c r="E39" i="35" s="1"/>
  <c r="F18" i="35"/>
  <c r="B19" i="35"/>
  <c r="C19" i="35"/>
  <c r="D19" i="35"/>
  <c r="E19" i="35"/>
  <c r="F19" i="35"/>
  <c r="B20" i="35"/>
  <c r="C20" i="35"/>
  <c r="C41" i="35" s="1" a="1"/>
  <c r="C41" i="35" s="1"/>
  <c r="D20" i="35"/>
  <c r="E20" i="35"/>
  <c r="F20" i="35"/>
  <c r="B21" i="35"/>
  <c r="C21" i="35"/>
  <c r="D21" i="35"/>
  <c r="D40" i="35" s="1" a="1"/>
  <c r="D40" i="35" s="1"/>
  <c r="E21" i="35"/>
  <c r="F21" i="35"/>
  <c r="B22" i="35"/>
  <c r="C22" i="35"/>
  <c r="D22" i="35"/>
  <c r="D39" i="35" s="1" a="1"/>
  <c r="D39" i="35" s="1"/>
  <c r="E22" i="35"/>
  <c r="F22" i="35"/>
  <c r="B23" i="35"/>
  <c r="C23" i="35"/>
  <c r="D23" i="35"/>
  <c r="E23" i="35"/>
  <c r="F23" i="35"/>
  <c r="B24" i="35"/>
  <c r="C24" i="35"/>
  <c r="D24" i="35"/>
  <c r="E24" i="35"/>
  <c r="F24" i="35"/>
  <c r="B25" i="35"/>
  <c r="B39" i="35" s="1" a="1"/>
  <c r="B39" i="35" s="1"/>
  <c r="C25" i="35"/>
  <c r="D25" i="35"/>
  <c r="E25" i="35"/>
  <c r="F25" i="35"/>
  <c r="B26" i="35"/>
  <c r="C26" i="35"/>
  <c r="C40" i="35" s="1" a="1"/>
  <c r="C40" i="35" s="1"/>
  <c r="D26" i="35"/>
  <c r="E26" i="35"/>
  <c r="E40" i="35" s="1" a="1"/>
  <c r="E40" i="35" s="1"/>
  <c r="F26" i="35"/>
  <c r="B27" i="35"/>
  <c r="C27" i="35"/>
  <c r="D27" i="35"/>
  <c r="E27" i="35"/>
  <c r="F27" i="35"/>
  <c r="B28" i="35"/>
  <c r="C28" i="35"/>
  <c r="D28" i="35"/>
  <c r="E28" i="35"/>
  <c r="F28" i="35"/>
  <c r="F39" i="35" s="1" a="1"/>
  <c r="F39" i="35" s="1"/>
  <c r="B29" i="35"/>
  <c r="C29" i="35"/>
  <c r="D29" i="35"/>
  <c r="E29" i="35"/>
  <c r="F29" i="35"/>
  <c r="B30" i="35"/>
  <c r="C30" i="35"/>
  <c r="D30" i="35"/>
  <c r="E30" i="35"/>
  <c r="F30" i="35"/>
  <c r="B31" i="35"/>
  <c r="C31" i="35"/>
  <c r="D31" i="35"/>
  <c r="E31" i="35"/>
  <c r="F31" i="35"/>
  <c r="B32" i="35"/>
  <c r="B40" i="35" s="1" a="1"/>
  <c r="B40" i="35" s="1"/>
  <c r="C32" i="35"/>
  <c r="D32" i="35"/>
  <c r="E32" i="35"/>
  <c r="F32" i="35"/>
  <c r="B33" i="35"/>
  <c r="B36" i="35" s="1"/>
  <c r="C33" i="35"/>
  <c r="D33" i="35"/>
  <c r="E33" i="35"/>
  <c r="F33" i="35"/>
  <c r="B34" i="35"/>
  <c r="C34" i="35"/>
  <c r="D34" i="35"/>
  <c r="E34" i="35"/>
  <c r="F34" i="35"/>
  <c r="C3" i="35"/>
  <c r="D3" i="35"/>
  <c r="E3" i="35"/>
  <c r="F3" i="35"/>
  <c r="B3"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156" i="35"/>
  <c r="J157" i="35"/>
  <c r="J158" i="35"/>
  <c r="J159" i="35"/>
  <c r="J160" i="35"/>
  <c r="J161" i="35"/>
  <c r="J162" i="35"/>
  <c r="J163" i="35"/>
  <c r="J164" i="35"/>
  <c r="J165" i="35"/>
  <c r="J166" i="35"/>
  <c r="J167" i="35"/>
  <c r="J168" i="35"/>
  <c r="J169" i="35"/>
  <c r="J170" i="35"/>
  <c r="J171" i="35"/>
  <c r="J172" i="35"/>
  <c r="J173" i="35"/>
  <c r="J174" i="35"/>
  <c r="J175" i="35"/>
  <c r="J176" i="35"/>
  <c r="J177" i="35"/>
  <c r="J178" i="35"/>
  <c r="J179" i="35"/>
  <c r="J180" i="35"/>
  <c r="J181" i="35"/>
  <c r="J182" i="35"/>
  <c r="J183" i="35"/>
  <c r="J184" i="35"/>
  <c r="J185" i="35"/>
  <c r="J186" i="35"/>
  <c r="J187" i="35"/>
  <c r="J188" i="35"/>
  <c r="J189" i="35"/>
  <c r="J190" i="35"/>
  <c r="J191" i="35"/>
  <c r="J192" i="35"/>
  <c r="J193" i="35"/>
  <c r="J194" i="35"/>
  <c r="J195" i="35"/>
  <c r="J196" i="35"/>
  <c r="J197" i="35"/>
  <c r="J198" i="35"/>
  <c r="J199" i="35"/>
  <c r="J200" i="35"/>
  <c r="J201" i="35"/>
  <c r="J202" i="35"/>
  <c r="J203" i="35"/>
  <c r="J204" i="35"/>
  <c r="J205" i="35"/>
  <c r="J206" i="35"/>
  <c r="J207" i="35"/>
  <c r="J208" i="35"/>
  <c r="J209" i="35"/>
  <c r="J210" i="35"/>
  <c r="J211" i="35"/>
  <c r="J212" i="35"/>
  <c r="J213" i="35"/>
  <c r="J214" i="35"/>
  <c r="J215" i="35"/>
  <c r="J216" i="35"/>
  <c r="J217" i="35"/>
  <c r="J218" i="35"/>
  <c r="J219" i="35"/>
  <c r="J220" i="35"/>
  <c r="J221" i="35"/>
  <c r="J222" i="35"/>
  <c r="J223" i="35"/>
  <c r="J224" i="35"/>
  <c r="J225" i="35"/>
  <c r="J226" i="35"/>
  <c r="J227" i="35"/>
  <c r="J228" i="35"/>
  <c r="J229" i="35"/>
  <c r="J230" i="35"/>
  <c r="J231" i="35"/>
  <c r="J232" i="35"/>
  <c r="J233" i="35"/>
  <c r="J234" i="35"/>
  <c r="J235" i="35"/>
  <c r="J236" i="35"/>
  <c r="J237" i="35"/>
  <c r="J238" i="35"/>
  <c r="J239" i="35"/>
  <c r="J240" i="35"/>
  <c r="J241" i="35"/>
  <c r="J242" i="35"/>
  <c r="J243" i="35"/>
  <c r="J244" i="35"/>
  <c r="J245" i="35"/>
  <c r="J246" i="35"/>
  <c r="J247" i="35"/>
  <c r="J248" i="35"/>
  <c r="J249" i="35"/>
  <c r="J250" i="35"/>
  <c r="J251" i="35"/>
  <c r="J252" i="35"/>
  <c r="J45" i="35"/>
  <c r="D41" i="35" a="1"/>
  <c r="D41" i="35" s="1"/>
  <c r="C39" i="35" a="1"/>
  <c r="C39" i="35" s="1"/>
  <c r="F40" i="35" a="1"/>
  <c r="F40" i="35" s="1"/>
  <c r="N43" i="105"/>
  <c r="N40" i="105"/>
  <c r="N39" i="105"/>
  <c r="N38" i="105"/>
  <c r="N37" i="105"/>
  <c r="N36" i="105"/>
  <c r="N35" i="105"/>
  <c r="N33" i="105"/>
  <c r="N32" i="105"/>
  <c r="N31" i="105"/>
  <c r="N30" i="105"/>
  <c r="N29" i="105"/>
  <c r="N28" i="105"/>
  <c r="N27" i="105"/>
  <c r="N26" i="105"/>
  <c r="N25" i="105"/>
  <c r="N24" i="105"/>
  <c r="N23" i="105"/>
  <c r="N22" i="105"/>
  <c r="N21" i="105"/>
  <c r="N20" i="105"/>
  <c r="N19" i="105"/>
  <c r="N18" i="105"/>
  <c r="N17" i="105"/>
  <c r="N16" i="105"/>
  <c r="N15" i="105"/>
  <c r="N14" i="105"/>
  <c r="N13" i="105"/>
  <c r="N12" i="105"/>
  <c r="N11" i="105"/>
  <c r="N10" i="105"/>
  <c r="N9" i="105"/>
  <c r="J43" i="105"/>
  <c r="J40" i="105"/>
  <c r="J39" i="105"/>
  <c r="J38" i="105"/>
  <c r="J37" i="105"/>
  <c r="J36" i="105"/>
  <c r="J35" i="105"/>
  <c r="J34" i="105"/>
  <c r="J33" i="105"/>
  <c r="J32" i="105"/>
  <c r="J31" i="105"/>
  <c r="J30" i="105"/>
  <c r="J29" i="105"/>
  <c r="J28" i="105"/>
  <c r="J27" i="105"/>
  <c r="J26" i="105"/>
  <c r="J25" i="105"/>
  <c r="J24" i="105"/>
  <c r="J23" i="105"/>
  <c r="J22" i="105"/>
  <c r="J21" i="105"/>
  <c r="J20" i="105"/>
  <c r="J19" i="105"/>
  <c r="J18" i="105"/>
  <c r="J17" i="105"/>
  <c r="J16" i="105"/>
  <c r="J15" i="105"/>
  <c r="J14" i="105"/>
  <c r="J13" i="105"/>
  <c r="J12" i="105"/>
  <c r="J11" i="105"/>
  <c r="J10" i="105"/>
  <c r="J9" i="105"/>
  <c r="F43" i="105"/>
  <c r="F40" i="105"/>
  <c r="F39" i="105"/>
  <c r="F38" i="105"/>
  <c r="F37" i="105"/>
  <c r="F36" i="105"/>
  <c r="F35" i="105"/>
  <c r="F34" i="105"/>
  <c r="F33" i="105"/>
  <c r="F32" i="105"/>
  <c r="F31" i="105"/>
  <c r="F30" i="105"/>
  <c r="F29" i="105"/>
  <c r="F28" i="105"/>
  <c r="F27" i="105"/>
  <c r="F26" i="105"/>
  <c r="F25" i="105"/>
  <c r="F24" i="105"/>
  <c r="F23" i="105"/>
  <c r="F22" i="105"/>
  <c r="F21" i="105"/>
  <c r="F20" i="105"/>
  <c r="F19" i="105"/>
  <c r="F18" i="105"/>
  <c r="F17" i="105"/>
  <c r="F16" i="105"/>
  <c r="F15" i="105"/>
  <c r="F14" i="105"/>
  <c r="F13" i="105"/>
  <c r="F12" i="105"/>
  <c r="F11" i="105"/>
  <c r="F10" i="105"/>
  <c r="F9" i="105"/>
  <c r="B43" i="105"/>
  <c r="B10" i="105"/>
  <c r="B11" i="105"/>
  <c r="B12" i="105"/>
  <c r="B13" i="105"/>
  <c r="B14" i="105"/>
  <c r="B15" i="105"/>
  <c r="B16" i="105"/>
  <c r="B17" i="105"/>
  <c r="B18" i="105"/>
  <c r="B19" i="105"/>
  <c r="B20" i="105"/>
  <c r="B21" i="105"/>
  <c r="B22" i="105"/>
  <c r="B23" i="105"/>
  <c r="B24" i="105"/>
  <c r="B25" i="105"/>
  <c r="B26" i="105"/>
  <c r="B27" i="105"/>
  <c r="B28" i="105"/>
  <c r="B29" i="105"/>
  <c r="B30" i="105"/>
  <c r="B31" i="105"/>
  <c r="B32" i="105"/>
  <c r="B33" i="105"/>
  <c r="B34" i="105"/>
  <c r="B35" i="105"/>
  <c r="B36" i="105"/>
  <c r="B37" i="105"/>
  <c r="B38" i="105"/>
  <c r="B39" i="105"/>
  <c r="B40" i="105"/>
  <c r="B9" i="105"/>
  <c r="O15" i="94"/>
  <c r="O23" i="94"/>
  <c r="O33" i="94"/>
  <c r="O35" i="94"/>
  <c r="O48" i="115"/>
  <c r="O43" i="115"/>
  <c r="N43" i="115"/>
  <c r="O42" i="115"/>
  <c r="N42" i="115"/>
  <c r="O40" i="115"/>
  <c r="N40" i="115"/>
  <c r="O39" i="115"/>
  <c r="N39" i="115"/>
  <c r="O38" i="115"/>
  <c r="N38" i="115"/>
  <c r="O37" i="115"/>
  <c r="N37" i="115"/>
  <c r="O36" i="115"/>
  <c r="N36" i="115"/>
  <c r="O35" i="115"/>
  <c r="N35" i="115"/>
  <c r="O34" i="115"/>
  <c r="N34" i="115"/>
  <c r="O33" i="115"/>
  <c r="N33" i="115"/>
  <c r="O32" i="115"/>
  <c r="N32" i="115"/>
  <c r="O31" i="115"/>
  <c r="N31" i="115"/>
  <c r="O30" i="115"/>
  <c r="N30" i="115"/>
  <c r="O29" i="115"/>
  <c r="N29" i="115"/>
  <c r="O28" i="115"/>
  <c r="N28" i="115"/>
  <c r="O27" i="115"/>
  <c r="N27" i="115"/>
  <c r="O26" i="115"/>
  <c r="N26" i="115"/>
  <c r="O25" i="115"/>
  <c r="N25" i="115"/>
  <c r="O24" i="115"/>
  <c r="N24" i="115"/>
  <c r="O23" i="115"/>
  <c r="N23" i="115"/>
  <c r="O22" i="115"/>
  <c r="N22" i="115"/>
  <c r="O21" i="115"/>
  <c r="N21" i="115"/>
  <c r="O20" i="115"/>
  <c r="N20" i="115"/>
  <c r="O19" i="115"/>
  <c r="N19" i="115"/>
  <c r="O18" i="115"/>
  <c r="N18" i="115"/>
  <c r="O17" i="115"/>
  <c r="N17" i="115"/>
  <c r="O16" i="115"/>
  <c r="N16" i="115"/>
  <c r="O15" i="115"/>
  <c r="N15" i="115"/>
  <c r="O14" i="115"/>
  <c r="N14" i="115"/>
  <c r="O13" i="115"/>
  <c r="N13" i="115"/>
  <c r="O12" i="115"/>
  <c r="N12" i="115"/>
  <c r="O11" i="115"/>
  <c r="N11" i="115"/>
  <c r="O10" i="115"/>
  <c r="N10" i="115"/>
  <c r="N9" i="115"/>
  <c r="K48" i="115"/>
  <c r="J48" i="115"/>
  <c r="K43" i="115"/>
  <c r="J43" i="115"/>
  <c r="K42" i="115"/>
  <c r="J42" i="115"/>
  <c r="K40" i="115"/>
  <c r="J40" i="115"/>
  <c r="K39" i="115"/>
  <c r="J39" i="115"/>
  <c r="K38" i="115"/>
  <c r="J38" i="115"/>
  <c r="K37" i="115"/>
  <c r="J37" i="115"/>
  <c r="K36" i="115"/>
  <c r="J36" i="115"/>
  <c r="K35" i="115"/>
  <c r="J35" i="115"/>
  <c r="K34" i="115"/>
  <c r="J34" i="115"/>
  <c r="K33" i="115"/>
  <c r="J33" i="115"/>
  <c r="K32" i="115"/>
  <c r="J32" i="115"/>
  <c r="K31" i="115"/>
  <c r="J31" i="115"/>
  <c r="K30" i="115"/>
  <c r="J30" i="115"/>
  <c r="K29" i="115"/>
  <c r="J29" i="115"/>
  <c r="K28" i="115"/>
  <c r="J28" i="115"/>
  <c r="K27" i="115"/>
  <c r="J27" i="115"/>
  <c r="K26" i="115"/>
  <c r="J26" i="115"/>
  <c r="K25" i="115"/>
  <c r="J25" i="115"/>
  <c r="K24" i="115"/>
  <c r="J24" i="115"/>
  <c r="K23" i="115"/>
  <c r="J23" i="115"/>
  <c r="K22" i="115"/>
  <c r="J22" i="115"/>
  <c r="K21" i="115"/>
  <c r="J21" i="115"/>
  <c r="K20" i="115"/>
  <c r="J20" i="115"/>
  <c r="K19" i="115"/>
  <c r="J19" i="115"/>
  <c r="K18" i="115"/>
  <c r="J18" i="115"/>
  <c r="K17" i="115"/>
  <c r="J17" i="115"/>
  <c r="K16" i="115"/>
  <c r="J16" i="115"/>
  <c r="K15" i="115"/>
  <c r="J15" i="115"/>
  <c r="K14" i="115"/>
  <c r="J14" i="115"/>
  <c r="K13" i="115"/>
  <c r="J13" i="115"/>
  <c r="K12" i="115"/>
  <c r="J12" i="115"/>
  <c r="K11" i="115"/>
  <c r="J11" i="115"/>
  <c r="K10" i="115"/>
  <c r="J10" i="115"/>
  <c r="K9" i="115"/>
  <c r="J9" i="115"/>
  <c r="G48" i="115"/>
  <c r="F48" i="115"/>
  <c r="G43" i="115"/>
  <c r="F43" i="115"/>
  <c r="G42" i="115"/>
  <c r="F42" i="115"/>
  <c r="G40" i="115"/>
  <c r="F40" i="115"/>
  <c r="G39" i="115"/>
  <c r="F39" i="115"/>
  <c r="G38" i="115"/>
  <c r="F38" i="115"/>
  <c r="H37" i="115"/>
  <c r="G37" i="115"/>
  <c r="F37" i="115"/>
  <c r="G36" i="115"/>
  <c r="F36" i="115"/>
  <c r="H36" i="115" s="1"/>
  <c r="G35" i="115"/>
  <c r="F35" i="115"/>
  <c r="G34" i="115"/>
  <c r="F34" i="115"/>
  <c r="H34" i="115" s="1"/>
  <c r="G33" i="115"/>
  <c r="F33" i="115"/>
  <c r="H33" i="115" s="1"/>
  <c r="G32" i="115"/>
  <c r="F32" i="115"/>
  <c r="G31" i="115"/>
  <c r="F31" i="115"/>
  <c r="G30" i="115"/>
  <c r="F30" i="115"/>
  <c r="G29" i="115"/>
  <c r="F29" i="115"/>
  <c r="G28" i="115"/>
  <c r="F28" i="115"/>
  <c r="G27" i="115"/>
  <c r="F27" i="115"/>
  <c r="G26" i="115"/>
  <c r="F26" i="115"/>
  <c r="G25" i="115"/>
  <c r="F25" i="115"/>
  <c r="G24" i="115"/>
  <c r="F24" i="115"/>
  <c r="G23" i="115"/>
  <c r="F23" i="115"/>
  <c r="G22" i="115"/>
  <c r="F22" i="115"/>
  <c r="H22" i="115" s="1"/>
  <c r="G21" i="115"/>
  <c r="F21" i="115"/>
  <c r="H21" i="115" s="1"/>
  <c r="G20" i="115"/>
  <c r="F20" i="115"/>
  <c r="G19" i="115"/>
  <c r="F19" i="115"/>
  <c r="H19" i="115" s="1"/>
  <c r="G18" i="115"/>
  <c r="F18" i="115"/>
  <c r="H18" i="115" s="1"/>
  <c r="G17" i="115"/>
  <c r="F17" i="115"/>
  <c r="H17" i="115" s="1"/>
  <c r="G16" i="115"/>
  <c r="F16" i="115"/>
  <c r="G15" i="115"/>
  <c r="F15" i="115"/>
  <c r="G14" i="115"/>
  <c r="F14" i="115"/>
  <c r="H14" i="115" s="1"/>
  <c r="G13" i="115"/>
  <c r="F13" i="115"/>
  <c r="H13" i="115" s="1"/>
  <c r="G12" i="115"/>
  <c r="F12" i="115"/>
  <c r="G11" i="115"/>
  <c r="F11" i="115"/>
  <c r="G10" i="115"/>
  <c r="F10" i="115"/>
  <c r="H10" i="115" s="1"/>
  <c r="G9" i="115"/>
  <c r="F9" i="115"/>
  <c r="H9" i="115" s="1"/>
  <c r="C48" i="115"/>
  <c r="B48" i="115"/>
  <c r="B43" i="115"/>
  <c r="C43" i="115"/>
  <c r="C42" i="115"/>
  <c r="B42" i="115"/>
  <c r="B10" i="115"/>
  <c r="C10" i="115"/>
  <c r="B11" i="115"/>
  <c r="C11" i="115"/>
  <c r="B12" i="115"/>
  <c r="C12" i="115"/>
  <c r="B13" i="115"/>
  <c r="C13" i="115"/>
  <c r="B14" i="115"/>
  <c r="C14" i="115"/>
  <c r="B15" i="115"/>
  <c r="C15" i="115"/>
  <c r="B16" i="115"/>
  <c r="C16" i="115"/>
  <c r="B17" i="115"/>
  <c r="C17" i="115"/>
  <c r="B18" i="115"/>
  <c r="C18" i="115"/>
  <c r="B19" i="115"/>
  <c r="C19" i="115"/>
  <c r="B20" i="115"/>
  <c r="C20" i="115"/>
  <c r="B21" i="115"/>
  <c r="C21" i="115"/>
  <c r="B22" i="115"/>
  <c r="C22" i="115"/>
  <c r="B23" i="115"/>
  <c r="C23" i="115"/>
  <c r="B24" i="115"/>
  <c r="C24" i="115"/>
  <c r="B25" i="115"/>
  <c r="C25" i="115"/>
  <c r="B26" i="115"/>
  <c r="C26" i="115"/>
  <c r="B27" i="115"/>
  <c r="C27" i="115"/>
  <c r="B28" i="115"/>
  <c r="C28" i="115"/>
  <c r="B29" i="115"/>
  <c r="C29" i="115"/>
  <c r="B30" i="115"/>
  <c r="C30" i="115"/>
  <c r="B31" i="115"/>
  <c r="C31" i="115"/>
  <c r="B32" i="115"/>
  <c r="C32" i="115"/>
  <c r="B33" i="115"/>
  <c r="C33" i="115"/>
  <c r="B34" i="115"/>
  <c r="C34" i="115"/>
  <c r="B35" i="115"/>
  <c r="C35" i="115"/>
  <c r="B36" i="115"/>
  <c r="C36" i="115"/>
  <c r="B37" i="115"/>
  <c r="C37" i="115"/>
  <c r="B38" i="115"/>
  <c r="C38" i="115"/>
  <c r="B39" i="115"/>
  <c r="C39" i="115"/>
  <c r="B40" i="115"/>
  <c r="C40" i="115"/>
  <c r="C9" i="115"/>
  <c r="B9" i="115"/>
  <c r="O31" i="94" l="1"/>
  <c r="O19" i="94"/>
  <c r="O13" i="94"/>
  <c r="O20" i="94"/>
  <c r="O9" i="94"/>
  <c r="O34" i="94"/>
  <c r="O42" i="94"/>
  <c r="O37" i="94"/>
  <c r="O25" i="94"/>
  <c r="O17" i="94"/>
  <c r="D42" i="59"/>
  <c r="H42" i="59"/>
  <c r="D43" i="59"/>
  <c r="H43" i="59"/>
  <c r="J44" i="105" a="1"/>
  <c r="J44" i="105" s="1"/>
  <c r="N44" i="105" a="1"/>
  <c r="N44" i="105" s="1"/>
  <c r="J45" i="105" a="1"/>
  <c r="J45" i="105" s="1"/>
  <c r="F45" i="105" a="1"/>
  <c r="F45" i="105" s="1"/>
  <c r="L45" i="93"/>
  <c r="P41" i="93"/>
  <c r="P43" i="93"/>
  <c r="L46" i="93"/>
  <c r="D43" i="93"/>
  <c r="L44" i="93"/>
  <c r="D44" i="93"/>
  <c r="H41" i="93"/>
  <c r="P45" i="93"/>
  <c r="D46" i="93"/>
  <c r="H44" i="93"/>
  <c r="H46" i="93"/>
  <c r="L43" i="93"/>
  <c r="P46" i="93"/>
  <c r="P44" i="93"/>
  <c r="D41" i="93"/>
  <c r="D45" i="93"/>
  <c r="H45" i="93"/>
  <c r="P42" i="114"/>
  <c r="P42" i="59"/>
  <c r="L42" i="59"/>
  <c r="L43" i="59"/>
  <c r="P43" i="59"/>
  <c r="N45" i="105" a="1"/>
  <c r="N45" i="105" s="1"/>
  <c r="F51" i="105"/>
  <c r="J41" i="105" a="1"/>
  <c r="J41" i="105" s="1"/>
  <c r="J48" i="105" a="1"/>
  <c r="J48" i="105" s="1"/>
  <c r="N50" i="105"/>
  <c r="F41" i="105" a="1"/>
  <c r="F41" i="105" s="1"/>
  <c r="F49" i="105"/>
  <c r="J46" i="105" a="1"/>
  <c r="J46" i="105" s="1"/>
  <c r="N41" i="105" a="1"/>
  <c r="N41" i="105" s="1"/>
  <c r="N46" i="105" a="1"/>
  <c r="N46" i="105" s="1"/>
  <c r="J49" i="105"/>
  <c r="J51" i="105"/>
  <c r="N48" i="105" a="1"/>
  <c r="N48" i="105" s="1"/>
  <c r="F48" i="105" a="1"/>
  <c r="F48" i="105" s="1"/>
  <c r="N51" i="105"/>
  <c r="F50" i="105"/>
  <c r="F46" i="105" a="1"/>
  <c r="F46" i="105" s="1"/>
  <c r="J50" i="105"/>
  <c r="N49" i="105"/>
  <c r="P40" i="115"/>
  <c r="F44" i="115" a="1"/>
  <c r="F44" i="115" s="1"/>
  <c r="D22" i="115"/>
  <c r="H23" i="115"/>
  <c r="N45" i="115"/>
  <c r="D39" i="115"/>
  <c r="D35" i="115"/>
  <c r="D31" i="115"/>
  <c r="D27" i="115"/>
  <c r="D23" i="115"/>
  <c r="D19" i="115"/>
  <c r="D15" i="115"/>
  <c r="D11" i="115"/>
  <c r="L23" i="115"/>
  <c r="L27" i="115"/>
  <c r="L31" i="115"/>
  <c r="L35" i="115"/>
  <c r="L39" i="115"/>
  <c r="L48" i="115"/>
  <c r="P12" i="115"/>
  <c r="D40" i="115"/>
  <c r="D36" i="115"/>
  <c r="D28" i="115"/>
  <c r="D24" i="115"/>
  <c r="D16" i="115"/>
  <c r="D12" i="115"/>
  <c r="D48" i="115"/>
  <c r="H48" i="115"/>
  <c r="L12" i="115"/>
  <c r="L16" i="115"/>
  <c r="L20" i="115"/>
  <c r="L40" i="115"/>
  <c r="P9" i="115"/>
  <c r="P13" i="115"/>
  <c r="G45" i="115"/>
  <c r="L17" i="115"/>
  <c r="L37" i="115"/>
  <c r="L42" i="115"/>
  <c r="P10" i="115"/>
  <c r="P26" i="115"/>
  <c r="P30" i="115"/>
  <c r="P34" i="115"/>
  <c r="P38" i="115"/>
  <c r="P43" i="115"/>
  <c r="D34" i="115"/>
  <c r="D14" i="115"/>
  <c r="O47" i="115"/>
  <c r="L18" i="115"/>
  <c r="P15" i="115"/>
  <c r="P19" i="115"/>
  <c r="P23" i="115"/>
  <c r="P27" i="115"/>
  <c r="P35" i="115"/>
  <c r="P39" i="115"/>
  <c r="O46" i="115"/>
  <c r="D32" i="115"/>
  <c r="D20" i="115"/>
  <c r="D43" i="115"/>
  <c r="P24" i="115"/>
  <c r="P28" i="115"/>
  <c r="H24" i="115"/>
  <c r="L36" i="115"/>
  <c r="L13" i="115"/>
  <c r="P29" i="115"/>
  <c r="D42" i="115"/>
  <c r="H39" i="115"/>
  <c r="D9" i="115"/>
  <c r="N46" i="115"/>
  <c r="D38" i="115"/>
  <c r="D26" i="115"/>
  <c r="D18" i="115"/>
  <c r="D10" i="115"/>
  <c r="F46" i="115"/>
  <c r="N44" i="115" a="1"/>
  <c r="N44" i="115" s="1"/>
  <c r="G47" i="115"/>
  <c r="D30" i="115"/>
  <c r="H12" i="115"/>
  <c r="H16" i="115"/>
  <c r="H20" i="115"/>
  <c r="L15" i="115"/>
  <c r="L19" i="115"/>
  <c r="K47" i="115"/>
  <c r="L43" i="115"/>
  <c r="H25" i="115"/>
  <c r="H29" i="115"/>
  <c r="H32" i="115"/>
  <c r="H40" i="115"/>
  <c r="L9" i="115"/>
  <c r="L24" i="115"/>
  <c r="L28" i="115"/>
  <c r="P20" i="115"/>
  <c r="P31" i="115"/>
  <c r="G44" i="115"/>
  <c r="K44" i="115"/>
  <c r="O44" i="115"/>
  <c r="P48" i="115"/>
  <c r="K45" i="115"/>
  <c r="H26" i="115"/>
  <c r="H30" i="115"/>
  <c r="H42" i="115"/>
  <c r="L10" i="115"/>
  <c r="L21" i="115"/>
  <c r="L25" i="115"/>
  <c r="L29" i="115"/>
  <c r="L33" i="115"/>
  <c r="P17" i="115"/>
  <c r="P21" i="115"/>
  <c r="P25" i="115"/>
  <c r="P36" i="115"/>
  <c r="D37" i="115"/>
  <c r="D33" i="115"/>
  <c r="D29" i="115"/>
  <c r="D25" i="115"/>
  <c r="D21" i="115"/>
  <c r="D17" i="115"/>
  <c r="D13" i="115"/>
  <c r="O45" i="115"/>
  <c r="P45" i="115" s="1"/>
  <c r="G46" i="115"/>
  <c r="H27" i="115"/>
  <c r="H38" i="115"/>
  <c r="H43" i="115"/>
  <c r="L26" i="115"/>
  <c r="L34" i="115"/>
  <c r="P14" i="115"/>
  <c r="P18" i="115"/>
  <c r="P22" i="115"/>
  <c r="P33" i="115"/>
  <c r="P37" i="115"/>
  <c r="P42" i="115"/>
  <c r="L22" i="115"/>
  <c r="J47" i="115"/>
  <c r="P16" i="115"/>
  <c r="H31" i="115"/>
  <c r="L38" i="115"/>
  <c r="F45" i="115"/>
  <c r="H35" i="115"/>
  <c r="J45" i="115"/>
  <c r="J44" i="115" a="1"/>
  <c r="J44" i="115" s="1"/>
  <c r="H28" i="115"/>
  <c r="J46" i="115"/>
  <c r="H15" i="115"/>
  <c r="L14" i="115"/>
  <c r="D45" i="56" a="1"/>
  <c r="D45" i="56" s="1"/>
  <c r="D48" i="56" a="1"/>
  <c r="D48" i="56" s="1"/>
  <c r="D46" i="56" a="1"/>
  <c r="D46" i="56" s="1"/>
  <c r="L48" i="56" a="1"/>
  <c r="L48" i="56" s="1"/>
  <c r="L46" i="56" a="1"/>
  <c r="L46" i="56" s="1"/>
  <c r="P43" i="56"/>
  <c r="P48" i="56" a="1"/>
  <c r="P48" i="56" s="1"/>
  <c r="H47" i="56" a="1"/>
  <c r="H47" i="56" s="1"/>
  <c r="H19" i="38"/>
  <c r="D16" i="38"/>
  <c r="E16" i="38"/>
  <c r="I7" i="38"/>
  <c r="F16" i="38"/>
  <c r="J14" i="38"/>
  <c r="K14" i="38" s="1"/>
  <c r="J13" i="38"/>
  <c r="K13" i="38" s="1"/>
  <c r="J12" i="38"/>
  <c r="K12" i="38" s="1"/>
  <c r="J11" i="38"/>
  <c r="K11" i="38" s="1"/>
  <c r="J10" i="38"/>
  <c r="K10" i="38" s="1"/>
  <c r="J9" i="38"/>
  <c r="K9" i="38" s="1"/>
  <c r="J8" i="38"/>
  <c r="K8" i="38" s="1"/>
  <c r="J7" i="38"/>
  <c r="K7" i="38" s="1"/>
  <c r="H16" i="38"/>
  <c r="I16" i="38"/>
  <c r="H18" i="38"/>
  <c r="H17" i="38"/>
  <c r="H20" i="38"/>
  <c r="C42" i="36" a="1"/>
  <c r="C42" i="36" s="1"/>
  <c r="N47" i="105" a="1"/>
  <c r="N47" i="105" s="1"/>
  <c r="J47" i="105" a="1"/>
  <c r="J47" i="105" s="1"/>
  <c r="F47" i="105" a="1"/>
  <c r="F47" i="105" s="1"/>
  <c r="F44" i="105" a="1"/>
  <c r="F44" i="105" s="1"/>
  <c r="O32" i="94"/>
  <c r="O39" i="94"/>
  <c r="O27" i="94"/>
  <c r="O24" i="94"/>
  <c r="O40" i="94"/>
  <c r="O21" i="94"/>
  <c r="O38" i="94"/>
  <c r="O47" i="94"/>
  <c r="O30" i="94"/>
  <c r="O10" i="94"/>
  <c r="N44" i="94"/>
  <c r="O16" i="94"/>
  <c r="N45" i="94"/>
  <c r="O36" i="94"/>
  <c r="O22" i="94"/>
  <c r="N43" i="94"/>
  <c r="N41" i="94" a="1"/>
  <c r="N41" i="94" s="1"/>
  <c r="O18" i="94"/>
  <c r="O44" i="94" s="1"/>
  <c r="O28" i="94"/>
  <c r="O14" i="94"/>
  <c r="O11" i="94"/>
  <c r="O45" i="94" s="1"/>
  <c r="N46" i="94"/>
  <c r="O12" i="94"/>
  <c r="N47" i="115"/>
  <c r="P11" i="115"/>
  <c r="P32" i="115"/>
  <c r="K46" i="115"/>
  <c r="L32" i="115"/>
  <c r="L11" i="115"/>
  <c r="L30" i="115"/>
  <c r="H11" i="115"/>
  <c r="F47" i="115"/>
  <c r="L93" i="115"/>
  <c r="E93" i="115"/>
  <c r="B44" i="115" a="1"/>
  <c r="B44" i="115" s="1"/>
  <c r="C45" i="115"/>
  <c r="C47" i="115"/>
  <c r="C44" i="115"/>
  <c r="C46" i="115"/>
  <c r="P45" i="94" l="1"/>
  <c r="O41" i="94" a="1"/>
  <c r="O41" i="94" s="1"/>
  <c r="P41" i="94" s="1"/>
  <c r="O46" i="94"/>
  <c r="P46" i="94" s="1"/>
  <c r="P46" i="115"/>
  <c r="H44" i="115"/>
  <c r="P47" i="115"/>
  <c r="H45" i="115"/>
  <c r="H46" i="115"/>
  <c r="P44" i="115"/>
  <c r="D44" i="115"/>
  <c r="L47" i="115"/>
  <c r="L44" i="115"/>
  <c r="H47" i="115"/>
  <c r="L45" i="115"/>
  <c r="L46" i="115"/>
  <c r="C16" i="83"/>
  <c r="O43" i="94"/>
  <c r="P43" i="94" s="1"/>
  <c r="P44" i="94"/>
  <c r="B46" i="115"/>
  <c r="D46" i="115" s="1"/>
  <c r="B45" i="115"/>
  <c r="D45" i="115" s="1"/>
  <c r="B47" i="115"/>
  <c r="D47" i="115" s="1"/>
  <c r="E93" i="113" l="1"/>
  <c r="D93" i="113"/>
  <c r="C93" i="113"/>
  <c r="B93" i="113"/>
  <c r="N48" i="113"/>
  <c r="P48" i="113" s="1"/>
  <c r="K48" i="113"/>
  <c r="J48" i="113"/>
  <c r="G48" i="113"/>
  <c r="F48" i="113"/>
  <c r="C48" i="113"/>
  <c r="B48" i="113"/>
  <c r="N43" i="113"/>
  <c r="P43" i="113" s="1"/>
  <c r="K43" i="113"/>
  <c r="J43" i="113"/>
  <c r="G43" i="113"/>
  <c r="F43" i="113"/>
  <c r="C43" i="113"/>
  <c r="B43" i="113"/>
  <c r="N42" i="113"/>
  <c r="P42" i="113" s="1"/>
  <c r="K42" i="113"/>
  <c r="J42" i="113"/>
  <c r="G42" i="113"/>
  <c r="F42" i="113"/>
  <c r="C42" i="113"/>
  <c r="B42" i="113"/>
  <c r="N40" i="113"/>
  <c r="P40" i="113" s="1"/>
  <c r="K40" i="113"/>
  <c r="J40" i="113"/>
  <c r="G40" i="113"/>
  <c r="F40" i="113"/>
  <c r="C40" i="113"/>
  <c r="B40" i="113"/>
  <c r="N39" i="113"/>
  <c r="P39" i="113" s="1"/>
  <c r="K39" i="113"/>
  <c r="J39" i="113"/>
  <c r="G39" i="113"/>
  <c r="F39" i="113"/>
  <c r="C39" i="113"/>
  <c r="B39" i="113"/>
  <c r="N38" i="113"/>
  <c r="P38" i="113" s="1"/>
  <c r="K38" i="113"/>
  <c r="J38" i="113"/>
  <c r="G38" i="113"/>
  <c r="F38" i="113"/>
  <c r="C38" i="113"/>
  <c r="B38" i="113"/>
  <c r="N37" i="113"/>
  <c r="P37" i="113" s="1"/>
  <c r="K37" i="113"/>
  <c r="J37" i="113"/>
  <c r="G37" i="113"/>
  <c r="F37" i="113"/>
  <c r="C37" i="113"/>
  <c r="B37" i="113"/>
  <c r="N36" i="113"/>
  <c r="P36" i="113" s="1"/>
  <c r="K36" i="113"/>
  <c r="J36" i="113"/>
  <c r="L36" i="113" s="1"/>
  <c r="G36" i="113"/>
  <c r="F36" i="113"/>
  <c r="C36" i="113"/>
  <c r="B36" i="113"/>
  <c r="N35" i="113"/>
  <c r="P35" i="113" s="1"/>
  <c r="K35" i="113"/>
  <c r="L35" i="113" s="1"/>
  <c r="J35" i="113"/>
  <c r="G35" i="113"/>
  <c r="F35" i="113"/>
  <c r="C35" i="113"/>
  <c r="B35" i="113"/>
  <c r="N34" i="113"/>
  <c r="P34" i="113" s="1"/>
  <c r="K34" i="113"/>
  <c r="J34" i="113"/>
  <c r="G34" i="113"/>
  <c r="F34" i="113"/>
  <c r="C34" i="113"/>
  <c r="B34" i="113"/>
  <c r="N33" i="113"/>
  <c r="P33" i="113" s="1"/>
  <c r="K33" i="113"/>
  <c r="J33" i="113"/>
  <c r="G33" i="113"/>
  <c r="F33" i="113"/>
  <c r="C33" i="113"/>
  <c r="B33" i="113"/>
  <c r="O45" i="113"/>
  <c r="N32" i="113"/>
  <c r="P32" i="113" s="1"/>
  <c r="K32" i="113"/>
  <c r="J32" i="113"/>
  <c r="G32" i="113"/>
  <c r="F32" i="113"/>
  <c r="C32" i="113"/>
  <c r="C45" i="113" s="1"/>
  <c r="B32" i="113"/>
  <c r="N31" i="113"/>
  <c r="P31" i="113" s="1"/>
  <c r="K31" i="113"/>
  <c r="J31" i="113"/>
  <c r="G31" i="113"/>
  <c r="F31" i="113"/>
  <c r="C31" i="113"/>
  <c r="B31" i="113"/>
  <c r="O47" i="113"/>
  <c r="N30" i="113"/>
  <c r="P30" i="113" s="1"/>
  <c r="K30" i="113"/>
  <c r="J30" i="113"/>
  <c r="G30" i="113"/>
  <c r="F30" i="113"/>
  <c r="C30" i="113"/>
  <c r="B30" i="113"/>
  <c r="D30" i="113" s="1"/>
  <c r="N29" i="113"/>
  <c r="P29" i="113" s="1"/>
  <c r="K29" i="113"/>
  <c r="J29" i="113"/>
  <c r="G29" i="113"/>
  <c r="F29" i="113"/>
  <c r="C29" i="113"/>
  <c r="B29" i="113"/>
  <c r="O44" i="113"/>
  <c r="N28" i="113"/>
  <c r="K28" i="113"/>
  <c r="J28" i="113"/>
  <c r="G28" i="113"/>
  <c r="F28" i="113"/>
  <c r="C28" i="113"/>
  <c r="B28" i="113"/>
  <c r="N27" i="113"/>
  <c r="K27" i="113"/>
  <c r="J27" i="113"/>
  <c r="G27" i="113"/>
  <c r="F27" i="113"/>
  <c r="C27" i="113"/>
  <c r="B27" i="113"/>
  <c r="N26" i="113"/>
  <c r="K26" i="113"/>
  <c r="J26" i="113"/>
  <c r="G26" i="113"/>
  <c r="F26" i="113"/>
  <c r="C26" i="113"/>
  <c r="B26" i="113"/>
  <c r="N25" i="113"/>
  <c r="K25" i="113"/>
  <c r="J25" i="113"/>
  <c r="G25" i="113"/>
  <c r="F25" i="113"/>
  <c r="C25" i="113"/>
  <c r="B25" i="113"/>
  <c r="N24" i="113"/>
  <c r="K24" i="113"/>
  <c r="J24" i="113"/>
  <c r="G24" i="113"/>
  <c r="F24" i="113"/>
  <c r="C24" i="113"/>
  <c r="B24" i="113"/>
  <c r="N23" i="113"/>
  <c r="P23" i="113" s="1"/>
  <c r="K23" i="113"/>
  <c r="J23" i="113"/>
  <c r="G23" i="113"/>
  <c r="F23" i="113"/>
  <c r="C23" i="113"/>
  <c r="B23" i="113"/>
  <c r="N22" i="113"/>
  <c r="P22" i="113" s="1"/>
  <c r="K22" i="113"/>
  <c r="J22" i="113"/>
  <c r="G22" i="113"/>
  <c r="F22" i="113"/>
  <c r="C22" i="113"/>
  <c r="B22" i="113"/>
  <c r="N21" i="113"/>
  <c r="P21" i="113" s="1"/>
  <c r="K21" i="113"/>
  <c r="J21" i="113"/>
  <c r="G21" i="113"/>
  <c r="F21" i="113"/>
  <c r="C21" i="113"/>
  <c r="B21" i="113"/>
  <c r="N20" i="113"/>
  <c r="P20" i="113" s="1"/>
  <c r="K20" i="113"/>
  <c r="J20" i="113"/>
  <c r="G20" i="113"/>
  <c r="F20" i="113"/>
  <c r="C20" i="113"/>
  <c r="B20" i="113"/>
  <c r="N19" i="113"/>
  <c r="P19" i="113" s="1"/>
  <c r="K19" i="113"/>
  <c r="J19" i="113"/>
  <c r="G19" i="113"/>
  <c r="F19" i="113"/>
  <c r="C19" i="113"/>
  <c r="B19" i="113"/>
  <c r="N18" i="113"/>
  <c r="P18" i="113" s="1"/>
  <c r="K18" i="113"/>
  <c r="J18" i="113"/>
  <c r="G18" i="113"/>
  <c r="F18" i="113"/>
  <c r="C18" i="113"/>
  <c r="B18" i="113"/>
  <c r="N17" i="113"/>
  <c r="P17" i="113" s="1"/>
  <c r="K17" i="113"/>
  <c r="J17" i="113"/>
  <c r="G17" i="113"/>
  <c r="F17" i="113"/>
  <c r="C17" i="113"/>
  <c r="B17" i="113"/>
  <c r="N16" i="113"/>
  <c r="P16" i="113" s="1"/>
  <c r="K16" i="113"/>
  <c r="J16" i="113"/>
  <c r="G16" i="113"/>
  <c r="F16" i="113"/>
  <c r="C16" i="113"/>
  <c r="B16" i="113"/>
  <c r="N15" i="113"/>
  <c r="P15" i="113" s="1"/>
  <c r="K15" i="113"/>
  <c r="J15" i="113"/>
  <c r="G15" i="113"/>
  <c r="F15" i="113"/>
  <c r="C15" i="113"/>
  <c r="B15" i="113"/>
  <c r="N14" i="113"/>
  <c r="P14" i="113" s="1"/>
  <c r="K14" i="113"/>
  <c r="J14" i="113"/>
  <c r="G14" i="113"/>
  <c r="F14" i="113"/>
  <c r="C14" i="113"/>
  <c r="B14" i="113"/>
  <c r="N13" i="113"/>
  <c r="P13" i="113" s="1"/>
  <c r="K13" i="113"/>
  <c r="J13" i="113"/>
  <c r="G13" i="113"/>
  <c r="F13" i="113"/>
  <c r="H13" i="113" s="1"/>
  <c r="C13" i="113"/>
  <c r="B13" i="113"/>
  <c r="N12" i="113"/>
  <c r="P12" i="113" s="1"/>
  <c r="K12" i="113"/>
  <c r="J12" i="113"/>
  <c r="G12" i="113"/>
  <c r="F12" i="113"/>
  <c r="C12" i="113"/>
  <c r="B12" i="113"/>
  <c r="O46" i="113"/>
  <c r="N11" i="113"/>
  <c r="P11" i="113" s="1"/>
  <c r="K11" i="113"/>
  <c r="J11" i="113"/>
  <c r="G11" i="113"/>
  <c r="F11" i="113"/>
  <c r="F46" i="113" s="1"/>
  <c r="C11" i="113"/>
  <c r="B11" i="113"/>
  <c r="P10" i="113"/>
  <c r="K10" i="113"/>
  <c r="J10" i="113"/>
  <c r="G10" i="113"/>
  <c r="F10" i="113"/>
  <c r="C10" i="113"/>
  <c r="B10" i="113"/>
  <c r="J9" i="113"/>
  <c r="G9" i="113"/>
  <c r="F9" i="113"/>
  <c r="C9" i="113"/>
  <c r="B9" i="113"/>
  <c r="D93" i="114"/>
  <c r="C93" i="114"/>
  <c r="O45" i="114"/>
  <c r="O47" i="114"/>
  <c r="O44" i="114"/>
  <c r="O46" i="114"/>
  <c r="H28" i="113" l="1"/>
  <c r="H10" i="113"/>
  <c r="H14" i="113"/>
  <c r="H12" i="113"/>
  <c r="H20" i="113"/>
  <c r="H19" i="113"/>
  <c r="L42" i="113"/>
  <c r="H16" i="113"/>
  <c r="C44" i="113"/>
  <c r="D29" i="113"/>
  <c r="C46" i="113"/>
  <c r="G45" i="113"/>
  <c r="G46" i="113"/>
  <c r="H46" i="113" s="1"/>
  <c r="H18" i="113"/>
  <c r="D36" i="113"/>
  <c r="K46" i="113"/>
  <c r="H17" i="113"/>
  <c r="H37" i="113"/>
  <c r="D34" i="113"/>
  <c r="H36" i="113"/>
  <c r="H15" i="113"/>
  <c r="D32" i="113"/>
  <c r="P24" i="113"/>
  <c r="P25" i="113"/>
  <c r="P26" i="113"/>
  <c r="P27" i="113"/>
  <c r="P28" i="113"/>
  <c r="K47" i="113"/>
  <c r="L43" i="113"/>
  <c r="L48" i="113"/>
  <c r="K45" i="113"/>
  <c r="K44" i="113"/>
  <c r="L9" i="113"/>
  <c r="L10" i="113"/>
  <c r="L11" i="113"/>
  <c r="L12" i="113"/>
  <c r="L13" i="113"/>
  <c r="L14" i="113"/>
  <c r="L15" i="113"/>
  <c r="L16" i="113"/>
  <c r="L17" i="113"/>
  <c r="L18" i="113"/>
  <c r="L19" i="113"/>
  <c r="L20" i="113"/>
  <c r="L21" i="113"/>
  <c r="L22" i="113"/>
  <c r="L23" i="113"/>
  <c r="L24" i="113"/>
  <c r="L25" i="113"/>
  <c r="L26" i="113"/>
  <c r="L27" i="113"/>
  <c r="L29" i="113"/>
  <c r="L30" i="113"/>
  <c r="L31" i="113"/>
  <c r="L32" i="113"/>
  <c r="L33" i="113"/>
  <c r="L34" i="113"/>
  <c r="L37" i="113"/>
  <c r="L38" i="113"/>
  <c r="L39" i="113"/>
  <c r="F14" i="116" s="1"/>
  <c r="L40" i="113"/>
  <c r="G47" i="113"/>
  <c r="H21" i="113"/>
  <c r="H22" i="113"/>
  <c r="H23" i="113"/>
  <c r="H24" i="113"/>
  <c r="H25" i="113"/>
  <c r="H26" i="113"/>
  <c r="H27" i="113"/>
  <c r="G44" i="113"/>
  <c r="H29" i="113"/>
  <c r="H30" i="113"/>
  <c r="H31" i="113"/>
  <c r="H32" i="113"/>
  <c r="H33" i="113"/>
  <c r="H34" i="113"/>
  <c r="H35" i="113"/>
  <c r="H38" i="113"/>
  <c r="H40" i="113"/>
  <c r="H43" i="113"/>
  <c r="H48" i="113"/>
  <c r="H9" i="113"/>
  <c r="C47" i="113"/>
  <c r="D38" i="113"/>
  <c r="D40" i="113"/>
  <c r="D43" i="113"/>
  <c r="D48" i="113"/>
  <c r="D9" i="113"/>
  <c r="D11" i="113"/>
  <c r="D12" i="113"/>
  <c r="D13" i="113"/>
  <c r="D14" i="113"/>
  <c r="D15" i="113"/>
  <c r="D16" i="113"/>
  <c r="D17" i="113"/>
  <c r="D18" i="113"/>
  <c r="D19" i="113"/>
  <c r="D20" i="113"/>
  <c r="D21" i="113"/>
  <c r="D22" i="113"/>
  <c r="D23" i="113"/>
  <c r="D24" i="113"/>
  <c r="D25" i="113"/>
  <c r="D26" i="113"/>
  <c r="D27" i="113"/>
  <c r="D42" i="113"/>
  <c r="D39" i="113"/>
  <c r="H39" i="113"/>
  <c r="D35" i="113"/>
  <c r="D37" i="113"/>
  <c r="H11" i="113"/>
  <c r="F44" i="113"/>
  <c r="F47" i="113"/>
  <c r="D31" i="113"/>
  <c r="H42" i="113"/>
  <c r="J46" i="113"/>
  <c r="J44" i="113"/>
  <c r="D10" i="113"/>
  <c r="B44" i="113" a="1"/>
  <c r="B44" i="113" s="1"/>
  <c r="F45" i="113"/>
  <c r="H45" i="113" s="1"/>
  <c r="D33" i="113"/>
  <c r="N44" i="113"/>
  <c r="P44" i="113" s="1"/>
  <c r="N46" i="113"/>
  <c r="P46" i="113" s="1"/>
  <c r="J45" i="113"/>
  <c r="J47" i="113"/>
  <c r="L28" i="113"/>
  <c r="B46" i="113"/>
  <c r="D46" i="113" s="1"/>
  <c r="B45" i="113"/>
  <c r="D45" i="113" s="1"/>
  <c r="B47" i="113"/>
  <c r="D28" i="113"/>
  <c r="N45" i="113"/>
  <c r="P45" i="113" s="1"/>
  <c r="N47" i="113"/>
  <c r="P47" i="113" s="1"/>
  <c r="E93" i="114"/>
  <c r="N48" i="114" s="1"/>
  <c r="P48" i="114" s="1"/>
  <c r="B93" i="114"/>
  <c r="B48" i="114" s="1"/>
  <c r="J48" i="114"/>
  <c r="F48" i="114"/>
  <c r="K48" i="114"/>
  <c r="G48" i="114"/>
  <c r="C48" i="114"/>
  <c r="K43" i="114"/>
  <c r="J43" i="114"/>
  <c r="G43" i="114"/>
  <c r="F43" i="114"/>
  <c r="C43" i="114"/>
  <c r="B43" i="114"/>
  <c r="K42" i="114"/>
  <c r="G42" i="114"/>
  <c r="F42" i="114"/>
  <c r="C42" i="114"/>
  <c r="B42" i="114"/>
  <c r="N40" i="114"/>
  <c r="P40" i="114" s="1"/>
  <c r="K40" i="114"/>
  <c r="J40" i="114"/>
  <c r="G40" i="114"/>
  <c r="F40" i="114"/>
  <c r="C40" i="114"/>
  <c r="B40" i="114"/>
  <c r="N39" i="114"/>
  <c r="K39" i="114"/>
  <c r="J39" i="114"/>
  <c r="G39" i="114"/>
  <c r="F39" i="114"/>
  <c r="H39" i="114" s="1"/>
  <c r="C39" i="114"/>
  <c r="B39" i="114"/>
  <c r="N38" i="114"/>
  <c r="P38" i="114" s="1"/>
  <c r="K38" i="114"/>
  <c r="J38" i="114"/>
  <c r="G38" i="114"/>
  <c r="F38" i="114"/>
  <c r="C38" i="114"/>
  <c r="B38" i="114"/>
  <c r="N37" i="114"/>
  <c r="K37" i="114"/>
  <c r="J37" i="114"/>
  <c r="G37" i="114"/>
  <c r="F37" i="114"/>
  <c r="H37" i="114" s="1"/>
  <c r="C37" i="114"/>
  <c r="B37" i="114"/>
  <c r="D37" i="114" s="1"/>
  <c r="N36" i="114"/>
  <c r="P36" i="114" s="1"/>
  <c r="K36" i="114"/>
  <c r="J36" i="114"/>
  <c r="G36" i="114"/>
  <c r="F36" i="114"/>
  <c r="H36" i="114" s="1"/>
  <c r="C36" i="114"/>
  <c r="B36" i="114"/>
  <c r="N35" i="114"/>
  <c r="K35" i="114"/>
  <c r="J35" i="114"/>
  <c r="G35" i="114"/>
  <c r="F35" i="114"/>
  <c r="C35" i="114"/>
  <c r="B35" i="114"/>
  <c r="D35" i="114" s="1"/>
  <c r="N34" i="114"/>
  <c r="P34" i="114" s="1"/>
  <c r="K34" i="114"/>
  <c r="J34" i="114"/>
  <c r="G34" i="114"/>
  <c r="F34" i="114"/>
  <c r="C34" i="114"/>
  <c r="B34" i="114"/>
  <c r="N33" i="114"/>
  <c r="K33" i="114"/>
  <c r="J33" i="114"/>
  <c r="G33" i="114"/>
  <c r="F33" i="114"/>
  <c r="C33" i="114"/>
  <c r="B33" i="114"/>
  <c r="N32" i="114"/>
  <c r="K32" i="114"/>
  <c r="J32" i="114"/>
  <c r="G32" i="114"/>
  <c r="F32" i="114"/>
  <c r="C32" i="114"/>
  <c r="B32" i="114"/>
  <c r="N31" i="114"/>
  <c r="K31" i="114"/>
  <c r="J31" i="114"/>
  <c r="G31" i="114"/>
  <c r="F31" i="114"/>
  <c r="H31" i="114" s="1"/>
  <c r="C31" i="114"/>
  <c r="B31" i="114"/>
  <c r="D31" i="114" s="1"/>
  <c r="N30" i="114"/>
  <c r="K30" i="114"/>
  <c r="J30" i="114"/>
  <c r="L30" i="114" s="1"/>
  <c r="G30" i="114"/>
  <c r="F30" i="114"/>
  <c r="C30" i="114"/>
  <c r="B30" i="114"/>
  <c r="N29" i="114"/>
  <c r="K29" i="114"/>
  <c r="J29" i="114"/>
  <c r="G29" i="114"/>
  <c r="F29" i="114"/>
  <c r="H29" i="114" s="1"/>
  <c r="C29" i="114"/>
  <c r="B29" i="114"/>
  <c r="D29" i="114" s="1"/>
  <c r="N28" i="114"/>
  <c r="K28" i="114"/>
  <c r="J28" i="114"/>
  <c r="G28" i="114"/>
  <c r="F28" i="114"/>
  <c r="C28" i="114"/>
  <c r="B28" i="114"/>
  <c r="N27" i="114"/>
  <c r="K27" i="114"/>
  <c r="J27" i="114"/>
  <c r="G27" i="114"/>
  <c r="F27" i="114"/>
  <c r="C27" i="114"/>
  <c r="B27" i="114"/>
  <c r="N26" i="114"/>
  <c r="P26" i="114" s="1"/>
  <c r="K26" i="114"/>
  <c r="J26" i="114"/>
  <c r="G26" i="114"/>
  <c r="F26" i="114"/>
  <c r="C26" i="114"/>
  <c r="B26" i="114"/>
  <c r="N25" i="114"/>
  <c r="K25" i="114"/>
  <c r="J25" i="114"/>
  <c r="G25" i="114"/>
  <c r="F25" i="114"/>
  <c r="C25" i="114"/>
  <c r="B25" i="114"/>
  <c r="N24" i="114"/>
  <c r="P24" i="114" s="1"/>
  <c r="K24" i="114"/>
  <c r="J24" i="114"/>
  <c r="G24" i="114"/>
  <c r="F24" i="114"/>
  <c r="C24" i="114"/>
  <c r="B24" i="114"/>
  <c r="N23" i="114"/>
  <c r="K23" i="114"/>
  <c r="J23" i="114"/>
  <c r="G23" i="114"/>
  <c r="F23" i="114"/>
  <c r="C23" i="114"/>
  <c r="B23" i="114"/>
  <c r="N22" i="114"/>
  <c r="P22" i="114" s="1"/>
  <c r="K22" i="114"/>
  <c r="J22" i="114"/>
  <c r="L22" i="114" s="1"/>
  <c r="G22" i="114"/>
  <c r="F22" i="114"/>
  <c r="C22" i="114"/>
  <c r="B22" i="114"/>
  <c r="N21" i="114"/>
  <c r="K21" i="114"/>
  <c r="J21" i="114"/>
  <c r="G21" i="114"/>
  <c r="F21" i="114"/>
  <c r="C21" i="114"/>
  <c r="B21" i="114"/>
  <c r="N20" i="114"/>
  <c r="P20" i="114" s="1"/>
  <c r="K20" i="114"/>
  <c r="J20" i="114"/>
  <c r="G20" i="114"/>
  <c r="F20" i="114"/>
  <c r="C20" i="114"/>
  <c r="B20" i="114"/>
  <c r="N19" i="114"/>
  <c r="K19" i="114"/>
  <c r="J19" i="114"/>
  <c r="G19" i="114"/>
  <c r="F19" i="114"/>
  <c r="C19" i="114"/>
  <c r="B19" i="114"/>
  <c r="N18" i="114"/>
  <c r="P18" i="114" s="1"/>
  <c r="K18" i="114"/>
  <c r="J18" i="114"/>
  <c r="G18" i="114"/>
  <c r="F18" i="114"/>
  <c r="C18" i="114"/>
  <c r="B18" i="114"/>
  <c r="N17" i="114"/>
  <c r="K17" i="114"/>
  <c r="J17" i="114"/>
  <c r="G17" i="114"/>
  <c r="F17" i="114"/>
  <c r="C17" i="114"/>
  <c r="B17" i="114"/>
  <c r="N16" i="114"/>
  <c r="P16" i="114" s="1"/>
  <c r="K16" i="114"/>
  <c r="J16" i="114"/>
  <c r="G16" i="114"/>
  <c r="F16" i="114"/>
  <c r="C16" i="114"/>
  <c r="B16" i="114"/>
  <c r="N15" i="114"/>
  <c r="K15" i="114"/>
  <c r="J15" i="114"/>
  <c r="G15" i="114"/>
  <c r="F15" i="114"/>
  <c r="C15" i="114"/>
  <c r="B15" i="114"/>
  <c r="N14" i="114"/>
  <c r="P14" i="114" s="1"/>
  <c r="K14" i="114"/>
  <c r="J14" i="114"/>
  <c r="G14" i="114"/>
  <c r="F14" i="114"/>
  <c r="C14" i="114"/>
  <c r="B14" i="114"/>
  <c r="N13" i="114"/>
  <c r="J13" i="114"/>
  <c r="G13" i="114"/>
  <c r="F13" i="114"/>
  <c r="C13" i="114"/>
  <c r="B13" i="114"/>
  <c r="N12" i="114"/>
  <c r="P12" i="114" s="1"/>
  <c r="K12" i="114"/>
  <c r="J12" i="114"/>
  <c r="G12" i="114"/>
  <c r="F12" i="114"/>
  <c r="H12" i="114" s="1"/>
  <c r="C12" i="114"/>
  <c r="B12" i="114"/>
  <c r="N11" i="114"/>
  <c r="J11" i="114"/>
  <c r="G11" i="114"/>
  <c r="F11" i="114"/>
  <c r="C11" i="114"/>
  <c r="B11" i="114"/>
  <c r="N10" i="114"/>
  <c r="P10" i="114" s="1"/>
  <c r="K10" i="114"/>
  <c r="J10" i="114"/>
  <c r="G10" i="114"/>
  <c r="F10" i="114"/>
  <c r="C10" i="114"/>
  <c r="B10" i="114"/>
  <c r="K9" i="114"/>
  <c r="J9" i="114"/>
  <c r="G9" i="114"/>
  <c r="F9" i="114"/>
  <c r="C9" i="114"/>
  <c r="B9" i="114"/>
  <c r="G48" i="59"/>
  <c r="F48" i="59"/>
  <c r="J48" i="59"/>
  <c r="N48" i="59"/>
  <c r="N40" i="59"/>
  <c r="N39" i="59"/>
  <c r="P39" i="59" s="1"/>
  <c r="N38" i="59"/>
  <c r="N37" i="59"/>
  <c r="N36" i="59"/>
  <c r="N35" i="59"/>
  <c r="N34" i="59"/>
  <c r="N33" i="59"/>
  <c r="N32" i="59"/>
  <c r="N31" i="59"/>
  <c r="P31" i="59" s="1"/>
  <c r="N30" i="59"/>
  <c r="N29" i="59"/>
  <c r="P29" i="59" s="1"/>
  <c r="N28" i="59"/>
  <c r="N27" i="59"/>
  <c r="N26" i="59"/>
  <c r="N25" i="59"/>
  <c r="N24" i="59"/>
  <c r="N23" i="59"/>
  <c r="P23" i="59" s="1"/>
  <c r="N22" i="59"/>
  <c r="N21" i="59"/>
  <c r="P21" i="59" s="1"/>
  <c r="N20" i="59"/>
  <c r="N19" i="59"/>
  <c r="N18" i="59"/>
  <c r="N17" i="59"/>
  <c r="N16" i="59"/>
  <c r="N15" i="59"/>
  <c r="P15" i="59" s="1"/>
  <c r="N14" i="59"/>
  <c r="N13" i="59"/>
  <c r="P13" i="59" s="1"/>
  <c r="N12" i="59"/>
  <c r="N11" i="59"/>
  <c r="N10" i="59"/>
  <c r="N9" i="59"/>
  <c r="J40" i="59"/>
  <c r="J39" i="59"/>
  <c r="J38" i="59"/>
  <c r="J37" i="59"/>
  <c r="J36" i="59"/>
  <c r="J35" i="59"/>
  <c r="J34" i="59"/>
  <c r="L34" i="59" s="1"/>
  <c r="J33" i="59"/>
  <c r="J32" i="59"/>
  <c r="J31" i="59"/>
  <c r="J30" i="59"/>
  <c r="J29" i="59"/>
  <c r="J28" i="59"/>
  <c r="J27" i="59"/>
  <c r="J26" i="59"/>
  <c r="L26" i="59" s="1"/>
  <c r="J25" i="59"/>
  <c r="L25" i="59" s="1"/>
  <c r="J24" i="59"/>
  <c r="J23" i="59"/>
  <c r="J22" i="59"/>
  <c r="J21" i="59"/>
  <c r="L21" i="59" s="1"/>
  <c r="J20" i="59"/>
  <c r="J19" i="59"/>
  <c r="J18" i="59"/>
  <c r="L18" i="59" s="1"/>
  <c r="J17" i="59"/>
  <c r="L17" i="59" s="1"/>
  <c r="J16" i="59"/>
  <c r="J15" i="59"/>
  <c r="J14" i="59"/>
  <c r="J13" i="59"/>
  <c r="L13" i="59" s="1"/>
  <c r="J12" i="59"/>
  <c r="J11" i="59"/>
  <c r="J10" i="59"/>
  <c r="L10" i="59" s="1"/>
  <c r="J9" i="59"/>
  <c r="L9" i="59" s="1"/>
  <c r="G40" i="59"/>
  <c r="F40" i="59"/>
  <c r="G39" i="59"/>
  <c r="F39" i="59"/>
  <c r="G38" i="59"/>
  <c r="F38" i="59"/>
  <c r="G37" i="59"/>
  <c r="F37" i="59"/>
  <c r="G36" i="59"/>
  <c r="F36" i="59"/>
  <c r="G35" i="59"/>
  <c r="F35" i="59"/>
  <c r="G34" i="59"/>
  <c r="F34" i="59"/>
  <c r="G33" i="59"/>
  <c r="F33" i="59"/>
  <c r="G32" i="59"/>
  <c r="F32" i="59"/>
  <c r="G31" i="59"/>
  <c r="F31" i="59"/>
  <c r="G30" i="59"/>
  <c r="F30" i="59"/>
  <c r="G29" i="59"/>
  <c r="F29" i="59"/>
  <c r="G28" i="59"/>
  <c r="F28" i="59"/>
  <c r="G27" i="59"/>
  <c r="F27" i="59"/>
  <c r="G26" i="59"/>
  <c r="F26" i="59"/>
  <c r="G25" i="59"/>
  <c r="F25" i="59"/>
  <c r="G24" i="59"/>
  <c r="F24" i="59"/>
  <c r="G23" i="59"/>
  <c r="F23" i="59"/>
  <c r="G22" i="59"/>
  <c r="F22" i="59"/>
  <c r="G21" i="59"/>
  <c r="F21" i="59"/>
  <c r="G20" i="59"/>
  <c r="F20" i="59"/>
  <c r="G19" i="59"/>
  <c r="F19" i="59"/>
  <c r="G18" i="59"/>
  <c r="F18" i="59"/>
  <c r="G17" i="59"/>
  <c r="F17" i="59"/>
  <c r="G16" i="59"/>
  <c r="F16" i="59"/>
  <c r="G15" i="59"/>
  <c r="F15" i="59"/>
  <c r="G14" i="59"/>
  <c r="F14" i="59"/>
  <c r="G13" i="59"/>
  <c r="F13" i="59"/>
  <c r="G12" i="59"/>
  <c r="F12" i="59"/>
  <c r="G11" i="59"/>
  <c r="F11" i="59"/>
  <c r="G10" i="59"/>
  <c r="F10" i="59"/>
  <c r="G9" i="59"/>
  <c r="F9" i="59"/>
  <c r="C48" i="59"/>
  <c r="B48"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9" i="59"/>
  <c r="B9" i="59"/>
  <c r="B10" i="59"/>
  <c r="B11" i="59"/>
  <c r="B12" i="59"/>
  <c r="B13" i="59"/>
  <c r="D13" i="59" s="1"/>
  <c r="B14" i="59"/>
  <c r="B15" i="59"/>
  <c r="B16" i="59"/>
  <c r="B17" i="59"/>
  <c r="B18" i="59"/>
  <c r="B19" i="59"/>
  <c r="D19" i="59" s="1"/>
  <c r="B20" i="59"/>
  <c r="B21" i="59"/>
  <c r="D21" i="59" s="1"/>
  <c r="B22" i="59"/>
  <c r="B23" i="59"/>
  <c r="B24" i="59"/>
  <c r="B25" i="59"/>
  <c r="B26" i="59"/>
  <c r="B27" i="59"/>
  <c r="B28" i="59"/>
  <c r="B29" i="59"/>
  <c r="D29" i="59" s="1"/>
  <c r="B30" i="59"/>
  <c r="B31" i="59"/>
  <c r="B32" i="59"/>
  <c r="B33" i="59"/>
  <c r="B34" i="59"/>
  <c r="B35" i="59"/>
  <c r="B36" i="59"/>
  <c r="B37" i="59"/>
  <c r="D37" i="59" s="1"/>
  <c r="B38" i="59"/>
  <c r="B39" i="59"/>
  <c r="B40" i="59"/>
  <c r="D11" i="59" l="1"/>
  <c r="D33" i="114"/>
  <c r="L10" i="114"/>
  <c r="L20" i="114"/>
  <c r="L28" i="114"/>
  <c r="D32" i="114"/>
  <c r="L36" i="114"/>
  <c r="K46" i="114"/>
  <c r="L26" i="114"/>
  <c r="H32" i="114"/>
  <c r="L34" i="114"/>
  <c r="H40" i="114"/>
  <c r="L24" i="114"/>
  <c r="L32" i="114"/>
  <c r="D44" i="113"/>
  <c r="L47" i="113"/>
  <c r="L45" i="113"/>
  <c r="L46" i="113"/>
  <c r="D47" i="113"/>
  <c r="H47" i="113"/>
  <c r="P14" i="59"/>
  <c r="P22" i="59"/>
  <c r="P30" i="59"/>
  <c r="P38" i="59"/>
  <c r="D39" i="59"/>
  <c r="D31" i="59"/>
  <c r="D23" i="59"/>
  <c r="D15" i="59"/>
  <c r="P10" i="59"/>
  <c r="P18" i="59"/>
  <c r="P26" i="59"/>
  <c r="P34" i="59"/>
  <c r="P11" i="59"/>
  <c r="P19" i="59"/>
  <c r="P27" i="59"/>
  <c r="P16" i="59"/>
  <c r="P24" i="59"/>
  <c r="P32" i="59"/>
  <c r="P40" i="59"/>
  <c r="P48" i="59"/>
  <c r="D36" i="59"/>
  <c r="D28" i="59"/>
  <c r="D20" i="59"/>
  <c r="D12" i="59"/>
  <c r="H10" i="59"/>
  <c r="H14" i="59"/>
  <c r="H18" i="59"/>
  <c r="H22" i="59"/>
  <c r="H26" i="59"/>
  <c r="H30" i="59"/>
  <c r="H34" i="59"/>
  <c r="H38" i="59"/>
  <c r="P35" i="59"/>
  <c r="P12" i="59"/>
  <c r="P20" i="59"/>
  <c r="P28" i="59"/>
  <c r="P36" i="59"/>
  <c r="H11" i="59"/>
  <c r="H15" i="59"/>
  <c r="H19" i="59"/>
  <c r="H23" i="59"/>
  <c r="H27" i="59"/>
  <c r="H31" i="59"/>
  <c r="H35" i="59"/>
  <c r="L25" i="114"/>
  <c r="L33" i="114"/>
  <c r="L23" i="114"/>
  <c r="L31" i="114"/>
  <c r="L21" i="114"/>
  <c r="L29" i="114"/>
  <c r="L37" i="114"/>
  <c r="L19" i="114"/>
  <c r="L27" i="114"/>
  <c r="L35" i="114"/>
  <c r="H14" i="114"/>
  <c r="H30" i="114"/>
  <c r="H38" i="114"/>
  <c r="H35" i="114"/>
  <c r="H34" i="114"/>
  <c r="H33" i="114"/>
  <c r="D30" i="114"/>
  <c r="D28" i="114"/>
  <c r="C46" i="114"/>
  <c r="C45" i="114"/>
  <c r="D39" i="114"/>
  <c r="L44" i="113"/>
  <c r="H44" i="113"/>
  <c r="L48" i="59"/>
  <c r="L11" i="59"/>
  <c r="L15" i="59"/>
  <c r="L19" i="59"/>
  <c r="L23" i="59"/>
  <c r="L27" i="59"/>
  <c r="L31" i="59"/>
  <c r="L35" i="59"/>
  <c r="L39" i="59"/>
  <c r="L12" i="59"/>
  <c r="L16" i="59"/>
  <c r="L20" i="59"/>
  <c r="L24" i="59"/>
  <c r="L28" i="59"/>
  <c r="L32" i="59"/>
  <c r="L36" i="59"/>
  <c r="L40" i="59"/>
  <c r="L29" i="59"/>
  <c r="L33" i="59"/>
  <c r="L37" i="59"/>
  <c r="H9" i="59"/>
  <c r="H13" i="59"/>
  <c r="H17" i="59"/>
  <c r="H21" i="59"/>
  <c r="H25" i="59"/>
  <c r="H29" i="59"/>
  <c r="H33" i="59"/>
  <c r="H37" i="59"/>
  <c r="H48" i="59"/>
  <c r="D48" i="59"/>
  <c r="D17" i="59"/>
  <c r="D14" i="59"/>
  <c r="H36" i="59"/>
  <c r="H12" i="59"/>
  <c r="H16" i="59"/>
  <c r="H28" i="59"/>
  <c r="L22" i="59"/>
  <c r="L14" i="59"/>
  <c r="L38" i="59"/>
  <c r="D24" i="59"/>
  <c r="H24" i="59"/>
  <c r="H32" i="59"/>
  <c r="H39" i="59"/>
  <c r="H20" i="59"/>
  <c r="H40" i="59"/>
  <c r="L30" i="59"/>
  <c r="H21" i="114"/>
  <c r="L18" i="114"/>
  <c r="N45" i="114"/>
  <c r="P45" i="114" s="1"/>
  <c r="H27" i="114"/>
  <c r="K47" i="114"/>
  <c r="K45" i="114"/>
  <c r="L9" i="114"/>
  <c r="K44" i="114"/>
  <c r="L11" i="114"/>
  <c r="L12" i="114"/>
  <c r="L13" i="114"/>
  <c r="L14" i="114"/>
  <c r="L15" i="114"/>
  <c r="L16" i="114"/>
  <c r="L17" i="114"/>
  <c r="L38" i="114"/>
  <c r="L39" i="114"/>
  <c r="L40" i="114"/>
  <c r="L42" i="114"/>
  <c r="L43" i="114"/>
  <c r="L48" i="114"/>
  <c r="G47" i="114"/>
  <c r="H10" i="114"/>
  <c r="H16" i="114"/>
  <c r="H18" i="114"/>
  <c r="H20" i="114"/>
  <c r="H22" i="114"/>
  <c r="H24" i="114"/>
  <c r="H25" i="114"/>
  <c r="H26" i="114"/>
  <c r="H42" i="114"/>
  <c r="H43" i="114"/>
  <c r="H48" i="114"/>
  <c r="G44" i="114"/>
  <c r="G45" i="114"/>
  <c r="C47" i="114"/>
  <c r="D9" i="114"/>
  <c r="D10" i="114"/>
  <c r="D11" i="114"/>
  <c r="D12" i="114"/>
  <c r="D13" i="114"/>
  <c r="D14" i="114"/>
  <c r="D15" i="114"/>
  <c r="D16" i="114"/>
  <c r="D17" i="114"/>
  <c r="D18" i="114"/>
  <c r="D19" i="114"/>
  <c r="D20" i="114"/>
  <c r="D21" i="114"/>
  <c r="D22" i="114"/>
  <c r="D23" i="114"/>
  <c r="D24" i="114"/>
  <c r="D25" i="114"/>
  <c r="D26" i="114"/>
  <c r="D27" i="114"/>
  <c r="D42" i="114"/>
  <c r="C44" i="114"/>
  <c r="P21" i="114"/>
  <c r="H9" i="114"/>
  <c r="F46" i="114"/>
  <c r="F44" i="114"/>
  <c r="H44" i="114" s="1"/>
  <c r="P13" i="114"/>
  <c r="P39" i="114"/>
  <c r="P17" i="114"/>
  <c r="H11" i="114"/>
  <c r="H13" i="114"/>
  <c r="D38" i="114"/>
  <c r="P9" i="114"/>
  <c r="J44" i="114"/>
  <c r="D40" i="114"/>
  <c r="N46" i="114"/>
  <c r="P46" i="114" s="1"/>
  <c r="H17" i="114"/>
  <c r="H19" i="114"/>
  <c r="P25" i="114"/>
  <c r="P33" i="114"/>
  <c r="D43" i="114"/>
  <c r="D48" i="114"/>
  <c r="P23" i="114"/>
  <c r="J47" i="114"/>
  <c r="H15" i="114"/>
  <c r="P31" i="114"/>
  <c r="P15" i="114"/>
  <c r="H23" i="114"/>
  <c r="P27" i="114"/>
  <c r="N44" i="114"/>
  <c r="P44" i="114" s="1"/>
  <c r="D34" i="114"/>
  <c r="P35" i="114"/>
  <c r="J45" i="114"/>
  <c r="P19" i="114"/>
  <c r="P29" i="114"/>
  <c r="N47" i="114"/>
  <c r="P47" i="114" s="1"/>
  <c r="D36" i="114"/>
  <c r="P37" i="114"/>
  <c r="B45" i="114"/>
  <c r="D45" i="114" s="1"/>
  <c r="G46" i="114"/>
  <c r="B47" i="114"/>
  <c r="P28" i="114"/>
  <c r="P30" i="114"/>
  <c r="P32" i="114"/>
  <c r="J46" i="114"/>
  <c r="B44" i="114" a="1"/>
  <c r="B44" i="114" s="1"/>
  <c r="D44" i="114" s="1"/>
  <c r="F45" i="114"/>
  <c r="F47" i="114"/>
  <c r="H28" i="114"/>
  <c r="B46" i="114"/>
  <c r="P11" i="114"/>
  <c r="P33" i="59"/>
  <c r="P17" i="59"/>
  <c r="P25" i="59"/>
  <c r="P37" i="59"/>
  <c r="P9" i="59"/>
  <c r="D30" i="59"/>
  <c r="D16" i="59"/>
  <c r="D26" i="59"/>
  <c r="D34" i="59"/>
  <c r="D40" i="59"/>
  <c r="D32" i="59"/>
  <c r="D18" i="59"/>
  <c r="D33" i="59"/>
  <c r="D25" i="59"/>
  <c r="D35" i="59"/>
  <c r="D27" i="59"/>
  <c r="D38" i="59"/>
  <c r="D22" i="59"/>
  <c r="D9" i="59"/>
  <c r="D10" i="59"/>
  <c r="P12" i="105"/>
  <c r="P14" i="105"/>
  <c r="P20" i="105"/>
  <c r="P22" i="105"/>
  <c r="P28" i="105"/>
  <c r="P31" i="105"/>
  <c r="P36" i="105"/>
  <c r="P38" i="105"/>
  <c r="L12" i="105"/>
  <c r="L17" i="105"/>
  <c r="L18" i="105"/>
  <c r="L19" i="105"/>
  <c r="L34" i="105"/>
  <c r="L35" i="105"/>
  <c r="L22" i="105"/>
  <c r="L14" i="105"/>
  <c r="H30" i="105"/>
  <c r="H27" i="105"/>
  <c r="H26" i="105"/>
  <c r="H18" i="105"/>
  <c r="H17" i="105"/>
  <c r="H14" i="105"/>
  <c r="H10" i="105"/>
  <c r="D11" i="105"/>
  <c r="D14" i="105"/>
  <c r="D15" i="105"/>
  <c r="D16" i="105"/>
  <c r="D17" i="105"/>
  <c r="D7" i="106" s="1"/>
  <c r="D18" i="105"/>
  <c r="D22" i="105"/>
  <c r="D24" i="105"/>
  <c r="D26" i="105"/>
  <c r="D30" i="105"/>
  <c r="L47" i="114" l="1"/>
  <c r="L44" i="114"/>
  <c r="H47" i="114"/>
  <c r="H45" i="114"/>
  <c r="L46" i="114"/>
  <c r="D46" i="114"/>
  <c r="L45" i="114"/>
  <c r="L51" i="105"/>
  <c r="L48" i="105"/>
  <c r="H44" i="105"/>
  <c r="H9" i="105"/>
  <c r="D47" i="114"/>
  <c r="H38" i="105"/>
  <c r="H34" i="105"/>
  <c r="H31" i="105"/>
  <c r="H39" i="105"/>
  <c r="D38" i="105"/>
  <c r="D34" i="105"/>
  <c r="H43" i="105"/>
  <c r="L37" i="105"/>
  <c r="L29" i="105"/>
  <c r="L13" i="105"/>
  <c r="P40" i="105"/>
  <c r="P32" i="105"/>
  <c r="P24" i="105"/>
  <c r="P16" i="105"/>
  <c r="L30" i="105"/>
  <c r="L41" i="105"/>
  <c r="L36" i="105"/>
  <c r="L28" i="105"/>
  <c r="L20" i="105"/>
  <c r="P39" i="105"/>
  <c r="P23" i="105"/>
  <c r="P15" i="105"/>
  <c r="H13" i="105"/>
  <c r="H29" i="105"/>
  <c r="H41" i="105"/>
  <c r="H37" i="105"/>
  <c r="L44" i="105"/>
  <c r="L26" i="105"/>
  <c r="L10" i="105"/>
  <c r="P41" i="105"/>
  <c r="L39" i="105"/>
  <c r="L31" i="105"/>
  <c r="L23" i="105"/>
  <c r="L15" i="105"/>
  <c r="H46" i="114"/>
  <c r="P51" i="105"/>
  <c r="P45" i="105"/>
  <c r="P48" i="105"/>
  <c r="L46" i="105"/>
  <c r="D36" i="105"/>
  <c r="D32" i="105"/>
  <c r="D28" i="105"/>
  <c r="D20" i="105"/>
  <c r="D13" i="105"/>
  <c r="H50" i="105"/>
  <c r="L49" i="105"/>
  <c r="L27" i="105"/>
  <c r="L43" i="105"/>
  <c r="D27" i="105"/>
  <c r="H20" i="105"/>
  <c r="H24" i="105"/>
  <c r="L38" i="105"/>
  <c r="P46" i="105"/>
  <c r="D37" i="105"/>
  <c r="D33" i="105"/>
  <c r="D29" i="105"/>
  <c r="D25" i="105"/>
  <c r="D40" i="105"/>
  <c r="D21" i="105"/>
  <c r="D10" i="105"/>
  <c r="H28" i="105"/>
  <c r="H35" i="105"/>
  <c r="H48" i="105"/>
  <c r="H25" i="105"/>
  <c r="P18" i="105"/>
  <c r="H36" i="105"/>
  <c r="L47" i="105"/>
  <c r="H33" i="105"/>
  <c r="H40" i="105"/>
  <c r="P26" i="105"/>
  <c r="D39" i="105"/>
  <c r="D23" i="105"/>
  <c r="D19" i="105"/>
  <c r="D12" i="105"/>
  <c r="D43" i="105"/>
  <c r="H12" i="105"/>
  <c r="H47" i="105"/>
  <c r="H19" i="105"/>
  <c r="H22" i="105"/>
  <c r="D35" i="105"/>
  <c r="D31" i="105"/>
  <c r="H16" i="105"/>
  <c r="H51" i="105"/>
  <c r="P34" i="105"/>
  <c r="P10" i="105"/>
  <c r="P11" i="105"/>
  <c r="P17" i="105"/>
  <c r="P37" i="105"/>
  <c r="P43" i="105"/>
  <c r="P13" i="105"/>
  <c r="P19" i="105"/>
  <c r="P25" i="105"/>
  <c r="P27" i="105"/>
  <c r="P33" i="105"/>
  <c r="P29" i="105"/>
  <c r="P35" i="105"/>
  <c r="P44" i="105"/>
  <c r="L24" i="105"/>
  <c r="L25" i="105"/>
  <c r="L40" i="105"/>
  <c r="L33" i="105"/>
  <c r="L16" i="105"/>
  <c r="P21" i="105"/>
  <c r="P30" i="105"/>
  <c r="P9" i="105"/>
  <c r="L21" i="105"/>
  <c r="L32" i="105"/>
  <c r="L11" i="105"/>
  <c r="L9" i="105"/>
  <c r="H15" i="105"/>
  <c r="H23" i="105"/>
  <c r="H21" i="105"/>
  <c r="H32" i="105"/>
  <c r="H11" i="105"/>
  <c r="H45" i="105" l="1"/>
  <c r="H49" i="105"/>
  <c r="L45" i="105"/>
  <c r="H46" i="105"/>
  <c r="P49" i="105"/>
  <c r="P47" i="105"/>
  <c r="L50" i="105"/>
  <c r="P50" i="105"/>
  <c r="D19" i="130"/>
  <c r="E19" i="130"/>
  <c r="F19" i="130"/>
  <c r="G19" i="130"/>
  <c r="H19" i="130"/>
  <c r="D20" i="130"/>
  <c r="E20" i="130"/>
  <c r="F20" i="130"/>
  <c r="G20" i="130"/>
  <c r="H20" i="130"/>
  <c r="D8" i="130"/>
  <c r="E8" i="130"/>
  <c r="F8" i="130"/>
  <c r="G8" i="130"/>
  <c r="H8" i="130"/>
  <c r="D9" i="130"/>
  <c r="E9" i="130"/>
  <c r="F9" i="130"/>
  <c r="G9" i="130"/>
  <c r="H9" i="130"/>
  <c r="D10" i="130"/>
  <c r="E10" i="130"/>
  <c r="F10" i="130"/>
  <c r="G10" i="130"/>
  <c r="H10" i="130"/>
  <c r="D11" i="130"/>
  <c r="E11" i="130"/>
  <c r="F11" i="130"/>
  <c r="G11" i="130"/>
  <c r="H11" i="130"/>
  <c r="D12" i="130"/>
  <c r="E12" i="130"/>
  <c r="F12" i="130"/>
  <c r="G12" i="130"/>
  <c r="H12" i="130"/>
  <c r="D13" i="130"/>
  <c r="E13" i="130"/>
  <c r="F13" i="130"/>
  <c r="G13" i="130"/>
  <c r="H13" i="130"/>
  <c r="D14" i="130"/>
  <c r="E14" i="130"/>
  <c r="F14" i="130"/>
  <c r="G14" i="130"/>
  <c r="H14" i="130"/>
  <c r="H7" i="130"/>
  <c r="G7" i="130"/>
  <c r="F7" i="130"/>
  <c r="E7" i="130"/>
  <c r="J7" i="85"/>
  <c r="C16" i="85"/>
  <c r="D16" i="85" s="1"/>
  <c r="D19" i="85"/>
  <c r="E19" i="85"/>
  <c r="F19" i="85"/>
  <c r="G19" i="85"/>
  <c r="H19" i="85"/>
  <c r="D20" i="85"/>
  <c r="E20" i="85"/>
  <c r="F20" i="85"/>
  <c r="G20" i="85"/>
  <c r="H20" i="85"/>
  <c r="D8" i="85"/>
  <c r="E8" i="85"/>
  <c r="F8" i="85"/>
  <c r="G8" i="85"/>
  <c r="H8" i="85"/>
  <c r="D9" i="85"/>
  <c r="E9" i="85"/>
  <c r="F9" i="85"/>
  <c r="G9" i="85"/>
  <c r="C24" i="119" s="1"/>
  <c r="H9" i="85"/>
  <c r="D10" i="85"/>
  <c r="E10" i="85"/>
  <c r="F10" i="85"/>
  <c r="G10" i="85"/>
  <c r="H10" i="85"/>
  <c r="D11" i="85"/>
  <c r="E11" i="85"/>
  <c r="F11" i="85"/>
  <c r="G11" i="85"/>
  <c r="H11" i="85"/>
  <c r="D12" i="85"/>
  <c r="E12" i="85"/>
  <c r="F12" i="85"/>
  <c r="G12" i="85"/>
  <c r="H12" i="85"/>
  <c r="D13" i="85"/>
  <c r="E13" i="85"/>
  <c r="F13" i="85"/>
  <c r="G13" i="85"/>
  <c r="H13" i="85"/>
  <c r="D14" i="85"/>
  <c r="E14" i="85"/>
  <c r="F14" i="85"/>
  <c r="G14" i="85"/>
  <c r="H14" i="85"/>
  <c r="H7" i="85"/>
  <c r="G7" i="85"/>
  <c r="F7" i="85"/>
  <c r="E7" i="85"/>
  <c r="O48" i="129"/>
  <c r="N48" i="129"/>
  <c r="H18" i="85" s="1"/>
  <c r="K48" i="129"/>
  <c r="J48" i="129"/>
  <c r="G48" i="129"/>
  <c r="F48" i="129"/>
  <c r="C48" i="129"/>
  <c r="B48" i="129"/>
  <c r="B46" i="129"/>
  <c r="O48" i="84"/>
  <c r="N48" i="84"/>
  <c r="K48" i="84"/>
  <c r="J48" i="84"/>
  <c r="G48" i="84"/>
  <c r="F48" i="84"/>
  <c r="B48" i="84"/>
  <c r="D48" i="84" s="1"/>
  <c r="F14" i="32"/>
  <c r="G14" i="32"/>
  <c r="F11" i="32"/>
  <c r="G43" i="31"/>
  <c r="F10" i="32"/>
  <c r="F13" i="32"/>
  <c r="E10" i="32"/>
  <c r="E13" i="32"/>
  <c r="D10" i="32"/>
  <c r="D13" i="32"/>
  <c r="G40" i="31"/>
  <c r="E7" i="32"/>
  <c r="F7" i="32"/>
  <c r="G7" i="32"/>
  <c r="E8" i="32"/>
  <c r="F8" i="32"/>
  <c r="G8" i="32"/>
  <c r="E9" i="32"/>
  <c r="F9" i="32"/>
  <c r="G9" i="32"/>
  <c r="G10" i="32"/>
  <c r="E11" i="32"/>
  <c r="G11" i="32"/>
  <c r="E12" i="32"/>
  <c r="F12" i="32"/>
  <c r="G12" i="32"/>
  <c r="G13" i="32"/>
  <c r="E14" i="32"/>
  <c r="D8" i="32"/>
  <c r="D9" i="32"/>
  <c r="D11" i="32"/>
  <c r="D12" i="32"/>
  <c r="D14" i="32"/>
  <c r="D7" i="32"/>
  <c r="G42" i="31"/>
  <c r="G41" i="31"/>
  <c r="D18" i="130" l="1"/>
  <c r="C23" i="119"/>
  <c r="I9" i="130"/>
  <c r="F16" i="85"/>
  <c r="E16" i="85"/>
  <c r="D48" i="129"/>
  <c r="D18" i="85" s="1"/>
  <c r="H48" i="129"/>
  <c r="E18" i="85" s="1"/>
  <c r="L48" i="129"/>
  <c r="F18" i="85" s="1"/>
  <c r="F24" i="119"/>
  <c r="P48" i="129"/>
  <c r="G18" i="85" s="1"/>
  <c r="J46" i="12" s="1"/>
  <c r="G24" i="119"/>
  <c r="F46" i="12"/>
  <c r="K46" i="12"/>
  <c r="L46" i="12"/>
  <c r="P48" i="84"/>
  <c r="G18" i="130" s="1"/>
  <c r="F45" i="12"/>
  <c r="H18" i="130"/>
  <c r="G16" i="85"/>
  <c r="H16" i="85"/>
  <c r="H48" i="84"/>
  <c r="E18" i="130" s="1"/>
  <c r="L48" i="84"/>
  <c r="F18" i="130" s="1"/>
  <c r="K46" i="129"/>
  <c r="O44" i="129"/>
  <c r="C47" i="129"/>
  <c r="K45" i="129"/>
  <c r="F45" i="129"/>
  <c r="N45" i="129"/>
  <c r="C44" i="129"/>
  <c r="K47" i="129"/>
  <c r="B44" i="129"/>
  <c r="G44" i="129"/>
  <c r="F47" i="129"/>
  <c r="N47" i="129"/>
  <c r="G46" i="129"/>
  <c r="B47" i="129"/>
  <c r="G47" i="129"/>
  <c r="F46" i="129"/>
  <c r="N46" i="129"/>
  <c r="K44" i="129"/>
  <c r="J47" i="129"/>
  <c r="O45" i="129"/>
  <c r="F44" i="129"/>
  <c r="N44" i="129"/>
  <c r="O47" i="129"/>
  <c r="C45" i="129"/>
  <c r="O46" i="129"/>
  <c r="J44" i="129"/>
  <c r="C46" i="129"/>
  <c r="D46" i="129" s="1"/>
  <c r="B45" i="129"/>
  <c r="G45" i="129"/>
  <c r="N49" i="127"/>
  <c r="J49" i="127"/>
  <c r="B49" i="127"/>
  <c r="K48" i="127" a="1"/>
  <c r="K48" i="127" s="1"/>
  <c r="J48" i="127" a="1"/>
  <c r="J48" i="127" s="1"/>
  <c r="L48" i="127" s="1"/>
  <c r="C48" i="127" a="1"/>
  <c r="C48" i="127" s="1"/>
  <c r="B48" i="127" a="1"/>
  <c r="B48" i="127" s="1"/>
  <c r="K47" i="127" a="1"/>
  <c r="K47" i="127" s="1"/>
  <c r="J47" i="127" a="1"/>
  <c r="J47" i="127" s="1"/>
  <c r="L47" i="127" s="1"/>
  <c r="C47" i="127" a="1"/>
  <c r="C47" i="127" s="1"/>
  <c r="D47" i="127" s="1"/>
  <c r="B47" i="127"/>
  <c r="B47" i="127" a="1"/>
  <c r="K46" i="127" a="1"/>
  <c r="K46" i="127" s="1"/>
  <c r="J46" i="127"/>
  <c r="J46" i="127" a="1"/>
  <c r="C46" i="127" a="1"/>
  <c r="C46" i="127" s="1"/>
  <c r="B46" i="127"/>
  <c r="D46" i="127" s="1"/>
  <c r="B46" i="127" a="1"/>
  <c r="K45" i="127" a="1"/>
  <c r="K45" i="127" s="1"/>
  <c r="J45" i="127" a="1"/>
  <c r="J45" i="127" s="1"/>
  <c r="L45" i="127" s="1"/>
  <c r="C45" i="127" a="1"/>
  <c r="C45" i="127" s="1"/>
  <c r="B45" i="127"/>
  <c r="D45" i="127" s="1"/>
  <c r="B45" i="127" a="1"/>
  <c r="K9" i="85" l="1"/>
  <c r="L9" i="85" s="1"/>
  <c r="D24" i="119"/>
  <c r="P47" i="129"/>
  <c r="G17" i="85" s="1"/>
  <c r="H17" i="85"/>
  <c r="P44" i="129"/>
  <c r="E24" i="119" s="1"/>
  <c r="L47" i="129"/>
  <c r="F17" i="85" s="1"/>
  <c r="H44" i="129"/>
  <c r="P45" i="129"/>
  <c r="L44" i="129"/>
  <c r="D47" i="129"/>
  <c r="D17" i="85" s="1"/>
  <c r="D45" i="129"/>
  <c r="D44" i="129"/>
  <c r="H45" i="129"/>
  <c r="P46" i="129"/>
  <c r="H46" i="129"/>
  <c r="J45" i="129"/>
  <c r="L45" i="129" s="1"/>
  <c r="H47" i="129"/>
  <c r="E17" i="85" s="1"/>
  <c r="J46" i="129"/>
  <c r="L46" i="129" s="1"/>
  <c r="K44" i="84"/>
  <c r="K47" i="84"/>
  <c r="J45" i="84"/>
  <c r="K45" i="84"/>
  <c r="J44" i="84"/>
  <c r="J46" i="84"/>
  <c r="K46" i="84"/>
  <c r="J47" i="84"/>
  <c r="D48" i="127"/>
  <c r="L46" i="127"/>
  <c r="B41" i="105" a="1"/>
  <c r="B41" i="105" s="1"/>
  <c r="D41" i="105" s="1"/>
  <c r="B45" i="105" a="1"/>
  <c r="B45" i="105" s="1"/>
  <c r="L47" i="84" l="1"/>
  <c r="F17" i="130" s="1"/>
  <c r="L44" i="84"/>
  <c r="L46" i="84"/>
  <c r="L45" i="84"/>
  <c r="B48" i="105" a="1"/>
  <c r="B48" i="105" s="1"/>
  <c r="D48" i="105" s="1"/>
  <c r="D45" i="105"/>
  <c r="B50" i="105"/>
  <c r="D50" i="105" s="1"/>
  <c r="B47" i="105" a="1"/>
  <c r="B47" i="105" s="1"/>
  <c r="D47" i="105" s="1"/>
  <c r="D9" i="105"/>
  <c r="B44" i="105" a="1"/>
  <c r="B44" i="105" s="1"/>
  <c r="D44" i="105" s="1"/>
  <c r="B49" i="105"/>
  <c r="D49" i="105" s="1"/>
  <c r="B51" i="105"/>
  <c r="D51" i="105" s="1"/>
  <c r="B46" i="105" a="1"/>
  <c r="B46" i="105" s="1"/>
  <c r="D46" i="105" s="1"/>
  <c r="J16" i="46" l="1"/>
  <c r="I16" i="46"/>
  <c r="G47" i="42" a="1"/>
  <c r="G47" i="42" s="1"/>
  <c r="F47" i="42" a="1"/>
  <c r="F47" i="42" s="1"/>
  <c r="G46" i="42" a="1"/>
  <c r="G46" i="42" s="1"/>
  <c r="F46" i="42" a="1"/>
  <c r="F46" i="42" s="1"/>
  <c r="G45" i="42" a="1"/>
  <c r="G45" i="42" s="1"/>
  <c r="F45" i="42" a="1"/>
  <c r="F45" i="42" s="1"/>
  <c r="H45" i="42" s="1"/>
  <c r="G44" i="42" a="1"/>
  <c r="G44" i="42" s="1"/>
  <c r="F44" i="42" a="1"/>
  <c r="F44" i="42" s="1"/>
  <c r="H44" i="42" s="1"/>
  <c r="C47" i="42" a="1"/>
  <c r="C47" i="42" s="1"/>
  <c r="C46" i="42" a="1"/>
  <c r="C46" i="42" s="1"/>
  <c r="C45" i="42" a="1"/>
  <c r="C45" i="42" s="1"/>
  <c r="C44" i="42" a="1"/>
  <c r="C44" i="42" s="1"/>
  <c r="B44" i="42" a="1"/>
  <c r="B44" i="42" s="1"/>
  <c r="B47" i="42" a="1"/>
  <c r="B47" i="42" s="1"/>
  <c r="B46" i="42" a="1"/>
  <c r="B46" i="42" s="1"/>
  <c r="B45" i="42" a="1"/>
  <c r="B45" i="42" s="1"/>
  <c r="H46" i="42" l="1"/>
  <c r="H47" i="42"/>
  <c r="G40" i="28" l="1" a="1"/>
  <c r="G40" i="28" s="1"/>
  <c r="H40" i="28" a="1"/>
  <c r="H40" i="28" s="1"/>
  <c r="I40" i="28" a="1"/>
  <c r="I40" i="28" s="1"/>
  <c r="F40" i="28" a="1"/>
  <c r="F40" i="28" s="1"/>
  <c r="F39" i="28" a="1"/>
  <c r="F39" i="28" s="1"/>
  <c r="K31" i="28"/>
  <c r="F10" i="33" l="1"/>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9" i="33"/>
  <c r="F40"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9" i="33"/>
  <c r="J40" i="33"/>
  <c r="N9" i="33"/>
  <c r="N10" i="33"/>
  <c r="N11" i="33"/>
  <c r="N12" i="33"/>
  <c r="N13" i="33"/>
  <c r="N14" i="33"/>
  <c r="N15" i="33"/>
  <c r="N16" i="33"/>
  <c r="N17" i="33"/>
  <c r="N18" i="33"/>
  <c r="N19" i="33"/>
  <c r="N20" i="33"/>
  <c r="N21" i="33"/>
  <c r="N22" i="33"/>
  <c r="N23" i="33"/>
  <c r="N24" i="33"/>
  <c r="N25" i="33"/>
  <c r="N26" i="33"/>
  <c r="N27" i="33"/>
  <c r="N28" i="33"/>
  <c r="N29" i="33"/>
  <c r="N30" i="33"/>
  <c r="N31" i="33"/>
  <c r="N32" i="33"/>
  <c r="N33" i="33"/>
  <c r="N34" i="33"/>
  <c r="N35" i="33"/>
  <c r="N36" i="33"/>
  <c r="N37" i="33"/>
  <c r="N39" i="33"/>
  <c r="N40" i="33"/>
  <c r="N42" i="33"/>
  <c r="E10" i="13"/>
  <c r="J29" i="12"/>
  <c r="J28" i="12"/>
  <c r="F29" i="12"/>
  <c r="F28" i="12"/>
  <c r="D29" i="12"/>
  <c r="D28" i="12"/>
  <c r="J27" i="12"/>
  <c r="F27" i="12"/>
  <c r="F8" i="139"/>
  <c r="F9" i="139"/>
  <c r="F10" i="139"/>
  <c r="F11" i="139"/>
  <c r="F12" i="139"/>
  <c r="F13" i="139"/>
  <c r="F14" i="139"/>
  <c r="F7" i="139"/>
  <c r="F8" i="138"/>
  <c r="F9" i="138"/>
  <c r="F10" i="138"/>
  <c r="F11" i="138"/>
  <c r="F12" i="138"/>
  <c r="F13" i="138"/>
  <c r="F14" i="138"/>
  <c r="F7" i="138"/>
  <c r="C16" i="139"/>
  <c r="D16" i="139" s="1"/>
  <c r="G10" i="139" s="1"/>
  <c r="D16" i="138"/>
  <c r="D16" i="132"/>
  <c r="C16" i="138"/>
  <c r="E16" i="138" s="1"/>
  <c r="E19" i="139"/>
  <c r="E18" i="139"/>
  <c r="E14" i="139"/>
  <c r="E13" i="139"/>
  <c r="E12" i="139"/>
  <c r="E11" i="139"/>
  <c r="E10" i="139"/>
  <c r="E9" i="139"/>
  <c r="E8" i="139"/>
  <c r="E7" i="139"/>
  <c r="E19" i="138"/>
  <c r="E18" i="138"/>
  <c r="E14" i="138"/>
  <c r="E13" i="138"/>
  <c r="E12" i="138"/>
  <c r="E11" i="138"/>
  <c r="E10" i="138"/>
  <c r="E9" i="138"/>
  <c r="E8" i="138"/>
  <c r="E7" i="138"/>
  <c r="E19" i="132"/>
  <c r="E18" i="132"/>
  <c r="E16" i="132"/>
  <c r="E14" i="132"/>
  <c r="E13" i="132"/>
  <c r="E12" i="132"/>
  <c r="E11" i="132"/>
  <c r="E10" i="132"/>
  <c r="E9" i="132"/>
  <c r="E8" i="132"/>
  <c r="E7" i="132"/>
  <c r="D19" i="139"/>
  <c r="D18" i="139"/>
  <c r="D17" i="139"/>
  <c r="D14" i="139"/>
  <c r="D13" i="139"/>
  <c r="D12" i="139"/>
  <c r="D11" i="139"/>
  <c r="D10" i="139"/>
  <c r="D9" i="139"/>
  <c r="D8" i="139"/>
  <c r="D7" i="139"/>
  <c r="D19" i="138"/>
  <c r="D18" i="138"/>
  <c r="D17" i="138"/>
  <c r="D14" i="138"/>
  <c r="D13" i="138"/>
  <c r="D12" i="138"/>
  <c r="D11" i="138"/>
  <c r="D10" i="138"/>
  <c r="D9" i="138"/>
  <c r="D8" i="138"/>
  <c r="D7" i="138"/>
  <c r="E22" i="139"/>
  <c r="C22" i="139"/>
  <c r="E22" i="138"/>
  <c r="C22" i="138"/>
  <c r="C22" i="132"/>
  <c r="E22" i="132"/>
  <c r="B10" i="134"/>
  <c r="B11" i="134"/>
  <c r="B12" i="134"/>
  <c r="B13" i="134"/>
  <c r="B14" i="134"/>
  <c r="B15" i="134"/>
  <c r="B16" i="134"/>
  <c r="B17" i="134"/>
  <c r="B18" i="134"/>
  <c r="B19" i="134"/>
  <c r="B20" i="134"/>
  <c r="B21" i="134"/>
  <c r="B22" i="134"/>
  <c r="B23" i="134"/>
  <c r="B24" i="134"/>
  <c r="B25" i="134"/>
  <c r="B26" i="134"/>
  <c r="B27" i="134"/>
  <c r="B29" i="134"/>
  <c r="B30" i="134"/>
  <c r="B32" i="134"/>
  <c r="B33" i="134"/>
  <c r="B34" i="134"/>
  <c r="B36" i="134"/>
  <c r="B37" i="134"/>
  <c r="B38" i="134"/>
  <c r="B39" i="134"/>
  <c r="B40" i="134"/>
  <c r="B9" i="134"/>
  <c r="C42" i="135"/>
  <c r="C42" i="134"/>
  <c r="C42" i="133"/>
  <c r="C48" i="133" a="1"/>
  <c r="C48" i="133" s="1"/>
  <c r="B48" i="133" a="1"/>
  <c r="B48" i="133"/>
  <c r="D48" i="133" s="1"/>
  <c r="D47" i="133"/>
  <c r="C47" i="133"/>
  <c r="B47" i="133"/>
  <c r="C46" i="133"/>
  <c r="B46" i="133"/>
  <c r="D46" i="133" s="1"/>
  <c r="C45" i="133"/>
  <c r="B45" i="133"/>
  <c r="D45" i="133" s="1"/>
  <c r="C44" i="133"/>
  <c r="B44" i="133" a="1"/>
  <c r="B44" i="133"/>
  <c r="D44" i="133" s="1"/>
  <c r="C48" i="134" a="1"/>
  <c r="C48" i="134" s="1"/>
  <c r="B48" i="134" a="1"/>
  <c r="B48" i="134" s="1"/>
  <c r="C47" i="134"/>
  <c r="B47" i="134"/>
  <c r="C46" i="134"/>
  <c r="B46" i="134"/>
  <c r="C45" i="134"/>
  <c r="B45" i="134"/>
  <c r="C44" i="134"/>
  <c r="B44" i="134" a="1"/>
  <c r="B44" i="134" s="1"/>
  <c r="C48" i="135" a="1"/>
  <c r="C48" i="135" s="1"/>
  <c r="D48" i="135" s="1"/>
  <c r="B48" i="135" a="1"/>
  <c r="B48" i="135" s="1"/>
  <c r="C47" i="135"/>
  <c r="B47" i="135"/>
  <c r="C46" i="135"/>
  <c r="B46" i="135"/>
  <c r="C45" i="135"/>
  <c r="B45" i="135"/>
  <c r="C44" i="135"/>
  <c r="B44" i="135" a="1"/>
  <c r="B44" i="135" s="1"/>
  <c r="N38" i="33" l="1"/>
  <c r="J38" i="33"/>
  <c r="F38" i="33"/>
  <c r="E16" i="139"/>
  <c r="G11" i="139"/>
  <c r="G12" i="139"/>
  <c r="G13" i="139"/>
  <c r="G9" i="139"/>
  <c r="G8" i="139"/>
  <c r="G7" i="139"/>
  <c r="G14" i="139"/>
  <c r="G13" i="138"/>
  <c r="G12" i="138"/>
  <c r="G8" i="138"/>
  <c r="G10" i="138"/>
  <c r="G14" i="138"/>
  <c r="G7" i="138"/>
  <c r="G9" i="138"/>
  <c r="G11" i="138"/>
  <c r="D45" i="135"/>
  <c r="D46" i="135"/>
  <c r="D47" i="135"/>
  <c r="D44" i="135"/>
  <c r="D45" i="134"/>
  <c r="D46" i="134"/>
  <c r="D47" i="134"/>
  <c r="D48" i="134"/>
  <c r="D44" i="134"/>
  <c r="D42" i="135"/>
  <c r="D42" i="133"/>
  <c r="B42" i="133"/>
  <c r="B42" i="134"/>
  <c r="D42" i="134" s="1"/>
  <c r="B42" i="135"/>
  <c r="B40" i="135"/>
  <c r="B39" i="135"/>
  <c r="B38" i="135"/>
  <c r="B37" i="135"/>
  <c r="B36" i="135"/>
  <c r="B34" i="135"/>
  <c r="B33" i="135"/>
  <c r="B32" i="135"/>
  <c r="B30" i="135"/>
  <c r="B29" i="135"/>
  <c r="B27" i="135"/>
  <c r="B25" i="135"/>
  <c r="B24" i="135"/>
  <c r="B23" i="135"/>
  <c r="B22" i="135"/>
  <c r="B21" i="135"/>
  <c r="B20" i="135"/>
  <c r="B19" i="135"/>
  <c r="B18" i="135"/>
  <c r="B17" i="135"/>
  <c r="B16" i="135"/>
  <c r="B15" i="135"/>
  <c r="B13" i="135"/>
  <c r="B12" i="135"/>
  <c r="B11" i="135"/>
  <c r="B10" i="135"/>
  <c r="B9" i="135"/>
  <c r="B12" i="67"/>
  <c r="C11" i="67"/>
  <c r="D11" i="67" s="1"/>
  <c r="N48" i="88" l="1" a="1"/>
  <c r="N48" i="88" s="1"/>
  <c r="I22" i="112"/>
  <c r="D6" i="111"/>
  <c r="P43" i="24" l="1"/>
  <c r="A486" i="86" l="1"/>
  <c r="A485" i="86"/>
  <c r="A484" i="86"/>
  <c r="A483" i="86"/>
  <c r="A482" i="86"/>
  <c r="A481" i="86"/>
  <c r="A480" i="86"/>
  <c r="A479" i="86"/>
  <c r="A478" i="86"/>
  <c r="A477" i="86"/>
  <c r="A476" i="86"/>
  <c r="A475" i="86"/>
  <c r="A474" i="86"/>
  <c r="A473" i="86"/>
  <c r="A472" i="86"/>
  <c r="A471" i="86"/>
  <c r="A470" i="86"/>
  <c r="A469" i="86"/>
  <c r="A468" i="86"/>
  <c r="A467" i="86"/>
  <c r="A466" i="86"/>
  <c r="A465" i="86"/>
  <c r="A464" i="86"/>
  <c r="A463" i="86"/>
  <c r="A462" i="86"/>
  <c r="A461" i="86"/>
  <c r="A460" i="86"/>
  <c r="A459" i="86"/>
  <c r="A458" i="86"/>
  <c r="A457" i="86"/>
  <c r="A456" i="86"/>
  <c r="A455" i="86"/>
  <c r="A454" i="86"/>
  <c r="A453" i="86"/>
  <c r="A452" i="86"/>
  <c r="A451" i="86"/>
  <c r="A450" i="86"/>
  <c r="A449" i="86"/>
  <c r="A448" i="86"/>
  <c r="A447" i="86"/>
  <c r="A446" i="86"/>
  <c r="A445" i="86"/>
  <c r="A444" i="86"/>
  <c r="A443" i="86"/>
  <c r="A442" i="86"/>
  <c r="A441" i="86"/>
  <c r="A440" i="86"/>
  <c r="A439" i="86"/>
  <c r="A438" i="86"/>
  <c r="A437" i="86"/>
  <c r="A436" i="86"/>
  <c r="A435" i="86"/>
  <c r="A434" i="86"/>
  <c r="A433" i="86"/>
  <c r="A432" i="86"/>
  <c r="A431" i="86"/>
  <c r="A430" i="86"/>
  <c r="A429" i="86"/>
  <c r="A428" i="86"/>
  <c r="A427" i="86"/>
  <c r="A426" i="86"/>
  <c r="A425" i="86"/>
  <c r="A424" i="86"/>
  <c r="A423" i="86"/>
  <c r="A422" i="86"/>
  <c r="A421" i="86"/>
  <c r="A420" i="86"/>
  <c r="A419" i="86"/>
  <c r="A418" i="86"/>
  <c r="A417" i="86"/>
  <c r="A416" i="86"/>
  <c r="A415" i="86"/>
  <c r="A414" i="86"/>
  <c r="A413" i="86"/>
  <c r="A412" i="86"/>
  <c r="A411" i="86"/>
  <c r="A410" i="86"/>
  <c r="A409" i="86"/>
  <c r="A408" i="86"/>
  <c r="A407" i="86"/>
  <c r="A406" i="86"/>
  <c r="A405" i="86"/>
  <c r="A404" i="86"/>
  <c r="A403" i="86"/>
  <c r="A402" i="86"/>
  <c r="A401" i="86"/>
  <c r="A400" i="86"/>
  <c r="A399" i="86"/>
  <c r="A398" i="86"/>
  <c r="A397" i="86"/>
  <c r="A396" i="86"/>
  <c r="A395" i="86"/>
  <c r="A394" i="86"/>
  <c r="A393" i="86"/>
  <c r="A392" i="86"/>
  <c r="A391" i="86"/>
  <c r="A390" i="86"/>
  <c r="A389" i="86"/>
  <c r="A388" i="86"/>
  <c r="A387" i="86"/>
  <c r="A386" i="86"/>
  <c r="A385" i="86"/>
  <c r="A384" i="86"/>
  <c r="A383" i="86"/>
  <c r="A382" i="86"/>
  <c r="A381" i="86"/>
  <c r="A380" i="86"/>
  <c r="A379" i="86"/>
  <c r="A378" i="86"/>
  <c r="A377" i="86"/>
  <c r="A376" i="86"/>
  <c r="A375" i="86"/>
  <c r="A374" i="86"/>
  <c r="A373" i="86"/>
  <c r="A372" i="86"/>
  <c r="A371" i="86"/>
  <c r="A370" i="86"/>
  <c r="A369" i="86"/>
  <c r="A368" i="86"/>
  <c r="A367" i="86"/>
  <c r="A366" i="86"/>
  <c r="A365" i="86"/>
  <c r="A364" i="86"/>
  <c r="A363" i="86"/>
  <c r="A362" i="86"/>
  <c r="A361" i="86"/>
  <c r="A360" i="86"/>
  <c r="A359" i="86"/>
  <c r="A358" i="86"/>
  <c r="A357" i="86"/>
  <c r="A356" i="86"/>
  <c r="A355" i="86"/>
  <c r="A354" i="86"/>
  <c r="A353" i="86"/>
  <c r="A352" i="86"/>
  <c r="A351" i="86"/>
  <c r="A350" i="86"/>
  <c r="A349" i="86"/>
  <c r="A348" i="86"/>
  <c r="A347" i="86"/>
  <c r="A346" i="86"/>
  <c r="A345" i="86"/>
  <c r="A344" i="86"/>
  <c r="A343" i="86"/>
  <c r="A342" i="86"/>
  <c r="A341" i="86"/>
  <c r="A340" i="86"/>
  <c r="A339" i="86"/>
  <c r="A338" i="86"/>
  <c r="A337" i="86"/>
  <c r="A336" i="86"/>
  <c r="A335" i="86"/>
  <c r="A334" i="86"/>
  <c r="A333" i="86"/>
  <c r="A332" i="86"/>
  <c r="A331" i="86"/>
  <c r="A330" i="86"/>
  <c r="A329" i="86"/>
  <c r="A328" i="86"/>
  <c r="A327" i="86"/>
  <c r="A326" i="86"/>
  <c r="A325" i="86"/>
  <c r="A324" i="86"/>
  <c r="A323" i="86"/>
  <c r="A322" i="86"/>
  <c r="A321" i="86"/>
  <c r="A320" i="86"/>
  <c r="A319" i="86"/>
  <c r="A318" i="86"/>
  <c r="A317" i="86"/>
  <c r="A316" i="86"/>
  <c r="A315" i="86"/>
  <c r="A314" i="86"/>
  <c r="A313" i="86"/>
  <c r="A312" i="86"/>
  <c r="A311" i="86"/>
  <c r="A310" i="86"/>
  <c r="A309" i="86"/>
  <c r="A308" i="86"/>
  <c r="A307" i="86"/>
  <c r="A306" i="86"/>
  <c r="A305" i="86"/>
  <c r="A304" i="86"/>
  <c r="A303" i="86"/>
  <c r="A302" i="86"/>
  <c r="A301" i="86"/>
  <c r="A300" i="86"/>
  <c r="A299" i="86"/>
  <c r="A298" i="86"/>
  <c r="A297" i="86"/>
  <c r="A296" i="86"/>
  <c r="A295" i="86"/>
  <c r="A294" i="86"/>
  <c r="A293" i="86"/>
  <c r="A292" i="86"/>
  <c r="A291" i="86"/>
  <c r="A290" i="86"/>
  <c r="A289" i="86"/>
  <c r="A288" i="86"/>
  <c r="A287" i="86"/>
  <c r="A286" i="86"/>
  <c r="A285" i="86"/>
  <c r="A284" i="86"/>
  <c r="A283" i="86"/>
  <c r="A282" i="86"/>
  <c r="A281" i="86"/>
  <c r="A280" i="86"/>
  <c r="A279" i="86"/>
  <c r="A278" i="86"/>
  <c r="A277" i="86"/>
  <c r="A276" i="86"/>
  <c r="A275" i="86"/>
  <c r="A274" i="86"/>
  <c r="A273" i="86"/>
  <c r="A272" i="86"/>
  <c r="A271" i="86"/>
  <c r="A270" i="86"/>
  <c r="A269" i="86"/>
  <c r="A268" i="86"/>
  <c r="A267" i="86"/>
  <c r="A266" i="86"/>
  <c r="A265" i="86"/>
  <c r="A264" i="86"/>
  <c r="A263" i="86"/>
  <c r="A262" i="86"/>
  <c r="A261" i="86"/>
  <c r="A260" i="86"/>
  <c r="A259" i="86"/>
  <c r="A258" i="86"/>
  <c r="A257" i="86"/>
  <c r="A256" i="86"/>
  <c r="A255" i="86"/>
  <c r="A254" i="86"/>
  <c r="A253" i="86"/>
  <c r="A252" i="86"/>
  <c r="A251" i="86"/>
  <c r="A250" i="86"/>
  <c r="A249" i="86"/>
  <c r="A248" i="86"/>
  <c r="A247" i="86"/>
  <c r="A246" i="86"/>
  <c r="A245" i="86"/>
  <c r="A244" i="86"/>
  <c r="A243" i="86"/>
  <c r="A242" i="86"/>
  <c r="A241" i="86"/>
  <c r="A240" i="86"/>
  <c r="A239" i="86"/>
  <c r="A238" i="86"/>
  <c r="A237" i="86"/>
  <c r="A236" i="86"/>
  <c r="A235" i="86"/>
  <c r="A234" i="86"/>
  <c r="A233" i="86"/>
  <c r="A232" i="86"/>
  <c r="A231" i="86"/>
  <c r="A230" i="86"/>
  <c r="A229" i="86"/>
  <c r="A228" i="86"/>
  <c r="A227" i="86"/>
  <c r="A226" i="86"/>
  <c r="A225" i="86"/>
  <c r="A224" i="86"/>
  <c r="A223" i="86"/>
  <c r="A222" i="86"/>
  <c r="A221" i="86"/>
  <c r="A220" i="86"/>
  <c r="A219" i="86"/>
  <c r="A218" i="86"/>
  <c r="A217" i="86"/>
  <c r="A216" i="86"/>
  <c r="A215" i="86"/>
  <c r="A214" i="86"/>
  <c r="A213" i="86"/>
  <c r="A212" i="86"/>
  <c r="A211" i="86"/>
  <c r="A210" i="86"/>
  <c r="A209" i="86"/>
  <c r="A208" i="86"/>
  <c r="A207" i="86"/>
  <c r="A206" i="86"/>
  <c r="A205" i="86"/>
  <c r="A204" i="86"/>
  <c r="A203" i="86"/>
  <c r="A202" i="86"/>
  <c r="A201" i="86"/>
  <c r="A200" i="86"/>
  <c r="A199" i="86"/>
  <c r="A198" i="86"/>
  <c r="A197" i="86"/>
  <c r="A196" i="86"/>
  <c r="A195" i="86"/>
  <c r="A194" i="86"/>
  <c r="A193" i="86"/>
  <c r="A192" i="86"/>
  <c r="A191" i="86"/>
  <c r="A190" i="86"/>
  <c r="A189" i="86"/>
  <c r="A188" i="86"/>
  <c r="A187" i="86"/>
  <c r="A186" i="86"/>
  <c r="A185" i="86"/>
  <c r="A184" i="86"/>
  <c r="A183" i="86"/>
  <c r="A182" i="86"/>
  <c r="A181" i="86"/>
  <c r="A180" i="86"/>
  <c r="A179" i="86"/>
  <c r="A178" i="86"/>
  <c r="A177" i="86"/>
  <c r="A176" i="86"/>
  <c r="A175" i="86"/>
  <c r="A174" i="86"/>
  <c r="A173" i="86"/>
  <c r="A172" i="86"/>
  <c r="A171" i="86"/>
  <c r="A170" i="86"/>
  <c r="A169" i="86"/>
  <c r="A168" i="86"/>
  <c r="A167" i="86"/>
  <c r="A166" i="86"/>
  <c r="A165" i="86"/>
  <c r="A164" i="86"/>
  <c r="A163" i="86"/>
  <c r="A162" i="86"/>
  <c r="A161" i="86"/>
  <c r="A160" i="86"/>
  <c r="A159" i="86"/>
  <c r="A158" i="86"/>
  <c r="A157" i="86"/>
  <c r="A156" i="86"/>
  <c r="A155" i="86"/>
  <c r="A154" i="86"/>
  <c r="A153" i="86"/>
  <c r="A152" i="86"/>
  <c r="A151" i="86"/>
  <c r="A150" i="86"/>
  <c r="A149" i="86"/>
  <c r="A148" i="86"/>
  <c r="A147" i="86"/>
  <c r="A146" i="86"/>
  <c r="A145" i="86"/>
  <c r="A144" i="86"/>
  <c r="A143" i="86"/>
  <c r="A142" i="86"/>
  <c r="A141" i="86"/>
  <c r="A140" i="86"/>
  <c r="A139" i="86"/>
  <c r="A138" i="86"/>
  <c r="A137" i="86"/>
  <c r="A136" i="86"/>
  <c r="A135" i="86"/>
  <c r="A134" i="86"/>
  <c r="A133" i="86"/>
  <c r="A132" i="86"/>
  <c r="A131" i="86"/>
  <c r="A130" i="86"/>
  <c r="A129" i="86"/>
  <c r="A128" i="86"/>
  <c r="A127" i="86"/>
  <c r="A126" i="86"/>
  <c r="A125" i="86"/>
  <c r="A124" i="86"/>
  <c r="A123" i="86"/>
  <c r="A122" i="86"/>
  <c r="A121" i="86"/>
  <c r="A120" i="86"/>
  <c r="A119" i="86"/>
  <c r="A118" i="86"/>
  <c r="A117" i="86"/>
  <c r="A116" i="86"/>
  <c r="A115" i="86"/>
  <c r="A114" i="86"/>
  <c r="A113" i="86"/>
  <c r="A112" i="86"/>
  <c r="A111" i="86"/>
  <c r="A110" i="86"/>
  <c r="A109" i="86"/>
  <c r="A108" i="86"/>
  <c r="A107" i="86"/>
  <c r="A106" i="86"/>
  <c r="A105" i="86"/>
  <c r="A104" i="86"/>
  <c r="A103" i="86"/>
  <c r="A102" i="86"/>
  <c r="A101" i="86"/>
  <c r="A100" i="86"/>
  <c r="A99" i="86"/>
  <c r="A98" i="86"/>
  <c r="A97" i="86"/>
  <c r="A96" i="86"/>
  <c r="A95" i="86"/>
  <c r="A94" i="86"/>
  <c r="A93" i="86"/>
  <c r="A92" i="86"/>
  <c r="A91" i="86"/>
  <c r="A90" i="86"/>
  <c r="A89" i="86"/>
  <c r="A88" i="86"/>
  <c r="A87" i="86"/>
  <c r="A86" i="86"/>
  <c r="A85" i="86"/>
  <c r="A84" i="86"/>
  <c r="A83" i="86"/>
  <c r="A82" i="86"/>
  <c r="A81" i="86"/>
  <c r="A80" i="86"/>
  <c r="A79" i="86"/>
  <c r="A78" i="86"/>
  <c r="A77" i="86"/>
  <c r="A76" i="86"/>
  <c r="A75" i="86"/>
  <c r="A74" i="86"/>
  <c r="A73" i="86"/>
  <c r="A72" i="86"/>
  <c r="A71" i="86"/>
  <c r="A70" i="86"/>
  <c r="A69" i="86"/>
  <c r="A68" i="86"/>
  <c r="A67" i="86"/>
  <c r="A66" i="86"/>
  <c r="A65" i="86"/>
  <c r="A64" i="86"/>
  <c r="A63" i="86"/>
  <c r="A62" i="86"/>
  <c r="A61" i="86"/>
  <c r="A60" i="86"/>
  <c r="A59" i="86"/>
  <c r="H58" i="86" a="1"/>
  <c r="H58" i="86" s="1"/>
  <c r="P8" i="86" s="1"/>
  <c r="A58" i="86"/>
  <c r="K8" i="86" l="1"/>
  <c r="K30" i="86" s="1"/>
  <c r="B8" i="86"/>
  <c r="B22" i="86" s="1"/>
  <c r="L8" i="86"/>
  <c r="C8" i="86"/>
  <c r="N8" i="86"/>
  <c r="N34" i="86" s="1"/>
  <c r="D8" i="86"/>
  <c r="O8" i="86"/>
  <c r="O41" i="86" s="1"/>
  <c r="F8" i="86"/>
  <c r="F25" i="86" s="1"/>
  <c r="G8" i="86"/>
  <c r="G12" i="86" s="1"/>
  <c r="H8" i="86"/>
  <c r="J8" i="86"/>
  <c r="J11" i="86" s="1"/>
  <c r="C14" i="86"/>
  <c r="N16" i="86"/>
  <c r="N26" i="86"/>
  <c r="N24" i="86"/>
  <c r="N41" i="86"/>
  <c r="N37" i="86"/>
  <c r="N35" i="86"/>
  <c r="N29" i="86"/>
  <c r="N43" i="86"/>
  <c r="N27" i="86"/>
  <c r="N25" i="86"/>
  <c r="N23" i="86"/>
  <c r="N21" i="86"/>
  <c r="N15" i="86"/>
  <c r="N13" i="86"/>
  <c r="N11" i="86"/>
  <c r="N9" i="86"/>
  <c r="O39" i="86"/>
  <c r="J19" i="86"/>
  <c r="J21" i="86"/>
  <c r="N10" i="86"/>
  <c r="K11" i="86"/>
  <c r="J12" i="86"/>
  <c r="C16" i="86"/>
  <c r="N18" i="86"/>
  <c r="K19" i="86"/>
  <c r="J20" i="86"/>
  <c r="K21" i="86"/>
  <c r="N22" i="86"/>
  <c r="J29" i="86"/>
  <c r="N32" i="86"/>
  <c r="O34" i="86"/>
  <c r="G41" i="86"/>
  <c r="C41" i="86"/>
  <c r="C39" i="86"/>
  <c r="C37" i="86"/>
  <c r="C35" i="86"/>
  <c r="C33" i="86"/>
  <c r="C31" i="86"/>
  <c r="C29" i="86"/>
  <c r="C43" i="86"/>
  <c r="C27" i="86"/>
  <c r="C25" i="86"/>
  <c r="C23" i="86"/>
  <c r="C21" i="86"/>
  <c r="C19" i="86"/>
  <c r="C17" i="86"/>
  <c r="C15" i="86"/>
  <c r="C13" i="86"/>
  <c r="C11" i="86"/>
  <c r="C9" i="86"/>
  <c r="N36" i="86"/>
  <c r="J13" i="86"/>
  <c r="G14" i="86"/>
  <c r="N20" i="86"/>
  <c r="C26" i="86"/>
  <c r="N30" i="86"/>
  <c r="C36" i="86"/>
  <c r="G39" i="86"/>
  <c r="J10" i="86"/>
  <c r="J23" i="86"/>
  <c r="J24" i="86"/>
  <c r="J33" i="86"/>
  <c r="G27" i="86"/>
  <c r="G25" i="86"/>
  <c r="G23" i="86"/>
  <c r="G21" i="86"/>
  <c r="G19" i="86"/>
  <c r="G17" i="86"/>
  <c r="G15" i="86"/>
  <c r="G13" i="86"/>
  <c r="G11" i="86"/>
  <c r="G9" i="86"/>
  <c r="C10" i="86"/>
  <c r="N12" i="86"/>
  <c r="J14" i="86"/>
  <c r="C18" i="86"/>
  <c r="C24" i="86"/>
  <c r="O30" i="86"/>
  <c r="C34" i="86"/>
  <c r="G37" i="86"/>
  <c r="J40" i="86"/>
  <c r="J36" i="86"/>
  <c r="J34" i="86"/>
  <c r="J32" i="86"/>
  <c r="J30" i="86"/>
  <c r="J43" i="86"/>
  <c r="J15" i="86"/>
  <c r="C22" i="86"/>
  <c r="C32" i="86"/>
  <c r="G35" i="86"/>
  <c r="G36" i="86"/>
  <c r="J39" i="86"/>
  <c r="K26" i="86"/>
  <c r="K24" i="86"/>
  <c r="K22" i="86"/>
  <c r="K20" i="86"/>
  <c r="K43" i="86"/>
  <c r="K41" i="86"/>
  <c r="K39" i="86"/>
  <c r="K37" i="86"/>
  <c r="K35" i="86"/>
  <c r="K33" i="86"/>
  <c r="K31" i="86"/>
  <c r="K29" i="86"/>
  <c r="C12" i="86"/>
  <c r="N14" i="86"/>
  <c r="K15" i="86"/>
  <c r="J16" i="86"/>
  <c r="C20" i="86"/>
  <c r="G26" i="86"/>
  <c r="J27" i="86"/>
  <c r="C30" i="86"/>
  <c r="G33" i="86"/>
  <c r="G34" i="86"/>
  <c r="K36" i="86"/>
  <c r="J37" i="86"/>
  <c r="N40" i="86"/>
  <c r="J35" i="86"/>
  <c r="G43" i="86"/>
  <c r="B43" i="86"/>
  <c r="D43" i="86" s="1"/>
  <c r="B16" i="86"/>
  <c r="D16" i="86" s="1"/>
  <c r="B24" i="86"/>
  <c r="P34" i="86" l="1"/>
  <c r="D24" i="86"/>
  <c r="O22" i="86"/>
  <c r="O9" i="86"/>
  <c r="O37" i="86"/>
  <c r="J31" i="86"/>
  <c r="L31" i="86" s="1"/>
  <c r="O11" i="86"/>
  <c r="O18" i="86"/>
  <c r="O43" i="86"/>
  <c r="O17" i="86"/>
  <c r="O16" i="86"/>
  <c r="O21" i="86"/>
  <c r="O32" i="86"/>
  <c r="O25" i="86"/>
  <c r="P25" i="86" s="1"/>
  <c r="O13" i="86"/>
  <c r="O20" i="86"/>
  <c r="O24" i="86"/>
  <c r="O29" i="86"/>
  <c r="O19" i="86"/>
  <c r="O23" i="86"/>
  <c r="P23" i="86" s="1"/>
  <c r="O33" i="86"/>
  <c r="B20" i="86"/>
  <c r="B18" i="86"/>
  <c r="D18" i="86" s="1"/>
  <c r="B14" i="86"/>
  <c r="D14" i="86" s="1"/>
  <c r="B12" i="86"/>
  <c r="B26" i="86"/>
  <c r="D26" i="86" s="1"/>
  <c r="B10" i="86"/>
  <c r="D10" i="86" s="1"/>
  <c r="J22" i="86"/>
  <c r="L22" i="86" s="1"/>
  <c r="O35" i="86"/>
  <c r="N39" i="86"/>
  <c r="F24" i="86"/>
  <c r="F10" i="86"/>
  <c r="F18" i="86"/>
  <c r="F35" i="86"/>
  <c r="H35" i="86" s="1"/>
  <c r="F31" i="86"/>
  <c r="F39" i="86"/>
  <c r="H39" i="86" s="1"/>
  <c r="L35" i="86"/>
  <c r="F37" i="86"/>
  <c r="F40" i="86"/>
  <c r="F23" i="86"/>
  <c r="H23" i="86" s="1"/>
  <c r="O26" i="86"/>
  <c r="P26" i="86" s="1"/>
  <c r="G20" i="86"/>
  <c r="L11" i="86"/>
  <c r="C40" i="86"/>
  <c r="F41" i="86"/>
  <c r="F15" i="86"/>
  <c r="H15" i="86" s="1"/>
  <c r="F33" i="86"/>
  <c r="H33" i="86" s="1"/>
  <c r="F26" i="86"/>
  <c r="H26" i="86" s="1"/>
  <c r="F22" i="86"/>
  <c r="F12" i="86"/>
  <c r="H12" i="86" s="1"/>
  <c r="F9" i="86"/>
  <c r="H9" i="86" s="1"/>
  <c r="F17" i="86"/>
  <c r="H17" i="86" s="1"/>
  <c r="F11" i="86"/>
  <c r="H11" i="86" s="1"/>
  <c r="F29" i="86"/>
  <c r="F20" i="86"/>
  <c r="F16" i="86"/>
  <c r="F19" i="86"/>
  <c r="H19" i="86" s="1"/>
  <c r="F13" i="86"/>
  <c r="H13" i="86" s="1"/>
  <c r="N17" i="86"/>
  <c r="O36" i="86"/>
  <c r="P36" i="86" s="1"/>
  <c r="O15" i="86"/>
  <c r="P15" i="86" s="1"/>
  <c r="O12" i="86"/>
  <c r="P12" i="86" s="1"/>
  <c r="O40" i="86"/>
  <c r="P40" i="86" s="1"/>
  <c r="O14" i="86"/>
  <c r="P14" i="86" s="1"/>
  <c r="O10" i="86"/>
  <c r="P10" i="86" s="1"/>
  <c r="P18" i="86"/>
  <c r="F30" i="86"/>
  <c r="F38" i="86" s="1"/>
  <c r="F27" i="86"/>
  <c r="N19" i="86"/>
  <c r="N33" i="86"/>
  <c r="P33" i="86" s="1"/>
  <c r="O27" i="86"/>
  <c r="P27" i="86" s="1"/>
  <c r="D22" i="86"/>
  <c r="F32" i="86"/>
  <c r="F43" i="86"/>
  <c r="P35" i="86"/>
  <c r="D20" i="86"/>
  <c r="L43" i="86"/>
  <c r="L33" i="86"/>
  <c r="F34" i="86"/>
  <c r="H34" i="86" s="1"/>
  <c r="K38" i="86"/>
  <c r="L39" i="86"/>
  <c r="L30" i="86"/>
  <c r="L24" i="86"/>
  <c r="F14" i="86"/>
  <c r="H14" i="86" s="1"/>
  <c r="F36" i="86"/>
  <c r="H36" i="86" s="1"/>
  <c r="J41" i="86"/>
  <c r="L41" i="86" s="1"/>
  <c r="J26" i="86"/>
  <c r="L26" i="86" s="1"/>
  <c r="J9" i="86"/>
  <c r="J17" i="86"/>
  <c r="J25" i="86"/>
  <c r="J42" i="86" s="1" a="1"/>
  <c r="J42" i="86" s="1"/>
  <c r="J18" i="86"/>
  <c r="B9" i="86"/>
  <c r="D9" i="86" s="1"/>
  <c r="B31" i="86"/>
  <c r="D31" i="86" s="1"/>
  <c r="B27" i="86"/>
  <c r="D27" i="86" s="1"/>
  <c r="B23" i="86"/>
  <c r="B41" i="86"/>
  <c r="D41" i="86" s="1"/>
  <c r="B34" i="86"/>
  <c r="D34" i="86" s="1"/>
  <c r="B30" i="86"/>
  <c r="B15" i="86"/>
  <c r="D15" i="86" s="1"/>
  <c r="B40" i="86"/>
  <c r="B33" i="86"/>
  <c r="D33" i="86" s="1"/>
  <c r="B21" i="86"/>
  <c r="D21" i="86" s="1"/>
  <c r="B13" i="86"/>
  <c r="D13" i="86" s="1"/>
  <c r="B39" i="86"/>
  <c r="D39" i="86" s="1"/>
  <c r="B17" i="86"/>
  <c r="D17" i="86" s="1"/>
  <c r="B11" i="86"/>
  <c r="D11" i="86" s="1"/>
  <c r="B37" i="86"/>
  <c r="D37" i="86" s="1"/>
  <c r="B29" i="86"/>
  <c r="D29" i="86" s="1"/>
  <c r="B25" i="86"/>
  <c r="D25" i="86" s="1"/>
  <c r="B36" i="86"/>
  <c r="D36" i="86" s="1"/>
  <c r="B32" i="86"/>
  <c r="D32" i="86" s="1"/>
  <c r="B19" i="86"/>
  <c r="D19" i="86" s="1"/>
  <c r="B35" i="86"/>
  <c r="D35" i="86" s="1"/>
  <c r="H41" i="86"/>
  <c r="F21" i="86"/>
  <c r="H21" i="86" s="1"/>
  <c r="P16" i="86"/>
  <c r="G40" i="86"/>
  <c r="H40" i="86" s="1"/>
  <c r="G18" i="86"/>
  <c r="H18" i="86" s="1"/>
  <c r="G30" i="86"/>
  <c r="G38" i="86" s="1"/>
  <c r="G22" i="86"/>
  <c r="G29" i="86"/>
  <c r="G32" i="86"/>
  <c r="G31" i="86"/>
  <c r="H31" i="86" s="1"/>
  <c r="G24" i="86"/>
  <c r="H24" i="86" s="1"/>
  <c r="G16" i="86"/>
  <c r="G10" i="86"/>
  <c r="K40" i="86"/>
  <c r="L40" i="86" s="1"/>
  <c r="K34" i="86"/>
  <c r="L34" i="86" s="1"/>
  <c r="K9" i="86"/>
  <c r="K23" i="86"/>
  <c r="L23" i="86" s="1"/>
  <c r="K17" i="86"/>
  <c r="K12" i="86"/>
  <c r="L12" i="86" s="1"/>
  <c r="K27" i="86"/>
  <c r="L27" i="86" s="1"/>
  <c r="K25" i="86"/>
  <c r="K32" i="86"/>
  <c r="L32" i="86" s="1"/>
  <c r="K14" i="86"/>
  <c r="L14" i="86" s="1"/>
  <c r="K16" i="86"/>
  <c r="L16" i="86" s="1"/>
  <c r="K13" i="86"/>
  <c r="L13" i="86" s="1"/>
  <c r="K10" i="86"/>
  <c r="L10" i="86" s="1"/>
  <c r="K18" i="86"/>
  <c r="N42" i="86" a="1"/>
  <c r="N42" i="86" s="1"/>
  <c r="D12" i="86"/>
  <c r="L21" i="86"/>
  <c r="P9" i="86"/>
  <c r="P39" i="86"/>
  <c r="P24" i="86"/>
  <c r="N38" i="86"/>
  <c r="P37" i="86"/>
  <c r="L36" i="86"/>
  <c r="P22" i="86"/>
  <c r="P11" i="86"/>
  <c r="P41" i="86"/>
  <c r="H37" i="86"/>
  <c r="P20" i="86"/>
  <c r="L19" i="86"/>
  <c r="P13" i="86"/>
  <c r="P43" i="86"/>
  <c r="L20" i="86"/>
  <c r="O38" i="86"/>
  <c r="P29" i="86"/>
  <c r="L15" i="86"/>
  <c r="H25" i="86"/>
  <c r="P32" i="86"/>
  <c r="H27" i="86"/>
  <c r="P19" i="86"/>
  <c r="J38" i="86"/>
  <c r="L38" i="86" s="1"/>
  <c r="L37" i="86"/>
  <c r="P30" i="86"/>
  <c r="C42" i="86" a="1"/>
  <c r="C42" i="86" s="1"/>
  <c r="C38" i="86"/>
  <c r="L29" i="86"/>
  <c r="H43" i="86"/>
  <c r="P21" i="86"/>
  <c r="P17" i="86" l="1"/>
  <c r="H10" i="86"/>
  <c r="O42" i="86" a="1"/>
  <c r="O42" i="86" s="1"/>
  <c r="P42" i="86" s="1"/>
  <c r="F42" i="86" a="1"/>
  <c r="F42" i="86" s="1"/>
  <c r="D40" i="86"/>
  <c r="H20" i="86"/>
  <c r="K42" i="86" a="1"/>
  <c r="K42" i="86" s="1"/>
  <c r="L42" i="86" s="1"/>
  <c r="G42" i="86" a="1"/>
  <c r="G42" i="86" s="1"/>
  <c r="B38" i="86"/>
  <c r="D38" i="86" s="1"/>
  <c r="L25" i="86"/>
  <c r="H30" i="86"/>
  <c r="L18" i="86"/>
  <c r="H16" i="86"/>
  <c r="H32" i="86"/>
  <c r="L17" i="86"/>
  <c r="H29" i="86"/>
  <c r="B42" i="86" a="1"/>
  <c r="B42" i="86" s="1"/>
  <c r="D42" i="86" s="1"/>
  <c r="D23" i="86"/>
  <c r="L9" i="86"/>
  <c r="H38" i="86"/>
  <c r="D30" i="86"/>
  <c r="H22" i="86"/>
  <c r="P38" i="86"/>
  <c r="H42" i="86" l="1"/>
  <c r="O47" i="70" a="1"/>
  <c r="O47" i="70" s="1"/>
  <c r="P47" i="70" s="1"/>
  <c r="E7" i="89" l="1"/>
  <c r="E21" i="119" l="1"/>
  <c r="E18" i="119"/>
  <c r="E12" i="119"/>
  <c r="E11" i="119"/>
  <c r="C16" i="116" l="1"/>
  <c r="J11" i="91"/>
  <c r="H47" i="24" l="1" a="1"/>
  <c r="H47" i="24" s="1"/>
  <c r="C16" i="23"/>
  <c r="D16" i="23" s="1"/>
  <c r="D11" i="23"/>
  <c r="D47" i="70"/>
  <c r="D141" i="70"/>
  <c r="E10" i="112"/>
  <c r="C45" i="88" a="1"/>
  <c r="C45" i="88" s="1"/>
  <c r="J14" i="89"/>
  <c r="J16" i="116"/>
  <c r="G12" i="57"/>
  <c r="F12" i="57"/>
  <c r="J7" i="55"/>
  <c r="O39" i="51" a="1"/>
  <c r="O39" i="51" s="1"/>
  <c r="N39" i="51" a="1"/>
  <c r="N39" i="51" s="1"/>
  <c r="O3" i="51" a="1"/>
  <c r="O3" i="51" s="1"/>
  <c r="N3" i="51" a="1"/>
  <c r="N3" i="51" s="1"/>
  <c r="O40" i="51" a="1"/>
  <c r="O40" i="51" s="1"/>
  <c r="O38" i="51" a="1"/>
  <c r="O38" i="51" s="1"/>
  <c r="N38" i="51" a="1"/>
  <c r="N38" i="51" s="1"/>
  <c r="O37" i="51" a="1"/>
  <c r="O37" i="51" s="1"/>
  <c r="N37" i="51" a="1"/>
  <c r="N37" i="51" s="1"/>
  <c r="J7" i="95"/>
  <c r="P39" i="51" l="1"/>
  <c r="N40" i="51" a="1"/>
  <c r="N40" i="51" s="1"/>
  <c r="P40" i="51" s="1"/>
  <c r="G16" i="23"/>
  <c r="P37" i="51"/>
  <c r="E16" i="119" s="1"/>
  <c r="P38" i="51"/>
  <c r="P3" i="51"/>
  <c r="B10" i="67"/>
  <c r="B11" i="67"/>
  <c r="B13" i="67"/>
  <c r="B14" i="67"/>
  <c r="B15" i="67"/>
  <c r="B16" i="67"/>
  <c r="B17" i="67"/>
  <c r="B18" i="67"/>
  <c r="B19" i="67"/>
  <c r="B20" i="67"/>
  <c r="B21" i="67"/>
  <c r="B22" i="67"/>
  <c r="B23" i="67"/>
  <c r="B24" i="67"/>
  <c r="B25" i="67"/>
  <c r="B26" i="67"/>
  <c r="B27" i="67"/>
  <c r="B28" i="67"/>
  <c r="B29" i="67"/>
  <c r="B30" i="67"/>
  <c r="B31" i="67"/>
  <c r="B32" i="67"/>
  <c r="B33" i="67"/>
  <c r="B34" i="67"/>
  <c r="B35" i="67"/>
  <c r="B36" i="67"/>
  <c r="B37" i="67"/>
  <c r="B38" i="67"/>
  <c r="B39" i="67"/>
  <c r="B40" i="67"/>
  <c r="B9" i="67"/>
  <c r="C10" i="67"/>
  <c r="D10" i="67" s="1"/>
  <c r="C12" i="67"/>
  <c r="D12" i="67" s="1"/>
  <c r="C13" i="67"/>
  <c r="D13" i="67" s="1"/>
  <c r="C14" i="67"/>
  <c r="D14" i="67" s="1"/>
  <c r="C15" i="67"/>
  <c r="D15" i="67" s="1"/>
  <c r="C16" i="67"/>
  <c r="D16" i="67" s="1"/>
  <c r="C17" i="67"/>
  <c r="D17" i="67" s="1"/>
  <c r="C18" i="67"/>
  <c r="D18" i="67" s="1"/>
  <c r="C19" i="67"/>
  <c r="D19" i="67" s="1"/>
  <c r="C20" i="67"/>
  <c r="D20" i="67" s="1"/>
  <c r="C21" i="67"/>
  <c r="D21" i="67" s="1"/>
  <c r="C22" i="67"/>
  <c r="D22" i="67" s="1"/>
  <c r="C23" i="67"/>
  <c r="D23" i="67" s="1"/>
  <c r="C24" i="67"/>
  <c r="D24" i="67" s="1"/>
  <c r="C25" i="67"/>
  <c r="D25" i="67" s="1"/>
  <c r="C26" i="67"/>
  <c r="D26" i="67" s="1"/>
  <c r="C27" i="67"/>
  <c r="D27" i="67" s="1"/>
  <c r="C28" i="67"/>
  <c r="D28" i="67" s="1"/>
  <c r="C29" i="67"/>
  <c r="D29" i="67" s="1"/>
  <c r="C30" i="67"/>
  <c r="D30" i="67" s="1"/>
  <c r="C31" i="67"/>
  <c r="D31" i="67" s="1"/>
  <c r="C32" i="67"/>
  <c r="D32" i="67" s="1"/>
  <c r="C33" i="67"/>
  <c r="D33" i="67" s="1"/>
  <c r="C34" i="67"/>
  <c r="D34" i="67" s="1"/>
  <c r="C35" i="67"/>
  <c r="D35" i="67" s="1"/>
  <c r="C36" i="67"/>
  <c r="D36" i="67" s="1"/>
  <c r="C37" i="67"/>
  <c r="C38" i="67"/>
  <c r="D38" i="67" s="1"/>
  <c r="C40" i="67"/>
  <c r="D40" i="67" s="1"/>
  <c r="C9" i="67"/>
  <c r="D9" i="67" s="1"/>
  <c r="D43" i="67" l="1" a="1"/>
  <c r="D43" i="67" s="1"/>
  <c r="D37" i="67"/>
  <c r="C47" i="67"/>
  <c r="D47" i="67" s="1"/>
  <c r="D42" i="67" a="1"/>
  <c r="D42" i="67" s="1"/>
  <c r="D45" i="67" a="1"/>
  <c r="D45" i="67" s="1"/>
  <c r="D44" i="67" a="1"/>
  <c r="D44" i="67" s="1"/>
  <c r="O47" i="82"/>
  <c r="N47" i="82"/>
  <c r="O46" i="82"/>
  <c r="N46" i="82"/>
  <c r="O45" i="82"/>
  <c r="N45" i="82"/>
  <c r="O44" i="82"/>
  <c r="N44" i="82"/>
  <c r="K47" i="82"/>
  <c r="J47" i="82"/>
  <c r="K46" i="82"/>
  <c r="J46" i="82"/>
  <c r="K45" i="82"/>
  <c r="J45" i="82"/>
  <c r="K44" i="82"/>
  <c r="J44" i="82"/>
  <c r="G47" i="82"/>
  <c r="F47" i="82"/>
  <c r="G46" i="82"/>
  <c r="F46" i="82"/>
  <c r="G45" i="82"/>
  <c r="F45" i="82"/>
  <c r="G44" i="82"/>
  <c r="F44" i="82"/>
  <c r="C47" i="82"/>
  <c r="B47" i="82"/>
  <c r="C46" i="82"/>
  <c r="B46" i="82"/>
  <c r="C45" i="82"/>
  <c r="B45" i="82"/>
  <c r="C44" i="82"/>
  <c r="B44" i="82"/>
  <c r="N37" i="49" a="1"/>
  <c r="N37" i="49" s="1"/>
  <c r="O37" i="49" a="1"/>
  <c r="O37" i="49" s="1"/>
  <c r="O40" i="49"/>
  <c r="N40" i="49"/>
  <c r="O39" i="49"/>
  <c r="N39" i="49"/>
  <c r="O38" i="49"/>
  <c r="N38" i="49"/>
  <c r="P38" i="49" l="1"/>
  <c r="P39" i="49"/>
  <c r="P40" i="49"/>
  <c r="P46" i="82"/>
  <c r="L46" i="82"/>
  <c r="L45" i="82"/>
  <c r="H47" i="82"/>
  <c r="H45" i="82"/>
  <c r="D45" i="82"/>
  <c r="D47" i="82"/>
  <c r="L47" i="82"/>
  <c r="H44" i="82"/>
  <c r="D44" i="82"/>
  <c r="L44" i="82"/>
  <c r="P47" i="82"/>
  <c r="P44" i="82"/>
  <c r="D46" i="82"/>
  <c r="H46" i="82"/>
  <c r="P45" i="82"/>
  <c r="P37" i="49"/>
  <c r="E17" i="119" s="1"/>
  <c r="B44" i="10" l="1" a="1"/>
  <c r="B44" i="10" s="1"/>
  <c r="N44" i="10" a="1"/>
  <c r="N44" i="10" s="1"/>
  <c r="C44" i="10" a="1"/>
  <c r="C44" i="10" s="1"/>
  <c r="D27" i="12"/>
  <c r="C16" i="132" l="1"/>
  <c r="D19" i="132"/>
  <c r="D18" i="132"/>
  <c r="D17" i="132"/>
  <c r="D14" i="132"/>
  <c r="F14" i="132" s="1"/>
  <c r="G14" i="132" s="1"/>
  <c r="D13" i="132"/>
  <c r="F13" i="132" s="1"/>
  <c r="G13" i="132" s="1"/>
  <c r="D12" i="132"/>
  <c r="F12" i="132" s="1"/>
  <c r="G12" i="132" s="1"/>
  <c r="D11" i="132"/>
  <c r="F11" i="132" s="1"/>
  <c r="G11" i="132" s="1"/>
  <c r="D10" i="132"/>
  <c r="D9" i="132"/>
  <c r="D8" i="132"/>
  <c r="F8" i="132" s="1"/>
  <c r="G8" i="132" s="1"/>
  <c r="D7" i="132"/>
  <c r="B40" i="133"/>
  <c r="B39" i="133"/>
  <c r="B38" i="133"/>
  <c r="B37" i="133"/>
  <c r="B36" i="133"/>
  <c r="B34" i="133"/>
  <c r="B33" i="133"/>
  <c r="B32" i="133"/>
  <c r="B30" i="133"/>
  <c r="B29" i="133"/>
  <c r="B27" i="133"/>
  <c r="B26" i="133"/>
  <c r="B25" i="133"/>
  <c r="B24" i="133"/>
  <c r="B23" i="133"/>
  <c r="B22" i="133"/>
  <c r="B21" i="133"/>
  <c r="B20" i="133"/>
  <c r="B19" i="133"/>
  <c r="B18" i="133"/>
  <c r="B17" i="133"/>
  <c r="B16" i="133"/>
  <c r="B15" i="133"/>
  <c r="B14" i="133"/>
  <c r="B13" i="133"/>
  <c r="B12" i="133"/>
  <c r="B11" i="133"/>
  <c r="B10" i="133"/>
  <c r="B9" i="133"/>
  <c r="F7" i="132" l="1"/>
  <c r="G7" i="132" s="1"/>
  <c r="F9" i="132"/>
  <c r="G9" i="132" s="1"/>
  <c r="F10" i="132"/>
  <c r="G10" i="132" s="1"/>
  <c r="O49" i="70"/>
  <c r="O43" i="70"/>
  <c r="O41" i="70"/>
  <c r="O40" i="70"/>
  <c r="O39" i="70"/>
  <c r="O37" i="70"/>
  <c r="O38" i="70" s="1"/>
  <c r="O36" i="70"/>
  <c r="O35" i="70"/>
  <c r="O34" i="70"/>
  <c r="O33" i="70"/>
  <c r="O32" i="70"/>
  <c r="O31" i="70"/>
  <c r="O30" i="70"/>
  <c r="O29" i="70"/>
  <c r="O28" i="70"/>
  <c r="O27" i="70"/>
  <c r="O26" i="70"/>
  <c r="O25" i="70"/>
  <c r="O24" i="70"/>
  <c r="O23" i="70"/>
  <c r="O22" i="70"/>
  <c r="O21" i="70"/>
  <c r="O20" i="70"/>
  <c r="O19" i="70"/>
  <c r="O18" i="70"/>
  <c r="O17" i="70"/>
  <c r="O16" i="70"/>
  <c r="O15" i="70"/>
  <c r="O14" i="70"/>
  <c r="O13" i="70"/>
  <c r="O12" i="70"/>
  <c r="O11" i="70"/>
  <c r="O10" i="70"/>
  <c r="O9" i="70"/>
  <c r="N14" i="70"/>
  <c r="P14" i="70" s="1"/>
  <c r="N49" i="70"/>
  <c r="J49" i="70"/>
  <c r="F49" i="70"/>
  <c r="B49" i="70"/>
  <c r="N43" i="70"/>
  <c r="P43" i="70" s="1"/>
  <c r="G19" i="69" s="1"/>
  <c r="J43" i="70"/>
  <c r="F43" i="70"/>
  <c r="B43" i="70"/>
  <c r="N41" i="70"/>
  <c r="J41" i="70"/>
  <c r="F41" i="70"/>
  <c r="B41" i="70"/>
  <c r="N40" i="70"/>
  <c r="J40" i="70"/>
  <c r="F40" i="70"/>
  <c r="B40" i="70"/>
  <c r="N39" i="70"/>
  <c r="P39" i="70" s="1"/>
  <c r="J39" i="70"/>
  <c r="F39" i="70"/>
  <c r="B39" i="70"/>
  <c r="N37" i="70"/>
  <c r="N38" i="70" s="1"/>
  <c r="J37" i="70"/>
  <c r="F37" i="70"/>
  <c r="B37" i="70"/>
  <c r="N36" i="70"/>
  <c r="J36" i="70"/>
  <c r="F36" i="70"/>
  <c r="B36" i="70"/>
  <c r="N35" i="70"/>
  <c r="J35" i="70"/>
  <c r="F35" i="70"/>
  <c r="B35" i="70"/>
  <c r="N34" i="70"/>
  <c r="J34" i="70"/>
  <c r="F34" i="70"/>
  <c r="B34" i="70"/>
  <c r="N33" i="70"/>
  <c r="P33" i="70" s="1"/>
  <c r="G12" i="69" s="1"/>
  <c r="J33" i="70"/>
  <c r="F33" i="70"/>
  <c r="B33" i="70"/>
  <c r="N32" i="70"/>
  <c r="J32" i="70"/>
  <c r="F32" i="70"/>
  <c r="B32" i="70"/>
  <c r="N31" i="70"/>
  <c r="J31" i="70"/>
  <c r="F31" i="70"/>
  <c r="B31" i="70"/>
  <c r="N30" i="70"/>
  <c r="J30" i="70"/>
  <c r="F30" i="70"/>
  <c r="B30" i="70"/>
  <c r="N29" i="70"/>
  <c r="J29" i="70"/>
  <c r="F29" i="70"/>
  <c r="B29" i="70"/>
  <c r="N28" i="70"/>
  <c r="J28" i="70"/>
  <c r="F28" i="70"/>
  <c r="B28" i="70"/>
  <c r="N27" i="70"/>
  <c r="J27" i="70"/>
  <c r="F27" i="70"/>
  <c r="B27" i="70"/>
  <c r="N26" i="70"/>
  <c r="J26" i="70"/>
  <c r="F26" i="70"/>
  <c r="B26" i="70"/>
  <c r="N25" i="70"/>
  <c r="P25" i="70" s="1"/>
  <c r="G10" i="69" s="1"/>
  <c r="J25" i="70"/>
  <c r="F25" i="70"/>
  <c r="B25" i="70"/>
  <c r="N24" i="70"/>
  <c r="J24" i="70"/>
  <c r="F24" i="70"/>
  <c r="B24" i="70"/>
  <c r="N23" i="70"/>
  <c r="J23" i="70"/>
  <c r="F23" i="70"/>
  <c r="B23" i="70"/>
  <c r="N22" i="70"/>
  <c r="J22" i="70"/>
  <c r="F22" i="70"/>
  <c r="B22" i="70"/>
  <c r="N21" i="70"/>
  <c r="J21" i="70"/>
  <c r="F21" i="70"/>
  <c r="B21" i="70"/>
  <c r="N20" i="70"/>
  <c r="J20" i="70"/>
  <c r="F20" i="70"/>
  <c r="B20" i="70"/>
  <c r="N19" i="70"/>
  <c r="J19" i="70"/>
  <c r="F19" i="70"/>
  <c r="B19" i="70"/>
  <c r="N18" i="70"/>
  <c r="J18" i="70"/>
  <c r="F18" i="70"/>
  <c r="B18" i="70"/>
  <c r="N17" i="70"/>
  <c r="P17" i="70" s="1"/>
  <c r="J17" i="70"/>
  <c r="F17" i="70"/>
  <c r="B17" i="70"/>
  <c r="N16" i="70"/>
  <c r="J16" i="70"/>
  <c r="F16" i="70"/>
  <c r="B16" i="70"/>
  <c r="N15" i="70"/>
  <c r="J15" i="70"/>
  <c r="F15" i="70"/>
  <c r="B15" i="70"/>
  <c r="J14" i="70"/>
  <c r="F14" i="70"/>
  <c r="B14" i="70"/>
  <c r="N13" i="70"/>
  <c r="J13" i="70"/>
  <c r="F13" i="70"/>
  <c r="B13" i="70"/>
  <c r="N12" i="70"/>
  <c r="J12" i="70"/>
  <c r="F12" i="70"/>
  <c r="B12" i="70"/>
  <c r="N11" i="70"/>
  <c r="J11" i="70"/>
  <c r="F11" i="70"/>
  <c r="B11" i="70"/>
  <c r="N10" i="70"/>
  <c r="J10" i="70"/>
  <c r="F10" i="70"/>
  <c r="B10" i="70"/>
  <c r="N9" i="70"/>
  <c r="P9" i="70" s="1"/>
  <c r="J9" i="70"/>
  <c r="F9" i="70"/>
  <c r="B9" i="70"/>
  <c r="P41" i="70"/>
  <c r="P32" i="70"/>
  <c r="N45" i="70"/>
  <c r="P30" i="70"/>
  <c r="G11" i="69" s="1"/>
  <c r="N44" i="70"/>
  <c r="P22" i="70"/>
  <c r="K49" i="70"/>
  <c r="G49" i="70"/>
  <c r="C49" i="70"/>
  <c r="K43" i="70"/>
  <c r="G43" i="70"/>
  <c r="C43" i="70"/>
  <c r="K41" i="70"/>
  <c r="G41" i="70"/>
  <c r="C41" i="70"/>
  <c r="K40" i="70"/>
  <c r="G40" i="70"/>
  <c r="C40" i="70"/>
  <c r="K39" i="70"/>
  <c r="G39" i="70"/>
  <c r="C39" i="70"/>
  <c r="K37" i="70"/>
  <c r="G37" i="70"/>
  <c r="C37" i="70"/>
  <c r="K36" i="70"/>
  <c r="G36" i="70"/>
  <c r="C36" i="70"/>
  <c r="K35" i="70"/>
  <c r="G35" i="70"/>
  <c r="C35" i="70"/>
  <c r="K34" i="70"/>
  <c r="G34" i="70"/>
  <c r="C34" i="70"/>
  <c r="K33" i="70"/>
  <c r="G33" i="70"/>
  <c r="C33" i="70"/>
  <c r="K32" i="70"/>
  <c r="G32" i="70"/>
  <c r="C32" i="70"/>
  <c r="K31" i="70"/>
  <c r="G31" i="70"/>
  <c r="C31" i="70"/>
  <c r="K30" i="70"/>
  <c r="G30" i="70"/>
  <c r="C30" i="70"/>
  <c r="K29" i="70"/>
  <c r="G29" i="70"/>
  <c r="C29" i="70"/>
  <c r="K28" i="70"/>
  <c r="G28" i="70"/>
  <c r="C28" i="70"/>
  <c r="K27" i="70"/>
  <c r="G27" i="70"/>
  <c r="C27" i="70"/>
  <c r="K26" i="70"/>
  <c r="G26" i="70"/>
  <c r="C26" i="70"/>
  <c r="K25" i="70"/>
  <c r="G25" i="70"/>
  <c r="C25" i="70"/>
  <c r="K24" i="70"/>
  <c r="G24" i="70"/>
  <c r="C24" i="70"/>
  <c r="K23" i="70"/>
  <c r="G23" i="70"/>
  <c r="C23" i="70"/>
  <c r="K22" i="70"/>
  <c r="G22" i="70"/>
  <c r="C22" i="70"/>
  <c r="K21" i="70"/>
  <c r="G21" i="70"/>
  <c r="C21" i="70"/>
  <c r="K20" i="70"/>
  <c r="G20" i="70"/>
  <c r="C20" i="70"/>
  <c r="K19" i="70"/>
  <c r="G19" i="70"/>
  <c r="C19" i="70"/>
  <c r="K18" i="70"/>
  <c r="G18" i="70"/>
  <c r="C18" i="70"/>
  <c r="K17" i="70"/>
  <c r="G17" i="70"/>
  <c r="C17" i="70"/>
  <c r="K16" i="70"/>
  <c r="G16" i="70"/>
  <c r="C16" i="70"/>
  <c r="K15" i="70"/>
  <c r="G15" i="70"/>
  <c r="C15" i="70"/>
  <c r="K14" i="70"/>
  <c r="G14" i="70"/>
  <c r="C14" i="70"/>
  <c r="K13" i="70"/>
  <c r="G13" i="70"/>
  <c r="C13" i="70"/>
  <c r="K12" i="70"/>
  <c r="G12" i="70"/>
  <c r="C12" i="70"/>
  <c r="K11" i="70"/>
  <c r="G11" i="70"/>
  <c r="C11" i="70"/>
  <c r="K10" i="70"/>
  <c r="G10" i="70"/>
  <c r="C10" i="70"/>
  <c r="K9" i="70"/>
  <c r="G9" i="70"/>
  <c r="C9" i="70"/>
  <c r="N46" i="70" l="1"/>
  <c r="I7" i="69"/>
  <c r="P13" i="70"/>
  <c r="P21" i="70"/>
  <c r="P29" i="70"/>
  <c r="P16" i="70"/>
  <c r="P24" i="70"/>
  <c r="P18" i="70"/>
  <c r="G7" i="69" s="1"/>
  <c r="P26" i="70"/>
  <c r="P34" i="70"/>
  <c r="P49" i="70"/>
  <c r="G18" i="69" s="1"/>
  <c r="P10" i="70"/>
  <c r="I19" i="69"/>
  <c r="P19" i="70"/>
  <c r="P27" i="70"/>
  <c r="P35" i="70"/>
  <c r="P12" i="70"/>
  <c r="P20" i="70"/>
  <c r="G8" i="69" s="1"/>
  <c r="P36" i="70"/>
  <c r="P15" i="70"/>
  <c r="P23" i="70"/>
  <c r="G9" i="69" s="1"/>
  <c r="P31" i="70"/>
  <c r="P40" i="70"/>
  <c r="G14" i="69" s="1"/>
  <c r="O46" i="70"/>
  <c r="O45" i="70"/>
  <c r="P45" i="70" s="1"/>
  <c r="O44" i="70"/>
  <c r="P44" i="70" s="1"/>
  <c r="P28" i="70"/>
  <c r="P38" i="70"/>
  <c r="P37" i="70"/>
  <c r="G13" i="69" s="1"/>
  <c r="P11" i="70"/>
  <c r="N47" i="70"/>
  <c r="P46" i="70" l="1"/>
  <c r="G17" i="69"/>
  <c r="H43" i="24" l="1"/>
  <c r="D43" i="24"/>
  <c r="D18" i="111" l="1"/>
  <c r="D16" i="90" l="1"/>
  <c r="D17" i="90"/>
  <c r="D18" i="90"/>
  <c r="D20" i="90"/>
  <c r="D21" i="90"/>
  <c r="D24" i="90"/>
  <c r="D27" i="90"/>
  <c r="D31" i="90"/>
  <c r="D32" i="90"/>
  <c r="D33" i="90"/>
  <c r="D34" i="90"/>
  <c r="D35" i="90"/>
  <c r="D36" i="90"/>
  <c r="D37" i="90"/>
  <c r="D39" i="90"/>
  <c r="D40" i="90"/>
  <c r="D11" i="90" l="1"/>
  <c r="D15" i="90"/>
  <c r="D38" i="90"/>
  <c r="D8" i="90"/>
  <c r="D28" i="90"/>
  <c r="D13" i="90"/>
  <c r="D9" i="90"/>
  <c r="D23" i="90"/>
  <c r="D19" i="90"/>
  <c r="D12" i="90"/>
  <c r="D30" i="90"/>
  <c r="D26" i="90"/>
  <c r="D22" i="90"/>
  <c r="D29" i="90"/>
  <c r="D25" i="90"/>
  <c r="D14" i="90"/>
  <c r="D10" i="90"/>
  <c r="P45" i="24" a="1"/>
  <c r="P45" i="24" s="1"/>
  <c r="P48" i="24" a="1"/>
  <c r="P48" i="24" s="1"/>
  <c r="P47" i="24" a="1"/>
  <c r="P47" i="24" s="1"/>
  <c r="P46" i="24" a="1"/>
  <c r="P46" i="24" s="1"/>
  <c r="L48" i="24" a="1"/>
  <c r="L48" i="24" s="1"/>
  <c r="L47" i="24" a="1"/>
  <c r="L47" i="24" s="1"/>
  <c r="L46" i="24" a="1"/>
  <c r="L46" i="24" s="1"/>
  <c r="L45" i="24" a="1"/>
  <c r="L45" i="24" s="1"/>
  <c r="H48" i="24" a="1"/>
  <c r="H48" i="24" s="1"/>
  <c r="H46" i="24" a="1"/>
  <c r="H46" i="24" s="1"/>
  <c r="H45" i="24" a="1"/>
  <c r="H45" i="24" s="1"/>
  <c r="D48" i="24" a="1"/>
  <c r="D48" i="24" s="1"/>
  <c r="D47" i="24" a="1"/>
  <c r="D47" i="24" s="1"/>
  <c r="D46" i="24" a="1"/>
  <c r="D46" i="24" s="1"/>
  <c r="D45" i="24" a="1"/>
  <c r="D45" i="24" s="1"/>
  <c r="J20" i="130" l="1"/>
  <c r="J19" i="130"/>
  <c r="J18" i="130"/>
  <c r="C16" i="130"/>
  <c r="J14" i="130"/>
  <c r="J13" i="130"/>
  <c r="J12" i="130"/>
  <c r="J11" i="130"/>
  <c r="J10" i="130"/>
  <c r="J9" i="130"/>
  <c r="J8" i="130"/>
  <c r="J7" i="130"/>
  <c r="D7" i="130"/>
  <c r="D7" i="85"/>
  <c r="I7" i="85" s="1"/>
  <c r="J45" i="12" l="1"/>
  <c r="L45" i="12"/>
  <c r="G45" i="12" s="1"/>
  <c r="H45" i="12"/>
  <c r="K45" i="12"/>
  <c r="F16" i="130"/>
  <c r="E16" i="130"/>
  <c r="G16" i="130"/>
  <c r="D23" i="119" s="1"/>
  <c r="H23" i="119" s="1"/>
  <c r="I23" i="119" s="1"/>
  <c r="D16" i="130"/>
  <c r="H16" i="130"/>
  <c r="F23" i="119"/>
  <c r="G23" i="119"/>
  <c r="K7" i="85"/>
  <c r="L7" i="85" s="1"/>
  <c r="I20" i="130"/>
  <c r="I10" i="130"/>
  <c r="I14" i="130"/>
  <c r="I8" i="130"/>
  <c r="I13" i="130"/>
  <c r="I11" i="130"/>
  <c r="I7" i="130"/>
  <c r="I12" i="130"/>
  <c r="I19" i="130"/>
  <c r="J16" i="130"/>
  <c r="O45" i="84"/>
  <c r="B44" i="84"/>
  <c r="D44" i="84" s="1"/>
  <c r="N47" i="84"/>
  <c r="H17" i="130" s="1"/>
  <c r="B46" i="84"/>
  <c r="D46" i="84" s="1"/>
  <c r="B45" i="84"/>
  <c r="D45" i="84" s="1"/>
  <c r="N46" i="84"/>
  <c r="O47" i="84"/>
  <c r="F46" i="84"/>
  <c r="B47" i="84"/>
  <c r="D47" i="84" s="1"/>
  <c r="O46" i="84"/>
  <c r="F47" i="84"/>
  <c r="F45" i="84"/>
  <c r="N44" i="84"/>
  <c r="G47" i="84"/>
  <c r="O44" i="84"/>
  <c r="N45" i="84"/>
  <c r="G45" i="84"/>
  <c r="G46" i="84"/>
  <c r="K7" i="130" l="1"/>
  <c r="L7" i="130" s="1"/>
  <c r="H47" i="84"/>
  <c r="E17" i="130" s="1"/>
  <c r="H46" i="84"/>
  <c r="P45" i="84"/>
  <c r="D17" i="130"/>
  <c r="J17" i="130"/>
  <c r="I18" i="130"/>
  <c r="N45" i="12" s="1"/>
  <c r="K14" i="130"/>
  <c r="L14" i="130" s="1"/>
  <c r="K13" i="130"/>
  <c r="L13" i="130" s="1"/>
  <c r="K12" i="130"/>
  <c r="L12" i="130" s="1"/>
  <c r="K11" i="130"/>
  <c r="L11" i="130" s="1"/>
  <c r="K10" i="130"/>
  <c r="L10" i="130" s="1"/>
  <c r="K9" i="130"/>
  <c r="L9" i="130" s="1"/>
  <c r="K8" i="130"/>
  <c r="L8" i="130" s="1"/>
  <c r="I16" i="130"/>
  <c r="P46" i="84"/>
  <c r="H45" i="84"/>
  <c r="P47" i="84"/>
  <c r="G17" i="130" s="1"/>
  <c r="G44" i="84"/>
  <c r="P44" i="84"/>
  <c r="E23" i="119" s="1"/>
  <c r="F44" i="84"/>
  <c r="B44" i="59" a="1"/>
  <c r="B44" i="59" s="1"/>
  <c r="H94" i="131"/>
  <c r="H95" i="131"/>
  <c r="H93" i="131"/>
  <c r="H44" i="131"/>
  <c r="I17" i="130" l="1"/>
  <c r="H44" i="84"/>
  <c r="H45" i="131"/>
  <c r="H46" i="131"/>
  <c r="C39" i="65" a="1"/>
  <c r="C39" i="65" s="1"/>
  <c r="O47" i="127" l="1" a="1"/>
  <c r="O47" i="127" s="1"/>
  <c r="N47" i="127" a="1"/>
  <c r="N47" i="127" s="1"/>
  <c r="O45" i="127" a="1"/>
  <c r="O45" i="127" s="1"/>
  <c r="N45" i="127" a="1"/>
  <c r="N45" i="127" s="1"/>
  <c r="P45" i="127" s="1"/>
  <c r="O48" i="127" a="1"/>
  <c r="O48" i="127" s="1"/>
  <c r="N48" i="127" a="1"/>
  <c r="N48" i="127" s="1"/>
  <c r="P48" i="127" s="1"/>
  <c r="O46" i="127" a="1"/>
  <c r="O46" i="127" s="1"/>
  <c r="N46" i="127" a="1"/>
  <c r="N46" i="127" s="1"/>
  <c r="P46" i="127" s="1"/>
  <c r="P47" i="127" l="1"/>
  <c r="O45" i="71" a="1"/>
  <c r="O45" i="71" s="1"/>
  <c r="N45" i="71" a="1"/>
  <c r="N45" i="71" s="1"/>
  <c r="P45" i="71" s="1"/>
  <c r="K45" i="71" a="1"/>
  <c r="K45" i="71" s="1"/>
  <c r="J45" i="71" a="1"/>
  <c r="J45" i="71" s="1"/>
  <c r="L45" i="71" s="1"/>
  <c r="G45" i="71" a="1"/>
  <c r="G45" i="71" s="1"/>
  <c r="F45" i="71" a="1"/>
  <c r="F45" i="71" s="1"/>
  <c r="H45" i="71" s="1"/>
  <c r="C45" i="71" a="1"/>
  <c r="C45" i="71" s="1"/>
  <c r="D45" i="71" s="1"/>
  <c r="B45" i="71"/>
  <c r="B45" i="71" a="1"/>
  <c r="O44" i="71" a="1"/>
  <c r="O44" i="71" s="1"/>
  <c r="N44" i="71"/>
  <c r="P44" i="71" s="1"/>
  <c r="N44" i="71" a="1"/>
  <c r="K44" i="71" a="1"/>
  <c r="K44" i="71" s="1"/>
  <c r="J44" i="71"/>
  <c r="L44" i="71" s="1"/>
  <c r="J44" i="71" a="1"/>
  <c r="G44" i="71"/>
  <c r="H44" i="71" s="1"/>
  <c r="G44" i="71" a="1"/>
  <c r="F44" i="71"/>
  <c r="F44" i="71" a="1"/>
  <c r="C44" i="71"/>
  <c r="C44" i="71" a="1"/>
  <c r="B44" i="71" a="1"/>
  <c r="B44" i="71" s="1"/>
  <c r="D44" i="71" s="1"/>
  <c r="O43" i="71" a="1"/>
  <c r="O43" i="71" s="1"/>
  <c r="N43" i="71" a="1"/>
  <c r="N43" i="71" s="1"/>
  <c r="K43" i="71" a="1"/>
  <c r="K43" i="71" s="1"/>
  <c r="J43" i="71" a="1"/>
  <c r="J43" i="71" s="1"/>
  <c r="L43" i="71" s="1"/>
  <c r="G43" i="71" a="1"/>
  <c r="G43" i="71" s="1"/>
  <c r="F43" i="71" a="1"/>
  <c r="F43" i="71" s="1"/>
  <c r="H43" i="71" s="1"/>
  <c r="C43" i="71" a="1"/>
  <c r="C43" i="71" s="1"/>
  <c r="B43" i="71" a="1"/>
  <c r="B43" i="71" s="1"/>
  <c r="D43" i="71" s="1"/>
  <c r="O42" i="71" a="1"/>
  <c r="O42" i="71" s="1"/>
  <c r="N42" i="71"/>
  <c r="N42" i="71" a="1"/>
  <c r="K42" i="71" a="1"/>
  <c r="K42" i="71" s="1"/>
  <c r="J42" i="71"/>
  <c r="L42" i="71" s="1"/>
  <c r="J42" i="71" a="1"/>
  <c r="G42" i="71"/>
  <c r="H42" i="71" s="1"/>
  <c r="G42" i="71" a="1"/>
  <c r="F42" i="71"/>
  <c r="F42" i="71" a="1"/>
  <c r="C42" i="71"/>
  <c r="C42" i="71" a="1"/>
  <c r="B42" i="71" a="1"/>
  <c r="B42" i="71" s="1"/>
  <c r="D42" i="71" s="1"/>
  <c r="O45" i="72"/>
  <c r="O45" i="72" a="1"/>
  <c r="N45" i="72" a="1"/>
  <c r="N45" i="72" s="1"/>
  <c r="P45" i="72" s="1"/>
  <c r="K45" i="72" a="1"/>
  <c r="K45" i="72" s="1"/>
  <c r="J45" i="72" a="1"/>
  <c r="J45" i="72" s="1"/>
  <c r="G45" i="72" a="1"/>
  <c r="G45" i="72" s="1"/>
  <c r="F45" i="72" a="1"/>
  <c r="F45" i="72" s="1"/>
  <c r="H45" i="72" s="1"/>
  <c r="C45" i="72" a="1"/>
  <c r="C45" i="72" s="1"/>
  <c r="D45" i="72" s="1"/>
  <c r="B45" i="72"/>
  <c r="B45" i="72" a="1"/>
  <c r="O44" i="72" a="1"/>
  <c r="O44" i="72" s="1"/>
  <c r="N44" i="72"/>
  <c r="P44" i="72" s="1"/>
  <c r="N44" i="72" a="1"/>
  <c r="K44" i="72" a="1"/>
  <c r="K44" i="72" s="1"/>
  <c r="L44" i="72" s="1"/>
  <c r="J44" i="72"/>
  <c r="J44" i="72" a="1"/>
  <c r="G44" i="72"/>
  <c r="G44" i="72" a="1"/>
  <c r="F44" i="72"/>
  <c r="H44" i="72" s="1"/>
  <c r="F44" i="72" a="1"/>
  <c r="C44" i="72"/>
  <c r="C44" i="72" a="1"/>
  <c r="B44" i="72" a="1"/>
  <c r="B44" i="72" s="1"/>
  <c r="D44" i="72" s="1"/>
  <c r="O43" i="72"/>
  <c r="O43" i="72" a="1"/>
  <c r="N43" i="72" a="1"/>
  <c r="N43" i="72" s="1"/>
  <c r="P43" i="72" s="1"/>
  <c r="K43" i="72" a="1"/>
  <c r="K43" i="72" s="1"/>
  <c r="J43" i="72" a="1"/>
  <c r="J43" i="72" s="1"/>
  <c r="L43" i="72" s="1"/>
  <c r="G43" i="72" a="1"/>
  <c r="G43" i="72" s="1"/>
  <c r="F43" i="72" a="1"/>
  <c r="F43" i="72" s="1"/>
  <c r="C43" i="72" a="1"/>
  <c r="C43" i="72" s="1"/>
  <c r="B43" i="72" a="1"/>
  <c r="B43" i="72" s="1"/>
  <c r="O42" i="72" a="1"/>
  <c r="O42" i="72" s="1"/>
  <c r="N42" i="72"/>
  <c r="P42" i="72" s="1"/>
  <c r="N42" i="72" a="1"/>
  <c r="K42" i="72" a="1"/>
  <c r="K42" i="72" s="1"/>
  <c r="L42" i="72" s="1"/>
  <c r="J42" i="72"/>
  <c r="J42" i="72" a="1"/>
  <c r="G42" i="72"/>
  <c r="G42" i="72" a="1"/>
  <c r="F42" i="72"/>
  <c r="H42" i="72" s="1"/>
  <c r="F42" i="72" a="1"/>
  <c r="C42" i="72" a="1"/>
  <c r="C42" i="72" s="1"/>
  <c r="B42" i="72" a="1"/>
  <c r="B42" i="72" s="1"/>
  <c r="D42" i="72" s="1"/>
  <c r="F42" i="74" a="1"/>
  <c r="F42" i="74" s="1"/>
  <c r="H42" i="74" s="1"/>
  <c r="G42" i="74" a="1"/>
  <c r="G42" i="74" s="1"/>
  <c r="J42" i="74" a="1"/>
  <c r="J42" i="74" s="1"/>
  <c r="L42" i="74" s="1"/>
  <c r="K42" i="74" a="1"/>
  <c r="K42" i="74" s="1"/>
  <c r="N42" i="74" a="1"/>
  <c r="N42" i="74" s="1"/>
  <c r="P42" i="74" s="1"/>
  <c r="O42" i="74" a="1"/>
  <c r="O42" i="74"/>
  <c r="F43" i="74" a="1"/>
  <c r="F43" i="74" s="1"/>
  <c r="H43" i="74" s="1"/>
  <c r="G43" i="74" a="1"/>
  <c r="G43" i="74"/>
  <c r="J43" i="74" a="1"/>
  <c r="J43" i="74"/>
  <c r="L43" i="74" s="1"/>
  <c r="K43" i="74" a="1"/>
  <c r="K43" i="74"/>
  <c r="N43" i="74" a="1"/>
  <c r="N43" i="74"/>
  <c r="O43" i="74" a="1"/>
  <c r="O43" i="74"/>
  <c r="P43" i="74"/>
  <c r="F44" i="74" a="1"/>
  <c r="F44" i="74" s="1"/>
  <c r="H44" i="74" s="1"/>
  <c r="G44" i="74" a="1"/>
  <c r="G44" i="74" s="1"/>
  <c r="J44" i="74" a="1"/>
  <c r="J44" i="74"/>
  <c r="K44" i="74" a="1"/>
  <c r="K44" i="74"/>
  <c r="L44" i="74"/>
  <c r="N44" i="74" a="1"/>
  <c r="N44" i="74" s="1"/>
  <c r="O44" i="74" a="1"/>
  <c r="O44" i="74" s="1"/>
  <c r="F45" i="74" a="1"/>
  <c r="F45" i="74"/>
  <c r="H45" i="74" s="1"/>
  <c r="G45" i="74" a="1"/>
  <c r="G45" i="74" s="1"/>
  <c r="J45" i="74" a="1"/>
  <c r="J45" i="74" s="1"/>
  <c r="L45" i="74" s="1"/>
  <c r="K45" i="74" a="1"/>
  <c r="K45" i="74"/>
  <c r="N45" i="74" a="1"/>
  <c r="N45" i="74" s="1"/>
  <c r="P45" i="74" s="1"/>
  <c r="O45" i="74" a="1"/>
  <c r="O45" i="74"/>
  <c r="B46" i="74"/>
  <c r="B45" i="74" a="1"/>
  <c r="B45" i="74" s="1"/>
  <c r="B42" i="74" a="1"/>
  <c r="B42" i="74" s="1"/>
  <c r="C44" i="74" a="1"/>
  <c r="C44" i="74" s="1"/>
  <c r="B44" i="74" a="1"/>
  <c r="B44" i="74" s="1"/>
  <c r="D44" i="74" s="1"/>
  <c r="C43" i="74" a="1"/>
  <c r="C43" i="74" s="1"/>
  <c r="B43" i="74" a="1"/>
  <c r="B43" i="74" s="1"/>
  <c r="C42" i="74" a="1"/>
  <c r="C42" i="74" s="1"/>
  <c r="O46" i="90" a="1"/>
  <c r="O46" i="90" s="1"/>
  <c r="N46" i="90" a="1"/>
  <c r="N46" i="90" s="1"/>
  <c r="K46" i="90" a="1"/>
  <c r="K46" i="90" s="1"/>
  <c r="J46" i="90" a="1"/>
  <c r="J46" i="90" s="1"/>
  <c r="G46" i="90" a="1"/>
  <c r="G46" i="90" s="1"/>
  <c r="F46" i="90" a="1"/>
  <c r="F46" i="90" s="1"/>
  <c r="C46" i="90" a="1"/>
  <c r="C46" i="90" s="1"/>
  <c r="B46" i="90" a="1"/>
  <c r="B46" i="90" s="1"/>
  <c r="O45" i="90" a="1"/>
  <c r="O45" i="90" s="1"/>
  <c r="N45" i="90" a="1"/>
  <c r="N45" i="90" s="1"/>
  <c r="K45" i="90" a="1"/>
  <c r="K45" i="90" s="1"/>
  <c r="J45" i="90" a="1"/>
  <c r="J45" i="90" s="1"/>
  <c r="G45" i="90" a="1"/>
  <c r="G45" i="90" s="1"/>
  <c r="F45" i="90" a="1"/>
  <c r="F45" i="90" s="1"/>
  <c r="C45" i="90" a="1"/>
  <c r="C45" i="90" s="1"/>
  <c r="B45" i="90" a="1"/>
  <c r="B45" i="90" s="1"/>
  <c r="O44" i="90" a="1"/>
  <c r="O44" i="90" s="1"/>
  <c r="N44" i="90" a="1"/>
  <c r="N44" i="90" s="1"/>
  <c r="K44" i="90" a="1"/>
  <c r="K44" i="90" s="1"/>
  <c r="J44" i="90" a="1"/>
  <c r="J44" i="90" s="1"/>
  <c r="G44" i="90" a="1"/>
  <c r="G44" i="90" s="1"/>
  <c r="F44" i="90" a="1"/>
  <c r="F44" i="90" s="1"/>
  <c r="C44" i="90" a="1"/>
  <c r="C44" i="90" s="1"/>
  <c r="B44" i="90" a="1"/>
  <c r="B44" i="90" s="1"/>
  <c r="O43" i="90" a="1"/>
  <c r="O43" i="90" s="1"/>
  <c r="N43" i="90" a="1"/>
  <c r="N43" i="90" s="1"/>
  <c r="K43" i="90" a="1"/>
  <c r="K43" i="90" s="1"/>
  <c r="J43" i="90" a="1"/>
  <c r="J43" i="90" s="1"/>
  <c r="G43" i="90" a="1"/>
  <c r="G43" i="90" s="1"/>
  <c r="F43" i="90" a="1"/>
  <c r="F43" i="90" s="1"/>
  <c r="O47" i="10" a="1"/>
  <c r="O47" i="10" s="1"/>
  <c r="N47" i="10" a="1"/>
  <c r="N47" i="10" s="1"/>
  <c r="K47" i="10" a="1"/>
  <c r="K47" i="10" s="1"/>
  <c r="J47" i="10" a="1"/>
  <c r="J47" i="10" s="1"/>
  <c r="G47" i="10" a="1"/>
  <c r="G47" i="10" s="1"/>
  <c r="F47" i="10" a="1"/>
  <c r="F47" i="10" s="1"/>
  <c r="C47" i="10" a="1"/>
  <c r="C47" i="10" s="1"/>
  <c r="B47" i="10" a="1"/>
  <c r="B47" i="10" s="1"/>
  <c r="O46" i="10" a="1"/>
  <c r="O46" i="10" s="1"/>
  <c r="N46" i="10" a="1"/>
  <c r="N46" i="10" s="1"/>
  <c r="K46" i="10" a="1"/>
  <c r="K46" i="10" s="1"/>
  <c r="J46" i="10" a="1"/>
  <c r="J46" i="10" s="1"/>
  <c r="G46" i="10" a="1"/>
  <c r="G46" i="10" s="1"/>
  <c r="F46" i="10" a="1"/>
  <c r="F46" i="10" s="1"/>
  <c r="C46" i="10" a="1"/>
  <c r="C46" i="10" s="1"/>
  <c r="B46" i="10" a="1"/>
  <c r="B46" i="10" s="1"/>
  <c r="O45" i="10" a="1"/>
  <c r="O45" i="10" s="1"/>
  <c r="N45" i="10" a="1"/>
  <c r="N45" i="10" s="1"/>
  <c r="K45" i="10" a="1"/>
  <c r="K45" i="10" s="1"/>
  <c r="J45" i="10" a="1"/>
  <c r="J45" i="10" s="1"/>
  <c r="G45" i="10" a="1"/>
  <c r="G45" i="10" s="1"/>
  <c r="F45" i="10" a="1"/>
  <c r="F45" i="10" s="1"/>
  <c r="C45" i="10" a="1"/>
  <c r="C45" i="10" s="1"/>
  <c r="B45" i="10" a="1"/>
  <c r="B45" i="10" s="1"/>
  <c r="O44" i="10" a="1"/>
  <c r="O44" i="10" s="1"/>
  <c r="P44" i="10" s="1"/>
  <c r="E15" i="119" s="1"/>
  <c r="K44" i="10" a="1"/>
  <c r="K44" i="10" s="1"/>
  <c r="J44" i="10" a="1"/>
  <c r="J44" i="10" s="1"/>
  <c r="G44" i="10" a="1"/>
  <c r="G44" i="10" s="1"/>
  <c r="F44" i="10" a="1"/>
  <c r="F44" i="10" s="1"/>
  <c r="H43" i="90" l="1"/>
  <c r="L46" i="90"/>
  <c r="H46" i="90"/>
  <c r="H47" i="10"/>
  <c r="L45" i="10"/>
  <c r="P46" i="10"/>
  <c r="D44" i="90"/>
  <c r="D45" i="90"/>
  <c r="D46" i="90"/>
  <c r="H44" i="90"/>
  <c r="H45" i="90"/>
  <c r="P46" i="90"/>
  <c r="L43" i="90"/>
  <c r="L44" i="90"/>
  <c r="L45" i="90"/>
  <c r="P43" i="90"/>
  <c r="E20" i="119" s="1"/>
  <c r="P44" i="90"/>
  <c r="P45" i="90"/>
  <c r="H44" i="10"/>
  <c r="D46" i="10"/>
  <c r="L46" i="10"/>
  <c r="D45" i="10"/>
  <c r="H45" i="10"/>
  <c r="L44" i="10"/>
  <c r="H46" i="10"/>
  <c r="D44" i="10"/>
  <c r="P45" i="10"/>
  <c r="D47" i="10"/>
  <c r="P42" i="71"/>
  <c r="P43" i="71"/>
  <c r="D43" i="72"/>
  <c r="H43" i="72"/>
  <c r="L45" i="72"/>
  <c r="P44" i="74"/>
  <c r="D43" i="74"/>
  <c r="D42" i="74"/>
  <c r="L47" i="10"/>
  <c r="P47" i="10"/>
  <c r="N41" i="90" l="1"/>
  <c r="P41" i="90" s="1"/>
  <c r="J41" i="90"/>
  <c r="L41" i="90" s="1"/>
  <c r="F41" i="90"/>
  <c r="H41" i="90" s="1"/>
  <c r="C41" i="90"/>
  <c r="B41" i="90"/>
  <c r="D41" i="90" l="1"/>
  <c r="P39" i="39" l="1"/>
  <c r="O148" i="39"/>
  <c r="N148" i="39"/>
  <c r="K148" i="39"/>
  <c r="J148" i="39"/>
  <c r="G148" i="39"/>
  <c r="H148" i="39" s="1"/>
  <c r="F148" i="39"/>
  <c r="C148" i="39"/>
  <c r="B148" i="39"/>
  <c r="O147" i="39"/>
  <c r="N147" i="39"/>
  <c r="K147" i="39"/>
  <c r="J147" i="39"/>
  <c r="G147" i="39"/>
  <c r="F147" i="39"/>
  <c r="C147" i="39"/>
  <c r="B147" i="39"/>
  <c r="O146" i="39"/>
  <c r="N146" i="39"/>
  <c r="K146" i="39"/>
  <c r="J146" i="39"/>
  <c r="G146" i="39"/>
  <c r="F146" i="39"/>
  <c r="C146" i="39"/>
  <c r="B146" i="39"/>
  <c r="O145" i="39"/>
  <c r="N145" i="39"/>
  <c r="K145" i="39"/>
  <c r="J145" i="39"/>
  <c r="G145" i="39"/>
  <c r="F145" i="39"/>
  <c r="C145" i="39"/>
  <c r="B145" i="39"/>
  <c r="O98" i="39"/>
  <c r="N98" i="39"/>
  <c r="K98" i="39"/>
  <c r="J98" i="39"/>
  <c r="G98" i="39"/>
  <c r="F98" i="39"/>
  <c r="C98" i="39"/>
  <c r="B98" i="39"/>
  <c r="O97" i="39"/>
  <c r="N97" i="39"/>
  <c r="K97" i="39"/>
  <c r="J97" i="39"/>
  <c r="G97" i="39"/>
  <c r="F97" i="39"/>
  <c r="C97" i="39"/>
  <c r="B97" i="39"/>
  <c r="O96" i="39"/>
  <c r="N96" i="39"/>
  <c r="K96" i="39"/>
  <c r="J96" i="39"/>
  <c r="G96" i="39"/>
  <c r="F96" i="39"/>
  <c r="C96" i="39"/>
  <c r="B96" i="39"/>
  <c r="O95" i="39"/>
  <c r="N95" i="39"/>
  <c r="K95" i="39"/>
  <c r="J95" i="39"/>
  <c r="G95" i="39"/>
  <c r="F95" i="39"/>
  <c r="C95" i="39"/>
  <c r="B95" i="39"/>
  <c r="P48" i="39"/>
  <c r="L48" i="39"/>
  <c r="H48" i="39"/>
  <c r="D48" i="39"/>
  <c r="P43" i="39"/>
  <c r="L43" i="39"/>
  <c r="H43" i="39"/>
  <c r="D43" i="39"/>
  <c r="P42" i="39"/>
  <c r="L42" i="39"/>
  <c r="H42" i="39"/>
  <c r="D42" i="39"/>
  <c r="P40" i="39"/>
  <c r="L40" i="39"/>
  <c r="H40" i="39"/>
  <c r="D40" i="39"/>
  <c r="L39" i="39"/>
  <c r="H39" i="39"/>
  <c r="D39" i="39"/>
  <c r="P38" i="39"/>
  <c r="L38" i="39"/>
  <c r="H38" i="39"/>
  <c r="D38" i="39"/>
  <c r="P37" i="39"/>
  <c r="L37" i="39"/>
  <c r="H37" i="39"/>
  <c r="D37" i="39"/>
  <c r="P36" i="39"/>
  <c r="L36" i="39"/>
  <c r="H36" i="39"/>
  <c r="D36" i="39"/>
  <c r="P35" i="39"/>
  <c r="L35" i="39"/>
  <c r="H35" i="39"/>
  <c r="D35" i="39"/>
  <c r="P34" i="39"/>
  <c r="L34" i="39"/>
  <c r="H34" i="39"/>
  <c r="D34" i="39"/>
  <c r="P33" i="39"/>
  <c r="L33" i="39"/>
  <c r="H33" i="39"/>
  <c r="D33" i="39"/>
  <c r="P32" i="39"/>
  <c r="L32" i="39"/>
  <c r="H32" i="39"/>
  <c r="D32" i="39"/>
  <c r="P31" i="39"/>
  <c r="L31" i="39"/>
  <c r="H31" i="39"/>
  <c r="D31" i="39"/>
  <c r="P30" i="39"/>
  <c r="L30" i="39"/>
  <c r="H30" i="39"/>
  <c r="D30" i="39"/>
  <c r="P29" i="39"/>
  <c r="L29" i="39"/>
  <c r="H29" i="39"/>
  <c r="D29" i="39"/>
  <c r="P28" i="39"/>
  <c r="L28" i="39"/>
  <c r="H28" i="39"/>
  <c r="D28" i="39"/>
  <c r="P27" i="39"/>
  <c r="L27" i="39"/>
  <c r="H27" i="39"/>
  <c r="D27" i="39"/>
  <c r="P26" i="39"/>
  <c r="L26" i="39"/>
  <c r="H26" i="39"/>
  <c r="D26" i="39"/>
  <c r="P25" i="39"/>
  <c r="L25" i="39"/>
  <c r="H25" i="39"/>
  <c r="D25" i="39"/>
  <c r="P24" i="39"/>
  <c r="L24" i="39"/>
  <c r="H24" i="39"/>
  <c r="D24" i="39"/>
  <c r="P23" i="39"/>
  <c r="L23" i="39"/>
  <c r="H23" i="39"/>
  <c r="D23" i="39"/>
  <c r="P22" i="39"/>
  <c r="L22" i="39"/>
  <c r="H22" i="39"/>
  <c r="D22" i="39"/>
  <c r="P21" i="39"/>
  <c r="L21" i="39"/>
  <c r="H21" i="39"/>
  <c r="D21" i="39"/>
  <c r="P20" i="39"/>
  <c r="L20" i="39"/>
  <c r="H20" i="39"/>
  <c r="D20" i="39"/>
  <c r="P19" i="39"/>
  <c r="L19" i="39"/>
  <c r="H19" i="39"/>
  <c r="D19" i="39"/>
  <c r="P18" i="39"/>
  <c r="L18" i="39"/>
  <c r="H18" i="39"/>
  <c r="D18" i="39"/>
  <c r="P17" i="39"/>
  <c r="L17" i="39"/>
  <c r="H17" i="39"/>
  <c r="D17" i="39"/>
  <c r="P16" i="39"/>
  <c r="L16" i="39"/>
  <c r="H16" i="39"/>
  <c r="D16" i="39"/>
  <c r="P15" i="39"/>
  <c r="L15" i="39"/>
  <c r="H15" i="39"/>
  <c r="D15" i="39"/>
  <c r="P14" i="39"/>
  <c r="L14" i="39"/>
  <c r="H14" i="39"/>
  <c r="D14" i="39"/>
  <c r="P13" i="39"/>
  <c r="L13" i="39"/>
  <c r="H13" i="39"/>
  <c r="D13" i="39"/>
  <c r="P12" i="39"/>
  <c r="L12" i="39"/>
  <c r="H12" i="39"/>
  <c r="D12" i="39"/>
  <c r="P11" i="39"/>
  <c r="L11" i="39"/>
  <c r="H11" i="39"/>
  <c r="D11" i="39"/>
  <c r="P10" i="39"/>
  <c r="L10" i="39"/>
  <c r="H10" i="39"/>
  <c r="D10" i="39"/>
  <c r="P9" i="39"/>
  <c r="L9" i="39"/>
  <c r="H9" i="39"/>
  <c r="D9" i="39"/>
  <c r="H98" i="39" l="1"/>
  <c r="H47" i="39" s="1"/>
  <c r="H145" i="39"/>
  <c r="P146" i="39"/>
  <c r="P147" i="39"/>
  <c r="P148" i="39"/>
  <c r="P95" i="39"/>
  <c r="P98" i="39"/>
  <c r="P145" i="39"/>
  <c r="H147" i="39"/>
  <c r="H97" i="39"/>
  <c r="L98" i="39"/>
  <c r="L145" i="39"/>
  <c r="L146" i="39"/>
  <c r="L147" i="39"/>
  <c r="D97" i="39"/>
  <c r="D98" i="39"/>
  <c r="D145" i="39"/>
  <c r="D147" i="39"/>
  <c r="L148" i="39"/>
  <c r="D146" i="39"/>
  <c r="H46" i="39"/>
  <c r="H146" i="39"/>
  <c r="D148" i="39"/>
  <c r="P97" i="39"/>
  <c r="P46" i="39" s="1"/>
  <c r="H95" i="39"/>
  <c r="D95" i="39"/>
  <c r="H96" i="39"/>
  <c r="L95" i="39"/>
  <c r="L44" i="39" s="1"/>
  <c r="L96" i="39"/>
  <c r="L45" i="39" s="1"/>
  <c r="P96" i="39"/>
  <c r="P45" i="39" s="1"/>
  <c r="L97" i="39"/>
  <c r="D96" i="39"/>
  <c r="P44" i="39" l="1"/>
  <c r="H44" i="39"/>
  <c r="D47" i="39"/>
  <c r="P47" i="39"/>
  <c r="D44" i="39"/>
  <c r="D46" i="39"/>
  <c r="L47" i="39"/>
  <c r="D45" i="39"/>
  <c r="L46" i="39"/>
  <c r="H45" i="39"/>
  <c r="D8" i="37"/>
  <c r="E8" i="37"/>
  <c r="F8" i="37"/>
  <c r="G8" i="37"/>
  <c r="D9" i="37"/>
  <c r="E9" i="37"/>
  <c r="F9" i="37"/>
  <c r="G9" i="37"/>
  <c r="D10" i="37"/>
  <c r="E10" i="37"/>
  <c r="F10" i="37"/>
  <c r="G10" i="37"/>
  <c r="D11" i="37"/>
  <c r="E11" i="37"/>
  <c r="F11" i="37"/>
  <c r="G11" i="37"/>
  <c r="D12" i="37"/>
  <c r="E12" i="37"/>
  <c r="F12" i="37"/>
  <c r="G12" i="37"/>
  <c r="D13" i="37"/>
  <c r="E13" i="37"/>
  <c r="F13" i="37"/>
  <c r="G13" i="37"/>
  <c r="D14" i="37"/>
  <c r="E14" i="37"/>
  <c r="F14" i="37"/>
  <c r="G14" i="37"/>
  <c r="F17" i="117"/>
  <c r="F18" i="117"/>
  <c r="F19" i="117"/>
  <c r="F20" i="117"/>
  <c r="F8" i="117"/>
  <c r="F9" i="117"/>
  <c r="F10" i="117"/>
  <c r="F11" i="117"/>
  <c r="F12" i="117"/>
  <c r="F13" i="117"/>
  <c r="F14" i="117"/>
  <c r="F7" i="117"/>
  <c r="I14" i="37" l="1"/>
  <c r="H12" i="37"/>
  <c r="I10" i="37"/>
  <c r="H8" i="37"/>
  <c r="H13" i="37"/>
  <c r="H11" i="37"/>
  <c r="H9" i="37"/>
  <c r="H14" i="37"/>
  <c r="H10" i="37"/>
  <c r="I13" i="37"/>
  <c r="I9" i="37"/>
  <c r="I8" i="37"/>
  <c r="I12" i="37"/>
  <c r="I11" i="37"/>
  <c r="B46" i="1" a="1"/>
  <c r="B46" i="1" s="1"/>
  <c r="O47" i="1"/>
  <c r="N47" i="1"/>
  <c r="K47" i="1"/>
  <c r="J47" i="1"/>
  <c r="G47" i="1"/>
  <c r="F47" i="1"/>
  <c r="C47" i="1"/>
  <c r="B47" i="1"/>
  <c r="O46" i="1"/>
  <c r="N46" i="1"/>
  <c r="K46" i="1"/>
  <c r="J46" i="1"/>
  <c r="G46" i="1"/>
  <c r="F46" i="1"/>
  <c r="C46" i="1"/>
  <c r="O45" i="1"/>
  <c r="N45" i="1"/>
  <c r="K45" i="1"/>
  <c r="J45" i="1"/>
  <c r="G45" i="1"/>
  <c r="F45" i="1"/>
  <c r="C45" i="1"/>
  <c r="B45" i="1"/>
  <c r="O44" i="1"/>
  <c r="N44" i="1"/>
  <c r="K44" i="1"/>
  <c r="J44" i="1"/>
  <c r="G44" i="1"/>
  <c r="F44" i="1"/>
  <c r="C44" i="1"/>
  <c r="B44" i="1"/>
  <c r="F45" i="86"/>
  <c r="G45" i="86"/>
  <c r="J45" i="86"/>
  <c r="K45" i="86"/>
  <c r="N45" i="86"/>
  <c r="O45" i="86"/>
  <c r="F46" i="86"/>
  <c r="G46" i="86"/>
  <c r="J46" i="86"/>
  <c r="K46" i="86"/>
  <c r="N46" i="86"/>
  <c r="O46" i="86"/>
  <c r="F47" i="86"/>
  <c r="G47" i="86"/>
  <c r="J47" i="86"/>
  <c r="K47" i="86"/>
  <c r="N47" i="86"/>
  <c r="O47" i="86"/>
  <c r="F48" i="86"/>
  <c r="G48" i="86"/>
  <c r="J48" i="86"/>
  <c r="K48" i="86"/>
  <c r="N48" i="86"/>
  <c r="O48" i="86"/>
  <c r="C48" i="86"/>
  <c r="B48" i="86"/>
  <c r="C47" i="86"/>
  <c r="B47" i="86"/>
  <c r="C46" i="86"/>
  <c r="B46" i="86"/>
  <c r="C45" i="86"/>
  <c r="B45" i="86"/>
  <c r="P44" i="33"/>
  <c r="N44" i="33"/>
  <c r="L44" i="33"/>
  <c r="J44" i="33"/>
  <c r="H44" i="33"/>
  <c r="F44" i="33"/>
  <c r="D44" i="33"/>
  <c r="B44" i="33"/>
  <c r="P43" i="33"/>
  <c r="N43" i="33"/>
  <c r="L43" i="33"/>
  <c r="J43" i="33"/>
  <c r="H43" i="33"/>
  <c r="F43" i="33"/>
  <c r="P42" i="33"/>
  <c r="L42" i="33"/>
  <c r="J42" i="33"/>
  <c r="H42" i="33"/>
  <c r="F42" i="33"/>
  <c r="P41" i="33"/>
  <c r="N41" i="33"/>
  <c r="L41" i="33"/>
  <c r="J41" i="33"/>
  <c r="H41" i="33"/>
  <c r="F41" i="33"/>
  <c r="P40" i="33"/>
  <c r="L40" i="33"/>
  <c r="H40" i="33"/>
  <c r="P39" i="33"/>
  <c r="L39" i="33"/>
  <c r="H39" i="33"/>
  <c r="P37" i="33"/>
  <c r="L37" i="33"/>
  <c r="H37" i="33"/>
  <c r="P36" i="33"/>
  <c r="L36" i="33"/>
  <c r="H36" i="33"/>
  <c r="P35" i="33"/>
  <c r="L35" i="33"/>
  <c r="H35" i="33"/>
  <c r="P34" i="33"/>
  <c r="L34" i="33"/>
  <c r="H34" i="33"/>
  <c r="P33" i="33"/>
  <c r="L33" i="33"/>
  <c r="H33" i="33"/>
  <c r="P32" i="33"/>
  <c r="L32" i="33"/>
  <c r="H32" i="33"/>
  <c r="P31" i="33"/>
  <c r="L31" i="33"/>
  <c r="H31" i="33"/>
  <c r="P30" i="33"/>
  <c r="L30" i="33"/>
  <c r="H30" i="33"/>
  <c r="P29" i="33"/>
  <c r="L29" i="33"/>
  <c r="H29" i="33"/>
  <c r="P28" i="33"/>
  <c r="L28" i="33"/>
  <c r="H28" i="33"/>
  <c r="P27" i="33"/>
  <c r="L27" i="33"/>
  <c r="H27" i="33"/>
  <c r="P26" i="33"/>
  <c r="L26" i="33"/>
  <c r="H26" i="33"/>
  <c r="P25" i="33"/>
  <c r="L25" i="33"/>
  <c r="H25" i="33"/>
  <c r="P24" i="33"/>
  <c r="L24" i="33"/>
  <c r="H24" i="33"/>
  <c r="P23" i="33"/>
  <c r="L23" i="33"/>
  <c r="H23" i="33"/>
  <c r="P22" i="33"/>
  <c r="L22" i="33"/>
  <c r="H22" i="33"/>
  <c r="P21" i="33"/>
  <c r="L21" i="33"/>
  <c r="H21" i="33"/>
  <c r="P20" i="33"/>
  <c r="L20" i="33"/>
  <c r="H20" i="33"/>
  <c r="P19" i="33"/>
  <c r="L19" i="33"/>
  <c r="H19" i="33"/>
  <c r="P18" i="33"/>
  <c r="L18" i="33"/>
  <c r="H18" i="33"/>
  <c r="P17" i="33"/>
  <c r="L17" i="33"/>
  <c r="H17" i="33"/>
  <c r="P16" i="33"/>
  <c r="L16" i="33"/>
  <c r="H16" i="33"/>
  <c r="P15" i="33"/>
  <c r="L15" i="33"/>
  <c r="H15" i="33"/>
  <c r="P14" i="33"/>
  <c r="L14" i="33"/>
  <c r="H14" i="33"/>
  <c r="P13" i="33"/>
  <c r="L13" i="33"/>
  <c r="H13" i="33"/>
  <c r="P12" i="33"/>
  <c r="L12" i="33"/>
  <c r="H12" i="33"/>
  <c r="P11" i="33"/>
  <c r="L11" i="33"/>
  <c r="H11" i="33"/>
  <c r="P10" i="33"/>
  <c r="L10" i="33"/>
  <c r="H10" i="33"/>
  <c r="P9" i="33"/>
  <c r="L9" i="33"/>
  <c r="H9" i="33"/>
  <c r="J8" i="33"/>
  <c r="F8" i="33"/>
  <c r="P47" i="1" l="1"/>
  <c r="H45" i="86"/>
  <c r="P47" i="86"/>
  <c r="H47" i="86"/>
  <c r="H48" i="86"/>
  <c r="P46" i="86"/>
  <c r="L45" i="86"/>
  <c r="D48" i="86"/>
  <c r="D46" i="86"/>
  <c r="P44" i="1"/>
  <c r="P45" i="1"/>
  <c r="H46" i="1"/>
  <c r="H47" i="1"/>
  <c r="H45" i="1"/>
  <c r="L45" i="1"/>
  <c r="P46" i="1"/>
  <c r="P45" i="86"/>
  <c r="D45" i="86"/>
  <c r="P48" i="86"/>
  <c r="D47" i="86"/>
  <c r="H46" i="86"/>
  <c r="N45" i="33" a="1"/>
  <c r="N45" i="33" s="1"/>
  <c r="F48" i="33" a="1"/>
  <c r="F48" i="33" s="1"/>
  <c r="J48" i="33" a="1"/>
  <c r="J48" i="33" s="1"/>
  <c r="K9" i="33"/>
  <c r="K10" i="33"/>
  <c r="K12" i="33"/>
  <c r="K14" i="33"/>
  <c r="K16" i="33"/>
  <c r="K18" i="33"/>
  <c r="K20" i="33"/>
  <c r="K22" i="33"/>
  <c r="K24" i="33"/>
  <c r="K26" i="33"/>
  <c r="O28" i="33"/>
  <c r="O29" i="33"/>
  <c r="O30" i="33"/>
  <c r="O31" i="33"/>
  <c r="C44" i="33"/>
  <c r="G32" i="33"/>
  <c r="G33" i="33"/>
  <c r="G34" i="33"/>
  <c r="G35" i="33"/>
  <c r="G36" i="33"/>
  <c r="G39" i="33"/>
  <c r="G40" i="33"/>
  <c r="G41" i="33"/>
  <c r="G42" i="33"/>
  <c r="G43" i="33"/>
  <c r="K28" i="33"/>
  <c r="G9" i="33"/>
  <c r="G10" i="33"/>
  <c r="G11" i="33"/>
  <c r="G12" i="33"/>
  <c r="G13" i="33"/>
  <c r="G14" i="33"/>
  <c r="G15" i="33"/>
  <c r="G16" i="33"/>
  <c r="G17" i="33"/>
  <c r="G18" i="33"/>
  <c r="G19" i="33"/>
  <c r="G20" i="33"/>
  <c r="G21" i="33"/>
  <c r="G22" i="33"/>
  <c r="G23" i="33"/>
  <c r="G24" i="33"/>
  <c r="G25" i="33"/>
  <c r="G26" i="33"/>
  <c r="G27" i="33"/>
  <c r="G28" i="33"/>
  <c r="G29" i="33"/>
  <c r="G31" i="33"/>
  <c r="G44" i="33"/>
  <c r="O9" i="33"/>
  <c r="O10" i="33"/>
  <c r="O11" i="33"/>
  <c r="O12" i="33"/>
  <c r="O13" i="33"/>
  <c r="O14" i="33"/>
  <c r="O15" i="33"/>
  <c r="O16" i="33"/>
  <c r="O17" i="33"/>
  <c r="O18" i="33"/>
  <c r="O19" i="33"/>
  <c r="O20" i="33"/>
  <c r="O21" i="33"/>
  <c r="O22" i="33"/>
  <c r="O23" i="33"/>
  <c r="O24" i="33"/>
  <c r="O25" i="33"/>
  <c r="O26" i="33"/>
  <c r="O27" i="33"/>
  <c r="K32" i="33"/>
  <c r="K34" i="33"/>
  <c r="K36" i="33"/>
  <c r="K44" i="33"/>
  <c r="O32" i="33"/>
  <c r="O33" i="33"/>
  <c r="O34" i="33"/>
  <c r="O36" i="33"/>
  <c r="O39" i="33"/>
  <c r="O40" i="33"/>
  <c r="O41" i="33"/>
  <c r="O42" i="33"/>
  <c r="O43" i="33"/>
  <c r="K19" i="33"/>
  <c r="K31" i="33"/>
  <c r="O44" i="33"/>
  <c r="K15" i="33"/>
  <c r="B48" i="33"/>
  <c r="K35" i="33"/>
  <c r="K43" i="33"/>
  <c r="B45" i="33"/>
  <c r="K27" i="33"/>
  <c r="K17" i="33"/>
  <c r="B46" i="33"/>
  <c r="K33" i="33"/>
  <c r="K40" i="33"/>
  <c r="K41" i="33"/>
  <c r="J47" i="33"/>
  <c r="K23" i="33"/>
  <c r="G30" i="33"/>
  <c r="K21" i="33"/>
  <c r="K39" i="33"/>
  <c r="J45" i="33"/>
  <c r="K13" i="33"/>
  <c r="K29" i="33"/>
  <c r="K42" i="33"/>
  <c r="J46" i="33"/>
  <c r="K37" i="33"/>
  <c r="F46" i="33"/>
  <c r="K11" i="33"/>
  <c r="K25" i="33"/>
  <c r="K30" i="33"/>
  <c r="F45" i="33"/>
  <c r="C36" i="35"/>
  <c r="F36" i="35"/>
  <c r="E36" i="35"/>
  <c r="D36" i="35"/>
  <c r="L44" i="1"/>
  <c r="L46" i="1"/>
  <c r="L47" i="1"/>
  <c r="D44" i="1"/>
  <c r="D46" i="1"/>
  <c r="D45" i="1"/>
  <c r="D47" i="1"/>
  <c r="H44" i="1"/>
  <c r="L47" i="86"/>
  <c r="L46" i="86"/>
  <c r="L48" i="86"/>
  <c r="N47" i="33"/>
  <c r="O35" i="33"/>
  <c r="O37" i="33"/>
  <c r="F47" i="33"/>
  <c r="B47" i="33"/>
  <c r="G37" i="33"/>
  <c r="N46" i="33"/>
  <c r="N48" i="33"/>
  <c r="K46" i="33" l="1"/>
  <c r="L46" i="33" s="1"/>
  <c r="O46" i="33"/>
  <c r="C48" i="33" a="1"/>
  <c r="C48" i="33" s="1"/>
  <c r="D48" i="33" s="1"/>
  <c r="C46" i="33"/>
  <c r="D46" i="33" s="1"/>
  <c r="C45" i="33"/>
  <c r="D45" i="33" s="1"/>
  <c r="G46" i="33"/>
  <c r="H46" i="33" s="1"/>
  <c r="G48" i="33"/>
  <c r="H48" i="33" s="1"/>
  <c r="O45" i="33" a="1"/>
  <c r="O45" i="33" s="1"/>
  <c r="P45" i="33" s="1"/>
  <c r="O38" i="33"/>
  <c r="P38" i="33" s="1"/>
  <c r="K47" i="33"/>
  <c r="L47" i="33" s="1"/>
  <c r="C47" i="33"/>
  <c r="D47" i="33" s="1"/>
  <c r="O48" i="33"/>
  <c r="P48" i="33" s="1"/>
  <c r="K45" i="33"/>
  <c r="L45" i="33" s="1"/>
  <c r="G45" i="33"/>
  <c r="H45" i="33" s="1"/>
  <c r="G38" i="33"/>
  <c r="H38" i="33" s="1"/>
  <c r="G47" i="33"/>
  <c r="H47" i="33" s="1"/>
  <c r="K38" i="33"/>
  <c r="L38" i="33" s="1"/>
  <c r="K48" i="33"/>
  <c r="L48" i="33" s="1"/>
  <c r="P46" i="33"/>
  <c r="O47" i="33"/>
  <c r="P47" i="33" s="1"/>
  <c r="B44" i="88" l="1" a="1"/>
  <c r="B44" i="88" s="1"/>
  <c r="K9" i="88"/>
  <c r="E14" i="89" l="1"/>
  <c r="F14" i="89"/>
  <c r="G44" i="88"/>
  <c r="K44" i="88"/>
  <c r="O44" i="88"/>
  <c r="G45" i="88"/>
  <c r="K45" i="88"/>
  <c r="O45" i="88"/>
  <c r="G47" i="88"/>
  <c r="K47" i="88"/>
  <c r="O47" i="88"/>
  <c r="G48" i="88" a="1"/>
  <c r="G48" i="88" s="1"/>
  <c r="K48" i="88" a="1"/>
  <c r="K48" i="88" s="1"/>
  <c r="O48" i="88" a="1"/>
  <c r="O48" i="88" s="1"/>
  <c r="C48" i="88" a="1"/>
  <c r="C48" i="88" s="1"/>
  <c r="C15" i="88"/>
  <c r="H15" i="88"/>
  <c r="G15" i="88"/>
  <c r="K15" i="88"/>
  <c r="O15" i="88"/>
  <c r="P15" i="88" l="1"/>
  <c r="L15" i="88"/>
  <c r="D15" i="88"/>
  <c r="K35" i="88" l="1"/>
  <c r="O35" i="88"/>
  <c r="C36" i="88"/>
  <c r="G36" i="88"/>
  <c r="K36" i="88"/>
  <c r="O36" i="88"/>
  <c r="C37" i="88"/>
  <c r="G37" i="88"/>
  <c r="K37" i="88"/>
  <c r="H13" i="89"/>
  <c r="O37" i="88"/>
  <c r="C38" i="88"/>
  <c r="G38" i="88"/>
  <c r="K38" i="88"/>
  <c r="O38" i="88"/>
  <c r="D39" i="88"/>
  <c r="D14" i="89" s="1"/>
  <c r="C39" i="88"/>
  <c r="O39" i="88"/>
  <c r="C40" i="88"/>
  <c r="H40" i="88"/>
  <c r="G40" i="88"/>
  <c r="L40" i="88"/>
  <c r="K40" i="88"/>
  <c r="P40" i="88"/>
  <c r="O40" i="88"/>
  <c r="C42" i="88"/>
  <c r="G42" i="88"/>
  <c r="K42" i="88"/>
  <c r="H19" i="89"/>
  <c r="O42" i="88"/>
  <c r="C10" i="88"/>
  <c r="G10" i="88"/>
  <c r="K10" i="88"/>
  <c r="O10" i="88"/>
  <c r="C11" i="88"/>
  <c r="G11" i="88"/>
  <c r="K11" i="88"/>
  <c r="O11" i="88"/>
  <c r="C12" i="88"/>
  <c r="F44" i="88" a="1"/>
  <c r="F44" i="88" s="1"/>
  <c r="H44" i="88" s="1"/>
  <c r="G12" i="88"/>
  <c r="K12" i="88"/>
  <c r="N44" i="88" a="1"/>
  <c r="N44" i="88" s="1"/>
  <c r="P44" i="88" s="1"/>
  <c r="O12" i="88"/>
  <c r="C13" i="88"/>
  <c r="G13" i="88"/>
  <c r="K13" i="88"/>
  <c r="O13" i="88"/>
  <c r="C14" i="88"/>
  <c r="G14" i="88"/>
  <c r="K14" i="88"/>
  <c r="O14" i="88"/>
  <c r="C16" i="88"/>
  <c r="G16" i="88"/>
  <c r="L16" i="88"/>
  <c r="K16" i="88"/>
  <c r="P16" i="88"/>
  <c r="O16" i="88"/>
  <c r="D17" i="88"/>
  <c r="C17" i="88"/>
  <c r="H17" i="88"/>
  <c r="G17" i="88"/>
  <c r="L17" i="88"/>
  <c r="K17" i="88"/>
  <c r="O17" i="88"/>
  <c r="C18" i="88"/>
  <c r="K18" i="88"/>
  <c r="O18" i="88"/>
  <c r="C19" i="88"/>
  <c r="G19" i="88"/>
  <c r="K19" i="88"/>
  <c r="O19" i="88"/>
  <c r="C20" i="88"/>
  <c r="F48" i="88" a="1"/>
  <c r="F48" i="88" s="1"/>
  <c r="H48" i="88" s="1"/>
  <c r="E18" i="89" s="1"/>
  <c r="G20" i="88"/>
  <c r="L20" i="88"/>
  <c r="F8" i="89" s="1"/>
  <c r="K20" i="88"/>
  <c r="O20" i="88"/>
  <c r="D21" i="88"/>
  <c r="C21" i="88"/>
  <c r="H21" i="88"/>
  <c r="G21" i="88"/>
  <c r="L21" i="88"/>
  <c r="K21" i="88"/>
  <c r="P21" i="88"/>
  <c r="O21" i="88"/>
  <c r="D22" i="88"/>
  <c r="C22" i="88"/>
  <c r="H22" i="88"/>
  <c r="G22" i="88"/>
  <c r="L22" i="88"/>
  <c r="K22" i="88"/>
  <c r="P22" i="88"/>
  <c r="O22" i="88"/>
  <c r="D23" i="88"/>
  <c r="D9" i="89" s="1"/>
  <c r="C23" i="88"/>
  <c r="H23" i="88"/>
  <c r="E9" i="89" s="1"/>
  <c r="G23" i="88"/>
  <c r="L23" i="88"/>
  <c r="F9" i="89" s="1"/>
  <c r="K23" i="88"/>
  <c r="H9" i="89"/>
  <c r="O23" i="88"/>
  <c r="D24" i="88"/>
  <c r="C24" i="88"/>
  <c r="H24" i="88"/>
  <c r="G24" i="88"/>
  <c r="L24" i="88"/>
  <c r="K24" i="88"/>
  <c r="P24" i="88"/>
  <c r="O24" i="88"/>
  <c r="D25" i="88"/>
  <c r="D10" i="89" s="1"/>
  <c r="C25" i="88"/>
  <c r="H25" i="88"/>
  <c r="E10" i="89" s="1"/>
  <c r="G25" i="88"/>
  <c r="L25" i="88"/>
  <c r="F10" i="89" s="1"/>
  <c r="K25" i="88"/>
  <c r="H10" i="89"/>
  <c r="O25" i="88"/>
  <c r="C26" i="88"/>
  <c r="D26" i="88" s="1"/>
  <c r="G26" i="88"/>
  <c r="G46" i="88" s="1"/>
  <c r="K26" i="88"/>
  <c r="K46" i="88" s="1"/>
  <c r="O26" i="88"/>
  <c r="O46" i="88" s="1"/>
  <c r="C27" i="88"/>
  <c r="G27" i="88"/>
  <c r="K27" i="88"/>
  <c r="P27" i="88"/>
  <c r="O27" i="88"/>
  <c r="C29" i="88"/>
  <c r="G29" i="88"/>
  <c r="K29" i="88"/>
  <c r="O29" i="88"/>
  <c r="C30" i="88"/>
  <c r="C47" i="88" s="1"/>
  <c r="G30" i="88"/>
  <c r="K30" i="88"/>
  <c r="O30" i="88"/>
  <c r="G31" i="88"/>
  <c r="C32" i="88"/>
  <c r="G32" i="88"/>
  <c r="K32" i="88"/>
  <c r="O32" i="88"/>
  <c r="D33" i="88"/>
  <c r="D12" i="89" s="1"/>
  <c r="C33" i="88"/>
  <c r="G33" i="88"/>
  <c r="L33" i="88"/>
  <c r="F12" i="89" s="1"/>
  <c r="K33" i="88"/>
  <c r="H12" i="89"/>
  <c r="O33" i="88"/>
  <c r="C34" i="88"/>
  <c r="H34" i="88"/>
  <c r="G34" i="88"/>
  <c r="K34" i="88"/>
  <c r="O34" i="88"/>
  <c r="O9" i="88"/>
  <c r="G9" i="88"/>
  <c r="C9" i="88"/>
  <c r="O47" i="19"/>
  <c r="N47" i="19"/>
  <c r="K47" i="19"/>
  <c r="J47" i="19"/>
  <c r="G47" i="19"/>
  <c r="F47" i="19"/>
  <c r="C47" i="19"/>
  <c r="B47" i="19"/>
  <c r="O46" i="19"/>
  <c r="N46" i="19"/>
  <c r="K46" i="19"/>
  <c r="J46" i="19"/>
  <c r="G46" i="19"/>
  <c r="F46" i="19"/>
  <c r="C46" i="19"/>
  <c r="B46" i="19"/>
  <c r="O45" i="19"/>
  <c r="N45" i="19"/>
  <c r="K45" i="19"/>
  <c r="J45" i="19"/>
  <c r="G45" i="19"/>
  <c r="F45" i="19"/>
  <c r="C45" i="19"/>
  <c r="B45" i="19"/>
  <c r="O44" i="19"/>
  <c r="N44" i="19"/>
  <c r="K44" i="19"/>
  <c r="J44" i="19"/>
  <c r="G44" i="19"/>
  <c r="F44" i="19"/>
  <c r="C44" i="19"/>
  <c r="B44" i="19" a="1"/>
  <c r="B44" i="19" s="1"/>
  <c r="O47" i="20"/>
  <c r="N47" i="20"/>
  <c r="K47" i="20"/>
  <c r="J47" i="20"/>
  <c r="G47" i="20"/>
  <c r="F47" i="20"/>
  <c r="C47" i="20"/>
  <c r="B47" i="20" a="1"/>
  <c r="B47" i="20" s="1"/>
  <c r="O46" i="20"/>
  <c r="N46" i="20"/>
  <c r="K46" i="20"/>
  <c r="J46" i="20"/>
  <c r="G46" i="20"/>
  <c r="F46" i="20"/>
  <c r="C46" i="20"/>
  <c r="B46" i="20"/>
  <c r="O45" i="20"/>
  <c r="N45" i="20"/>
  <c r="K45" i="20"/>
  <c r="J45" i="20"/>
  <c r="G45" i="20"/>
  <c r="F45" i="20"/>
  <c r="C45" i="20"/>
  <c r="B45" i="20"/>
  <c r="O44" i="20"/>
  <c r="N44" i="20"/>
  <c r="K44" i="20"/>
  <c r="J44" i="20"/>
  <c r="G44" i="20"/>
  <c r="F44" i="20"/>
  <c r="C44" i="20"/>
  <c r="B44" i="20" a="1"/>
  <c r="B44" i="20" s="1"/>
  <c r="O47" i="26"/>
  <c r="N47" i="26"/>
  <c r="P47" i="26" s="1"/>
  <c r="K47" i="26"/>
  <c r="J47" i="26"/>
  <c r="G47" i="26"/>
  <c r="F47" i="26"/>
  <c r="C47" i="26"/>
  <c r="B47" i="26"/>
  <c r="O46" i="26"/>
  <c r="N46" i="26"/>
  <c r="P46" i="26" s="1"/>
  <c r="K46" i="26"/>
  <c r="J46" i="26"/>
  <c r="G46" i="26"/>
  <c r="F46" i="26"/>
  <c r="C46" i="26"/>
  <c r="B46" i="26" a="1"/>
  <c r="B46" i="26" s="1"/>
  <c r="D46" i="26" s="1"/>
  <c r="O45" i="26"/>
  <c r="N45" i="26"/>
  <c r="K45" i="26"/>
  <c r="J45" i="26"/>
  <c r="G45" i="26"/>
  <c r="F45" i="26"/>
  <c r="C45" i="26"/>
  <c r="B45" i="26"/>
  <c r="O44" i="26"/>
  <c r="N44" i="26"/>
  <c r="K44" i="26"/>
  <c r="J44" i="26"/>
  <c r="G44" i="26"/>
  <c r="F44" i="26"/>
  <c r="C44" i="26"/>
  <c r="B44" i="26" a="1"/>
  <c r="B44" i="26" s="1"/>
  <c r="O47" i="3"/>
  <c r="N47" i="3"/>
  <c r="K47" i="3"/>
  <c r="J47" i="3"/>
  <c r="G47" i="3"/>
  <c r="F47" i="3"/>
  <c r="C47" i="3"/>
  <c r="B47" i="3"/>
  <c r="O46" i="3"/>
  <c r="N46" i="3"/>
  <c r="K46" i="3"/>
  <c r="J46" i="3"/>
  <c r="G46" i="3"/>
  <c r="F46" i="3"/>
  <c r="C46" i="3"/>
  <c r="B46" i="3"/>
  <c r="O45" i="3"/>
  <c r="N45" i="3"/>
  <c r="K45" i="3"/>
  <c r="J45" i="3"/>
  <c r="G45" i="3"/>
  <c r="F45" i="3"/>
  <c r="C45" i="3"/>
  <c r="B45" i="3"/>
  <c r="O44" i="3"/>
  <c r="N44" i="3"/>
  <c r="K44" i="3"/>
  <c r="J44" i="3"/>
  <c r="G44" i="3"/>
  <c r="F44" i="3"/>
  <c r="C44" i="3"/>
  <c r="B44" i="3" a="1"/>
  <c r="B44" i="3" s="1"/>
  <c r="O47" i="21"/>
  <c r="N47" i="21"/>
  <c r="K47" i="21"/>
  <c r="J47" i="21"/>
  <c r="G47" i="21"/>
  <c r="F47" i="21"/>
  <c r="C47" i="21"/>
  <c r="B47" i="21"/>
  <c r="O46" i="21"/>
  <c r="N46" i="21"/>
  <c r="K46" i="21"/>
  <c r="J46" i="21"/>
  <c r="G46" i="21"/>
  <c r="F46" i="21"/>
  <c r="C46" i="21"/>
  <c r="B46" i="21"/>
  <c r="O45" i="21"/>
  <c r="N45" i="21"/>
  <c r="K45" i="21"/>
  <c r="J45" i="21"/>
  <c r="G45" i="21"/>
  <c r="F45" i="21"/>
  <c r="C45" i="21"/>
  <c r="B45" i="21"/>
  <c r="O44" i="21"/>
  <c r="K44" i="21"/>
  <c r="J44" i="21"/>
  <c r="G44" i="21"/>
  <c r="F44" i="21"/>
  <c r="C44" i="21"/>
  <c r="B44" i="21" a="1"/>
  <c r="B44" i="21" s="1"/>
  <c r="D44" i="26" l="1"/>
  <c r="L44" i="19"/>
  <c r="L45" i="19"/>
  <c r="L46" i="19"/>
  <c r="P44" i="19"/>
  <c r="E4" i="119" s="1"/>
  <c r="P45" i="19"/>
  <c r="H44" i="19"/>
  <c r="H46" i="19"/>
  <c r="L47" i="26"/>
  <c r="P44" i="26"/>
  <c r="E6" i="119" s="1"/>
  <c r="H44" i="26"/>
  <c r="H45" i="26"/>
  <c r="H46" i="26"/>
  <c r="H47" i="26"/>
  <c r="P47" i="21"/>
  <c r="H46" i="21"/>
  <c r="L44" i="21"/>
  <c r="P45" i="21"/>
  <c r="H44" i="21"/>
  <c r="D45" i="21"/>
  <c r="P44" i="3"/>
  <c r="E8" i="119" s="1"/>
  <c r="L45" i="21"/>
  <c r="L46" i="21"/>
  <c r="D46" i="21"/>
  <c r="L47" i="21"/>
  <c r="D44" i="21"/>
  <c r="P46" i="21"/>
  <c r="H45" i="21"/>
  <c r="D47" i="21"/>
  <c r="H47" i="21"/>
  <c r="D44" i="3"/>
  <c r="L47" i="3"/>
  <c r="P45" i="3"/>
  <c r="D46" i="3"/>
  <c r="L44" i="3"/>
  <c r="L46" i="3"/>
  <c r="H44" i="3"/>
  <c r="H45" i="3"/>
  <c r="H46" i="3"/>
  <c r="H47" i="3"/>
  <c r="L45" i="20"/>
  <c r="P47" i="20"/>
  <c r="D44" i="20"/>
  <c r="L47" i="19"/>
  <c r="H45" i="19"/>
  <c r="D44" i="19"/>
  <c r="D47" i="19"/>
  <c r="D45" i="19"/>
  <c r="H47" i="19"/>
  <c r="D46" i="19"/>
  <c r="P46" i="19"/>
  <c r="P47" i="19"/>
  <c r="D47" i="26"/>
  <c r="L44" i="26"/>
  <c r="L45" i="26"/>
  <c r="L46" i="26"/>
  <c r="P45" i="26"/>
  <c r="D45" i="26"/>
  <c r="H26" i="88"/>
  <c r="P32" i="88"/>
  <c r="N45" i="88"/>
  <c r="P45" i="88" s="1"/>
  <c r="N46" i="88"/>
  <c r="P46" i="88" s="1"/>
  <c r="P39" i="88"/>
  <c r="G14" i="89" s="1"/>
  <c r="H14" i="89"/>
  <c r="L32" i="88"/>
  <c r="J45" i="88"/>
  <c r="L45" i="88" s="1"/>
  <c r="N47" i="88"/>
  <c r="H11" i="89"/>
  <c r="L12" i="88"/>
  <c r="J44" i="88" a="1"/>
  <c r="J44" i="88" s="1"/>
  <c r="L44" i="88" s="1"/>
  <c r="J46" i="88"/>
  <c r="L46" i="88" s="1"/>
  <c r="P20" i="88"/>
  <c r="G8" i="89" s="1"/>
  <c r="H8" i="89"/>
  <c r="J7" i="89"/>
  <c r="H7" i="89"/>
  <c r="H32" i="88"/>
  <c r="F45" i="88"/>
  <c r="H45" i="88" s="1"/>
  <c r="J47" i="88"/>
  <c r="L47" i="88" s="1"/>
  <c r="F17" i="89" s="1"/>
  <c r="J48" i="88" a="1"/>
  <c r="J48" i="88" s="1"/>
  <c r="L48" i="88" s="1"/>
  <c r="F18" i="89" s="1"/>
  <c r="F46" i="88"/>
  <c r="H46" i="88" s="1"/>
  <c r="F47" i="88"/>
  <c r="H47" i="88" s="1"/>
  <c r="E17" i="89" s="1"/>
  <c r="B48" i="88" a="1"/>
  <c r="B48" i="88" s="1"/>
  <c r="D48" i="88" s="1"/>
  <c r="D18" i="89" s="1"/>
  <c r="D38" i="88"/>
  <c r="H16" i="88"/>
  <c r="H12" i="88"/>
  <c r="P34" i="88"/>
  <c r="B45" i="88"/>
  <c r="D45" i="88" s="1"/>
  <c r="H20" i="88"/>
  <c r="E8" i="89" s="1"/>
  <c r="H31" i="88"/>
  <c r="P38" i="88"/>
  <c r="L35" i="88"/>
  <c r="L27" i="88"/>
  <c r="H33" i="88"/>
  <c r="E12" i="89" s="1"/>
  <c r="L30" i="88"/>
  <c r="F11" i="89" s="1"/>
  <c r="L29" i="88"/>
  <c r="P26" i="88"/>
  <c r="D20" i="88"/>
  <c r="D8" i="89" s="1"/>
  <c r="D19" i="88"/>
  <c r="D18" i="88"/>
  <c r="D7" i="89" s="1"/>
  <c r="H14" i="88"/>
  <c r="L11" i="88"/>
  <c r="L10" i="88"/>
  <c r="L42" i="88"/>
  <c r="F19" i="89" s="1"/>
  <c r="P37" i="88"/>
  <c r="G13" i="89" s="1"/>
  <c r="P36" i="88"/>
  <c r="P35" i="88"/>
  <c r="P33" i="88"/>
  <c r="G12" i="89" s="1"/>
  <c r="I12" i="89" s="1"/>
  <c r="H30" i="88"/>
  <c r="E11" i="89" s="1"/>
  <c r="H29" i="88"/>
  <c r="L26" i="88"/>
  <c r="P19" i="88"/>
  <c r="P17" i="88"/>
  <c r="D16" i="88"/>
  <c r="D14" i="88"/>
  <c r="D13" i="88"/>
  <c r="H10" i="88"/>
  <c r="H42" i="88"/>
  <c r="E19" i="89" s="1"/>
  <c r="L38" i="88"/>
  <c r="L36" i="88"/>
  <c r="C46" i="88"/>
  <c r="C44" i="88"/>
  <c r="H27" i="88"/>
  <c r="L19" i="88"/>
  <c r="L18" i="88"/>
  <c r="F7" i="89" s="1"/>
  <c r="P14" i="88"/>
  <c r="P13" i="88"/>
  <c r="P12" i="88"/>
  <c r="D12" i="88"/>
  <c r="D10" i="88"/>
  <c r="H38" i="88"/>
  <c r="H37" i="88"/>
  <c r="E13" i="89" s="1"/>
  <c r="H36" i="88"/>
  <c r="D29" i="88"/>
  <c r="L34" i="88"/>
  <c r="P29" i="88"/>
  <c r="D27" i="88"/>
  <c r="H19" i="88"/>
  <c r="L14" i="88"/>
  <c r="L13" i="88"/>
  <c r="P11" i="88"/>
  <c r="P10" i="88"/>
  <c r="P42" i="88"/>
  <c r="G19" i="89" s="1"/>
  <c r="D37" i="88"/>
  <c r="D13" i="89" s="1"/>
  <c r="D36" i="88"/>
  <c r="P18" i="88"/>
  <c r="G7" i="89" s="1"/>
  <c r="D40" i="88"/>
  <c r="H11" i="88"/>
  <c r="L37" i="88"/>
  <c r="F13" i="89" s="1"/>
  <c r="P30" i="88"/>
  <c r="G11" i="89" s="1"/>
  <c r="D32" i="88"/>
  <c r="D34" i="88"/>
  <c r="D30" i="88"/>
  <c r="D11" i="89" s="1"/>
  <c r="D11" i="88"/>
  <c r="B46" i="88"/>
  <c r="B47" i="88"/>
  <c r="D47" i="88" s="1"/>
  <c r="D17" i="89" s="1"/>
  <c r="H13" i="88"/>
  <c r="D42" i="88"/>
  <c r="D19" i="89" s="1"/>
  <c r="P25" i="88"/>
  <c r="G10" i="89" s="1"/>
  <c r="I10" i="89" s="1"/>
  <c r="P23" i="88"/>
  <c r="G9" i="89" s="1"/>
  <c r="P9" i="88"/>
  <c r="L9" i="88"/>
  <c r="H9" i="88"/>
  <c r="D9" i="88"/>
  <c r="H44" i="20"/>
  <c r="D45" i="20"/>
  <c r="P45" i="20"/>
  <c r="P46" i="20"/>
  <c r="H45" i="20"/>
  <c r="L44" i="20"/>
  <c r="D46" i="20"/>
  <c r="D47" i="20"/>
  <c r="H46" i="20"/>
  <c r="H47" i="20"/>
  <c r="P44" i="20"/>
  <c r="E5" i="119" s="1"/>
  <c r="L46" i="20"/>
  <c r="L47" i="20"/>
  <c r="D45" i="3"/>
  <c r="P46" i="3"/>
  <c r="P47" i="3"/>
  <c r="L45" i="3"/>
  <c r="D47" i="3"/>
  <c r="G95" i="131"/>
  <c r="F95" i="131"/>
  <c r="E95" i="131"/>
  <c r="D95" i="131"/>
  <c r="C95" i="131"/>
  <c r="B95" i="131"/>
  <c r="G94" i="131"/>
  <c r="F94" i="131"/>
  <c r="E94" i="131"/>
  <c r="D94" i="131"/>
  <c r="C94" i="131"/>
  <c r="B94" i="131"/>
  <c r="G93" i="131"/>
  <c r="F93" i="131"/>
  <c r="E93" i="131"/>
  <c r="D93" i="131"/>
  <c r="C93" i="131"/>
  <c r="B93" i="131"/>
  <c r="C44" i="131"/>
  <c r="D44" i="131"/>
  <c r="E44" i="131"/>
  <c r="F44" i="131"/>
  <c r="G44" i="131"/>
  <c r="C45" i="131"/>
  <c r="D45" i="131"/>
  <c r="E45" i="131"/>
  <c r="F45" i="131"/>
  <c r="G45" i="131"/>
  <c r="C46" i="131"/>
  <c r="D46" i="131"/>
  <c r="E46" i="131"/>
  <c r="F46" i="131"/>
  <c r="G46" i="131"/>
  <c r="B46" i="131"/>
  <c r="B45" i="131"/>
  <c r="B44" i="131"/>
  <c r="I9" i="89" l="1"/>
  <c r="I14" i="89"/>
  <c r="I7" i="89"/>
  <c r="I11" i="89"/>
  <c r="I13" i="89"/>
  <c r="I19" i="89"/>
  <c r="I8" i="89"/>
  <c r="P48" i="88"/>
  <c r="G18" i="89" s="1"/>
  <c r="H18" i="89"/>
  <c r="P47" i="88"/>
  <c r="H17" i="89"/>
  <c r="D46" i="88"/>
  <c r="D44" i="88"/>
  <c r="G17" i="89" l="1"/>
  <c r="I17" i="89" s="1"/>
  <c r="I18" i="89"/>
  <c r="J13" i="46"/>
  <c r="D19" i="111" l="1"/>
  <c r="E19" i="111"/>
  <c r="F19" i="111"/>
  <c r="G19" i="111"/>
  <c r="H19" i="111"/>
  <c r="D20" i="111"/>
  <c r="E20" i="111"/>
  <c r="F20" i="111"/>
  <c r="G20" i="111"/>
  <c r="H20" i="111"/>
  <c r="D21" i="111"/>
  <c r="E21" i="111"/>
  <c r="F21" i="111"/>
  <c r="G21" i="111"/>
  <c r="H21" i="111"/>
  <c r="D22" i="111"/>
  <c r="E22" i="111"/>
  <c r="F22" i="111"/>
  <c r="G22" i="111"/>
  <c r="H22" i="111"/>
  <c r="D23" i="111"/>
  <c r="E23" i="111"/>
  <c r="F23" i="111"/>
  <c r="G23" i="111"/>
  <c r="H23" i="111"/>
  <c r="D24" i="111"/>
  <c r="E24" i="111"/>
  <c r="F24" i="111"/>
  <c r="G24" i="111"/>
  <c r="H24" i="111"/>
  <c r="D25" i="111"/>
  <c r="E25" i="111"/>
  <c r="F25" i="111"/>
  <c r="G25" i="111"/>
  <c r="H25" i="111"/>
  <c r="D26" i="111"/>
  <c r="E26" i="111"/>
  <c r="F26" i="111"/>
  <c r="G26" i="111"/>
  <c r="H26" i="111"/>
  <c r="D27" i="111"/>
  <c r="E27" i="111"/>
  <c r="F27" i="111"/>
  <c r="G27" i="111"/>
  <c r="H27" i="111"/>
  <c r="D28" i="111"/>
  <c r="E28" i="111"/>
  <c r="F28" i="111"/>
  <c r="G28" i="111"/>
  <c r="H28" i="111"/>
  <c r="D29" i="111"/>
  <c r="E29" i="111"/>
  <c r="F29" i="111"/>
  <c r="G29" i="111"/>
  <c r="H29" i="111"/>
  <c r="D30" i="111"/>
  <c r="E30" i="111"/>
  <c r="F30" i="111"/>
  <c r="G30" i="111"/>
  <c r="H30" i="111"/>
  <c r="D31" i="111"/>
  <c r="E31" i="111"/>
  <c r="F31" i="111"/>
  <c r="G31" i="111"/>
  <c r="H31" i="111"/>
  <c r="D32" i="111"/>
  <c r="E32" i="111"/>
  <c r="F32" i="111"/>
  <c r="G32" i="111"/>
  <c r="H32" i="111"/>
  <c r="D33" i="111"/>
  <c r="E33" i="111"/>
  <c r="F33" i="111"/>
  <c r="G33" i="111"/>
  <c r="H33" i="111"/>
  <c r="D34" i="111"/>
  <c r="E34" i="111"/>
  <c r="F34" i="111"/>
  <c r="G34" i="111"/>
  <c r="H34" i="111"/>
  <c r="D35" i="111"/>
  <c r="E35" i="111"/>
  <c r="F35" i="111"/>
  <c r="G35" i="111"/>
  <c r="H35" i="111"/>
  <c r="D36" i="111"/>
  <c r="E36" i="111"/>
  <c r="F36" i="111"/>
  <c r="G36" i="111"/>
  <c r="H36" i="111"/>
  <c r="D37" i="111"/>
  <c r="E37" i="111"/>
  <c r="F37" i="111"/>
  <c r="G37" i="111"/>
  <c r="H37" i="111"/>
  <c r="D38" i="111"/>
  <c r="E38" i="111"/>
  <c r="F38" i="111"/>
  <c r="G38" i="111"/>
  <c r="H38" i="111"/>
  <c r="D39" i="111"/>
  <c r="E39" i="111"/>
  <c r="F39" i="111"/>
  <c r="G39" i="111"/>
  <c r="H39" i="111"/>
  <c r="D40" i="111"/>
  <c r="E40" i="111"/>
  <c r="F40" i="111"/>
  <c r="G40" i="111"/>
  <c r="H40" i="111"/>
  <c r="D41" i="111"/>
  <c r="E41" i="111"/>
  <c r="F41" i="111"/>
  <c r="G41" i="111"/>
  <c r="H41" i="111"/>
  <c r="D42" i="111"/>
  <c r="E42" i="111"/>
  <c r="F42" i="111"/>
  <c r="G42" i="111"/>
  <c r="H42" i="111"/>
  <c r="D43" i="111"/>
  <c r="E43" i="111"/>
  <c r="F43" i="111"/>
  <c r="G43" i="111"/>
  <c r="H43" i="111"/>
  <c r="D44" i="111"/>
  <c r="E44" i="111"/>
  <c r="F44" i="111"/>
  <c r="G44" i="111"/>
  <c r="H44" i="111"/>
  <c r="D45" i="111"/>
  <c r="E45" i="111"/>
  <c r="F45" i="111"/>
  <c r="G45" i="111"/>
  <c r="H45" i="111"/>
  <c r="D46" i="111"/>
  <c r="E46" i="111"/>
  <c r="F46" i="111"/>
  <c r="G46" i="111"/>
  <c r="H46" i="111"/>
  <c r="D47" i="111"/>
  <c r="E47" i="111"/>
  <c r="F47" i="111"/>
  <c r="G47" i="111"/>
  <c r="H47" i="111"/>
  <c r="D48" i="111"/>
  <c r="E48" i="111"/>
  <c r="F48" i="111"/>
  <c r="G48" i="111"/>
  <c r="H48" i="111"/>
  <c r="D49" i="111"/>
  <c r="E49" i="111"/>
  <c r="F49" i="111"/>
  <c r="G49" i="111"/>
  <c r="H49" i="111"/>
  <c r="H18" i="111"/>
  <c r="G18" i="111"/>
  <c r="F18" i="111"/>
  <c r="E18" i="111"/>
  <c r="H16" i="111"/>
  <c r="G16" i="111"/>
  <c r="F16" i="111"/>
  <c r="E16" i="111"/>
  <c r="D16" i="111"/>
  <c r="D7" i="111"/>
  <c r="E7" i="111"/>
  <c r="F7" i="111"/>
  <c r="G7" i="111"/>
  <c r="H7" i="111"/>
  <c r="D8" i="111"/>
  <c r="E8" i="111"/>
  <c r="F8" i="111"/>
  <c r="G8" i="111"/>
  <c r="H8" i="111"/>
  <c r="D9" i="111"/>
  <c r="E9" i="111"/>
  <c r="F9" i="111"/>
  <c r="G9" i="111"/>
  <c r="H9" i="111"/>
  <c r="D10" i="111"/>
  <c r="E10" i="111"/>
  <c r="F10" i="111"/>
  <c r="G10" i="111"/>
  <c r="H10" i="111"/>
  <c r="D11" i="111"/>
  <c r="E11" i="111"/>
  <c r="F11" i="111"/>
  <c r="G11" i="111"/>
  <c r="H11" i="111"/>
  <c r="D12" i="111"/>
  <c r="E12" i="111"/>
  <c r="F12" i="111"/>
  <c r="G12" i="111"/>
  <c r="H12" i="111"/>
  <c r="D13" i="111"/>
  <c r="E13" i="111"/>
  <c r="F13" i="111"/>
  <c r="G13" i="111"/>
  <c r="H13" i="111"/>
  <c r="D14" i="111"/>
  <c r="E14" i="111"/>
  <c r="F14" i="111"/>
  <c r="G14" i="111"/>
  <c r="H14" i="111"/>
  <c r="E6" i="111"/>
  <c r="F6" i="111"/>
  <c r="G6" i="111"/>
  <c r="H6" i="111"/>
  <c r="C18" i="111" l="1"/>
  <c r="C44" i="111"/>
  <c r="C36" i="111"/>
  <c r="C20" i="111"/>
  <c r="C12" i="111"/>
  <c r="C10" i="111"/>
  <c r="C6" i="111"/>
  <c r="C13" i="111"/>
  <c r="C16" i="111"/>
  <c r="C31" i="111"/>
  <c r="C23" i="111"/>
  <c r="C26" i="111"/>
  <c r="C37" i="111"/>
  <c r="C29" i="111"/>
  <c r="C40" i="111"/>
  <c r="C32" i="111"/>
  <c r="C28" i="111"/>
  <c r="C24" i="111"/>
  <c r="C11" i="111"/>
  <c r="C14" i="111"/>
  <c r="C9" i="111"/>
  <c r="C8" i="111"/>
  <c r="C34" i="111"/>
  <c r="C7" i="111"/>
  <c r="C49" i="111"/>
  <c r="C46" i="111"/>
  <c r="C43" i="111"/>
  <c r="C47" i="111"/>
  <c r="C21" i="111"/>
  <c r="C41" i="111"/>
  <c r="C33" i="111"/>
  <c r="C30" i="111"/>
  <c r="C27" i="111"/>
  <c r="C35" i="111"/>
  <c r="C45" i="111"/>
  <c r="C42" i="111"/>
  <c r="C39" i="111"/>
  <c r="C38" i="111"/>
  <c r="C48" i="111"/>
  <c r="C25" i="111"/>
  <c r="C22" i="111"/>
  <c r="C19" i="111"/>
  <c r="C16" i="46" l="1"/>
  <c r="F13" i="46"/>
  <c r="G13" i="46"/>
  <c r="H13" i="46"/>
  <c r="C16" i="55" l="1"/>
  <c r="C16" i="50"/>
  <c r="F17" i="55"/>
  <c r="F20" i="55"/>
  <c r="F19" i="55"/>
  <c r="F18" i="55"/>
  <c r="F14" i="55"/>
  <c r="F13" i="55"/>
  <c r="F12" i="55"/>
  <c r="F11" i="55"/>
  <c r="F10" i="55"/>
  <c r="F9" i="55"/>
  <c r="F8" i="55"/>
  <c r="F7" i="55"/>
  <c r="F20" i="50"/>
  <c r="F19" i="50"/>
  <c r="F18" i="50"/>
  <c r="F14" i="50"/>
  <c r="F13" i="50"/>
  <c r="F12" i="50"/>
  <c r="F11" i="50"/>
  <c r="F10" i="50"/>
  <c r="F9" i="50"/>
  <c r="F8" i="50"/>
  <c r="F7" i="50"/>
  <c r="F17" i="52"/>
  <c r="F18" i="52"/>
  <c r="F19" i="52"/>
  <c r="F20" i="52"/>
  <c r="F8" i="52"/>
  <c r="F9" i="52"/>
  <c r="F10" i="52"/>
  <c r="F11" i="52"/>
  <c r="F12" i="52"/>
  <c r="F13" i="52"/>
  <c r="F14" i="52"/>
  <c r="F7" i="52"/>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9" i="71"/>
  <c r="K10" i="71"/>
  <c r="K11" i="71"/>
  <c r="K12" i="71"/>
  <c r="K13" i="71"/>
  <c r="K14" i="71"/>
  <c r="K15" i="71"/>
  <c r="K16" i="71"/>
  <c r="K17" i="71"/>
  <c r="K18" i="71"/>
  <c r="K19" i="71"/>
  <c r="K20" i="71"/>
  <c r="K21" i="71"/>
  <c r="K22" i="71"/>
  <c r="K23" i="71"/>
  <c r="K24" i="71"/>
  <c r="K25" i="71"/>
  <c r="K26" i="71"/>
  <c r="K27" i="71"/>
  <c r="K28" i="71"/>
  <c r="K29" i="71"/>
  <c r="K30" i="71"/>
  <c r="K31" i="71"/>
  <c r="K32" i="71"/>
  <c r="K33" i="71"/>
  <c r="K34" i="71"/>
  <c r="K35" i="71"/>
  <c r="K36" i="71"/>
  <c r="K37" i="71"/>
  <c r="K38" i="71"/>
  <c r="K39" i="71"/>
  <c r="K40" i="71"/>
  <c r="K9" i="71"/>
  <c r="G10" i="71"/>
  <c r="G11" i="71"/>
  <c r="G12" i="71"/>
  <c r="G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9" i="71"/>
  <c r="O46" i="71"/>
  <c r="K46" i="71"/>
  <c r="G46" i="71"/>
  <c r="C46" i="71"/>
  <c r="C40"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9" i="71"/>
  <c r="O10" i="72"/>
  <c r="O11" i="72"/>
  <c r="O12" i="72"/>
  <c r="O13" i="72"/>
  <c r="O14" i="72"/>
  <c r="O15" i="72"/>
  <c r="O16" i="72"/>
  <c r="O17" i="72"/>
  <c r="O18" i="72"/>
  <c r="O19" i="72"/>
  <c r="O20" i="72"/>
  <c r="O21" i="72"/>
  <c r="O22" i="72"/>
  <c r="O23" i="72"/>
  <c r="O24" i="72"/>
  <c r="O25" i="72"/>
  <c r="O26" i="72"/>
  <c r="O27" i="72"/>
  <c r="O28" i="72"/>
  <c r="O29" i="72"/>
  <c r="O30" i="72"/>
  <c r="O31" i="72"/>
  <c r="O32" i="72"/>
  <c r="O41" i="72" s="1"/>
  <c r="O33" i="72"/>
  <c r="O34" i="72"/>
  <c r="O35" i="72"/>
  <c r="O36" i="72"/>
  <c r="O37" i="72"/>
  <c r="O38" i="72"/>
  <c r="O39" i="72"/>
  <c r="O40" i="72"/>
  <c r="O9" i="72"/>
  <c r="K10" i="72"/>
  <c r="K11" i="72"/>
  <c r="K12" i="72"/>
  <c r="K13" i="72"/>
  <c r="K14" i="72"/>
  <c r="K15" i="72"/>
  <c r="K16" i="72"/>
  <c r="K17" i="72"/>
  <c r="K18" i="72"/>
  <c r="K19" i="72"/>
  <c r="K20" i="72"/>
  <c r="K21" i="72"/>
  <c r="K22" i="72"/>
  <c r="K23" i="72"/>
  <c r="K24" i="72"/>
  <c r="K25" i="72"/>
  <c r="K26" i="72"/>
  <c r="K27" i="72"/>
  <c r="K28" i="72"/>
  <c r="K29" i="72"/>
  <c r="K30" i="72"/>
  <c r="K31" i="72"/>
  <c r="K32" i="72"/>
  <c r="K41" i="72" s="1"/>
  <c r="K33" i="72"/>
  <c r="K34" i="72"/>
  <c r="K35" i="72"/>
  <c r="K36" i="72"/>
  <c r="K37" i="72"/>
  <c r="K38" i="72"/>
  <c r="K39" i="72"/>
  <c r="K40" i="72"/>
  <c r="K9" i="72"/>
  <c r="G10" i="72"/>
  <c r="G11" i="72"/>
  <c r="G12" i="72"/>
  <c r="G13" i="72"/>
  <c r="G14" i="72"/>
  <c r="G15" i="72"/>
  <c r="G16" i="72"/>
  <c r="G17" i="72"/>
  <c r="G18" i="72"/>
  <c r="G19" i="72"/>
  <c r="G20" i="72"/>
  <c r="G21" i="72"/>
  <c r="G22" i="72"/>
  <c r="G23" i="72"/>
  <c r="G24" i="72"/>
  <c r="G25" i="72"/>
  <c r="G26" i="72"/>
  <c r="G27" i="72"/>
  <c r="G28" i="72"/>
  <c r="G29" i="72"/>
  <c r="G30" i="72"/>
  <c r="G31" i="72"/>
  <c r="G32" i="72"/>
  <c r="G41" i="72" s="1"/>
  <c r="G33" i="72"/>
  <c r="G34" i="72"/>
  <c r="G35" i="72"/>
  <c r="G36" i="72"/>
  <c r="G37" i="72"/>
  <c r="G38" i="72"/>
  <c r="G39" i="72"/>
  <c r="G40" i="72"/>
  <c r="G9" i="72"/>
  <c r="O46" i="72"/>
  <c r="K46" i="72"/>
  <c r="G46" i="72"/>
  <c r="C46"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41" i="72" s="1"/>
  <c r="C37" i="72"/>
  <c r="C38" i="72"/>
  <c r="C39" i="72"/>
  <c r="C40" i="72"/>
  <c r="C9" i="72"/>
  <c r="O10" i="74"/>
  <c r="O11" i="74"/>
  <c r="O12" i="74"/>
  <c r="O13" i="74"/>
  <c r="O14" i="74"/>
  <c r="O15" i="74"/>
  <c r="O16" i="74"/>
  <c r="O17" i="74"/>
  <c r="O18" i="74"/>
  <c r="O19" i="74"/>
  <c r="O20" i="74"/>
  <c r="O21" i="74"/>
  <c r="O22" i="74"/>
  <c r="O23" i="74"/>
  <c r="O24" i="74"/>
  <c r="O25" i="74"/>
  <c r="O26" i="74"/>
  <c r="O27" i="74"/>
  <c r="O28" i="74"/>
  <c r="O29" i="74"/>
  <c r="O30" i="74"/>
  <c r="O31" i="74"/>
  <c r="O32" i="74"/>
  <c r="O33" i="74"/>
  <c r="P41" i="74" s="1"/>
  <c r="O34" i="74"/>
  <c r="O35" i="74"/>
  <c r="O36" i="74"/>
  <c r="O37" i="74"/>
  <c r="O38" i="74"/>
  <c r="O39" i="74"/>
  <c r="O40" i="74"/>
  <c r="N40" i="74" s="1"/>
  <c r="O9" i="74"/>
  <c r="K10" i="74"/>
  <c r="K11" i="74"/>
  <c r="K12" i="74"/>
  <c r="K13" i="74"/>
  <c r="K14" i="74"/>
  <c r="K15" i="74"/>
  <c r="K16" i="74"/>
  <c r="K17" i="74"/>
  <c r="K18" i="74"/>
  <c r="K19" i="74"/>
  <c r="K20" i="74"/>
  <c r="K21" i="74"/>
  <c r="K22" i="74"/>
  <c r="K23" i="74"/>
  <c r="K24" i="74"/>
  <c r="K25" i="74"/>
  <c r="K26" i="74"/>
  <c r="K27" i="74"/>
  <c r="K28" i="74"/>
  <c r="K29" i="74"/>
  <c r="K30" i="74"/>
  <c r="K31" i="74"/>
  <c r="K32" i="74"/>
  <c r="K33" i="74"/>
  <c r="K34" i="74"/>
  <c r="K35" i="74"/>
  <c r="K36" i="74"/>
  <c r="K37" i="74"/>
  <c r="K38" i="74"/>
  <c r="K39" i="74"/>
  <c r="K40" i="74"/>
  <c r="K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9" i="74"/>
  <c r="O46" i="74"/>
  <c r="K46" i="74"/>
  <c r="G46" i="74"/>
  <c r="C46" i="74"/>
  <c r="C10" i="74"/>
  <c r="C11" i="74"/>
  <c r="C12" i="74"/>
  <c r="C13" i="74"/>
  <c r="C14" i="74"/>
  <c r="C15" i="74"/>
  <c r="C16" i="74"/>
  <c r="C17" i="74"/>
  <c r="C18" i="74"/>
  <c r="C19" i="74"/>
  <c r="C45" i="74" s="1" a="1"/>
  <c r="C45" i="74" s="1"/>
  <c r="C20" i="74"/>
  <c r="C21" i="74"/>
  <c r="C22" i="74"/>
  <c r="C23" i="74"/>
  <c r="C24" i="74"/>
  <c r="C25" i="74"/>
  <c r="C26" i="74"/>
  <c r="C27" i="74"/>
  <c r="C28" i="74"/>
  <c r="C29" i="74"/>
  <c r="C30" i="74"/>
  <c r="C31" i="74"/>
  <c r="C32" i="74"/>
  <c r="C33" i="74"/>
  <c r="C34" i="74"/>
  <c r="C35" i="74"/>
  <c r="C36" i="74"/>
  <c r="C37" i="74"/>
  <c r="C38" i="74"/>
  <c r="C39" i="74"/>
  <c r="C40" i="74"/>
  <c r="C9" i="74"/>
  <c r="O41" i="71" l="1"/>
  <c r="K41" i="71"/>
  <c r="G41" i="71"/>
  <c r="F17" i="50"/>
  <c r="C41" i="74"/>
  <c r="H41" i="74"/>
  <c r="D41" i="74"/>
  <c r="C16" i="76" l="1"/>
  <c r="O47" i="73"/>
  <c r="O10" i="73"/>
  <c r="O11" i="73"/>
  <c r="O12" i="73"/>
  <c r="O13" i="73"/>
  <c r="O14" i="73"/>
  <c r="O15" i="73"/>
  <c r="O16" i="73"/>
  <c r="O17" i="73"/>
  <c r="O18" i="73"/>
  <c r="O19" i="73"/>
  <c r="O20" i="73"/>
  <c r="O21" i="73"/>
  <c r="O22" i="73"/>
  <c r="O23" i="73"/>
  <c r="O24" i="73"/>
  <c r="O25" i="73"/>
  <c r="O26" i="73"/>
  <c r="O27" i="73"/>
  <c r="O28" i="73"/>
  <c r="O29" i="73"/>
  <c r="O30" i="73"/>
  <c r="O31" i="73"/>
  <c r="O32" i="73"/>
  <c r="O33" i="73"/>
  <c r="O34" i="73"/>
  <c r="O35" i="73"/>
  <c r="O36" i="73"/>
  <c r="O37" i="73"/>
  <c r="O38" i="73"/>
  <c r="O40" i="73"/>
  <c r="O41" i="73"/>
  <c r="K47" i="73"/>
  <c r="K10" i="73"/>
  <c r="K11" i="73"/>
  <c r="K12" i="73"/>
  <c r="K13" i="73"/>
  <c r="K14" i="73"/>
  <c r="K15" i="73"/>
  <c r="K16" i="73"/>
  <c r="K17" i="73"/>
  <c r="K18" i="73"/>
  <c r="K19" i="73"/>
  <c r="K20" i="73"/>
  <c r="K21" i="73"/>
  <c r="K22" i="73"/>
  <c r="K23" i="73"/>
  <c r="K24" i="73"/>
  <c r="K25" i="73"/>
  <c r="K26" i="73"/>
  <c r="K27" i="73"/>
  <c r="K28" i="73"/>
  <c r="K29" i="73"/>
  <c r="K30" i="73"/>
  <c r="K31" i="73"/>
  <c r="K32" i="73"/>
  <c r="K33" i="73"/>
  <c r="K34" i="73"/>
  <c r="K35" i="73"/>
  <c r="K36" i="73"/>
  <c r="K37" i="73"/>
  <c r="K38" i="73"/>
  <c r="K39" i="73"/>
  <c r="K40" i="73"/>
  <c r="K41" i="73"/>
  <c r="G47" i="73"/>
  <c r="G10" i="73"/>
  <c r="G11" i="73"/>
  <c r="G12" i="73"/>
  <c r="G13" i="73"/>
  <c r="G14" i="73"/>
  <c r="G15" i="73"/>
  <c r="G16" i="73"/>
  <c r="G17" i="73"/>
  <c r="G18" i="73"/>
  <c r="G19" i="73"/>
  <c r="G20" i="73"/>
  <c r="G21" i="73"/>
  <c r="G22" i="73"/>
  <c r="G23" i="73"/>
  <c r="G24" i="73"/>
  <c r="G25" i="73"/>
  <c r="G26" i="73"/>
  <c r="G27" i="73"/>
  <c r="G28" i="73"/>
  <c r="G29" i="73"/>
  <c r="G30" i="73"/>
  <c r="G31" i="73"/>
  <c r="G32" i="73"/>
  <c r="G33" i="73"/>
  <c r="G34" i="73"/>
  <c r="G35" i="73"/>
  <c r="G36" i="73"/>
  <c r="G37" i="73"/>
  <c r="G38" i="73"/>
  <c r="G39" i="73"/>
  <c r="G40" i="73"/>
  <c r="G41" i="73"/>
  <c r="O9" i="73"/>
  <c r="K9" i="73"/>
  <c r="G9" i="73"/>
  <c r="C47" i="73"/>
  <c r="C10" i="73"/>
  <c r="C11" i="73"/>
  <c r="C12" i="73"/>
  <c r="C13" i="73"/>
  <c r="C14" i="73"/>
  <c r="C15" i="73"/>
  <c r="C16" i="73"/>
  <c r="C17" i="73"/>
  <c r="C18" i="73"/>
  <c r="C19" i="73"/>
  <c r="C20" i="73"/>
  <c r="C21" i="73"/>
  <c r="C22" i="73"/>
  <c r="C23" i="73"/>
  <c r="C24" i="73"/>
  <c r="C25" i="73"/>
  <c r="C26" i="73"/>
  <c r="C27" i="73"/>
  <c r="C28" i="73"/>
  <c r="C29" i="73"/>
  <c r="C30" i="73"/>
  <c r="C31" i="73"/>
  <c r="C32" i="73"/>
  <c r="C33" i="73"/>
  <c r="C34" i="73"/>
  <c r="C35" i="73"/>
  <c r="C36" i="73"/>
  <c r="C37" i="73"/>
  <c r="C38" i="73"/>
  <c r="C39" i="73" s="1"/>
  <c r="C40" i="73"/>
  <c r="C41" i="73"/>
  <c r="C9" i="73"/>
  <c r="N9" i="73" l="1"/>
  <c r="N48" i="10" l="1"/>
  <c r="B48" i="10" l="1"/>
  <c r="J48" i="10"/>
  <c r="K48" i="10"/>
  <c r="G48" i="10"/>
  <c r="F48" i="10"/>
  <c r="L48" i="10" l="1"/>
  <c r="O48" i="10"/>
  <c r="P48" i="10" s="1"/>
  <c r="H48" i="10"/>
  <c r="C48" i="10"/>
  <c r="D48" i="10" s="1"/>
  <c r="J14" i="85" l="1"/>
  <c r="J8" i="85"/>
  <c r="B23" i="119"/>
  <c r="D45" i="12"/>
  <c r="O45" i="12"/>
  <c r="D46" i="12"/>
  <c r="J19" i="85"/>
  <c r="I22" i="130"/>
  <c r="G22" i="130" s="1"/>
  <c r="J10" i="85" l="1"/>
  <c r="I10" i="85"/>
  <c r="J12" i="85"/>
  <c r="J13" i="85"/>
  <c r="J20" i="85"/>
  <c r="I13" i="85"/>
  <c r="J9" i="85"/>
  <c r="J11" i="85"/>
  <c r="I8" i="85"/>
  <c r="I14" i="85"/>
  <c r="I19" i="85"/>
  <c r="I20" i="85" l="1"/>
  <c r="I11" i="85"/>
  <c r="I12" i="85"/>
  <c r="I9" i="85"/>
  <c r="H46" i="12" s="1"/>
  <c r="J17" i="85"/>
  <c r="J18" i="85"/>
  <c r="I18" i="85" l="1"/>
  <c r="N46" i="12" s="1"/>
  <c r="I17" i="85"/>
  <c r="J16" i="85"/>
  <c r="I16" i="85"/>
  <c r="K11" i="85"/>
  <c r="L11" i="85" s="1"/>
  <c r="K8" i="85"/>
  <c r="L8" i="85" s="1"/>
  <c r="K13" i="85"/>
  <c r="L13" i="85" s="1"/>
  <c r="K14" i="85"/>
  <c r="L14" i="85" s="1"/>
  <c r="K10" i="85"/>
  <c r="L10" i="85" s="1"/>
  <c r="K12" i="85"/>
  <c r="L12" i="85" s="1"/>
  <c r="K3" i="28" l="1"/>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2" i="28"/>
  <c r="K33" i="28"/>
  <c r="K34" i="28"/>
  <c r="M45" i="12" l="1"/>
  <c r="G37" i="28"/>
  <c r="H37" i="28"/>
  <c r="I37" i="28"/>
  <c r="G38" i="28"/>
  <c r="H38" i="28"/>
  <c r="I38" i="28"/>
  <c r="G39" i="28"/>
  <c r="H39" i="28"/>
  <c r="I39" i="28"/>
  <c r="F38" i="28"/>
  <c r="F37" i="28"/>
  <c r="O35" i="12" l="1"/>
  <c r="D35" i="12"/>
  <c r="J19" i="126" l="1"/>
  <c r="H19" i="126"/>
  <c r="G19" i="126"/>
  <c r="F19" i="126"/>
  <c r="E19" i="126"/>
  <c r="D19" i="126"/>
  <c r="J18" i="126"/>
  <c r="H18" i="126"/>
  <c r="G18" i="126"/>
  <c r="F18" i="126"/>
  <c r="E18" i="126"/>
  <c r="D18" i="126"/>
  <c r="J17" i="126"/>
  <c r="H17" i="126"/>
  <c r="G17" i="126"/>
  <c r="F17" i="126"/>
  <c r="E17" i="126"/>
  <c r="D17" i="126"/>
  <c r="G16" i="126"/>
  <c r="J14" i="126"/>
  <c r="H14" i="126"/>
  <c r="G14" i="126"/>
  <c r="F14" i="126"/>
  <c r="E14" i="126"/>
  <c r="D14" i="126"/>
  <c r="J13" i="126"/>
  <c r="H13" i="126"/>
  <c r="G13" i="126"/>
  <c r="F13" i="126"/>
  <c r="E13" i="126"/>
  <c r="D13" i="126"/>
  <c r="J12" i="126"/>
  <c r="H12" i="126"/>
  <c r="G12" i="126"/>
  <c r="F12" i="126"/>
  <c r="E12" i="126"/>
  <c r="D12" i="126"/>
  <c r="J11" i="126"/>
  <c r="H11" i="126"/>
  <c r="G11" i="126"/>
  <c r="F11" i="126"/>
  <c r="E11" i="126"/>
  <c r="D11" i="126"/>
  <c r="J10" i="126"/>
  <c r="H10" i="126"/>
  <c r="G10" i="126"/>
  <c r="F10" i="126"/>
  <c r="E10" i="126"/>
  <c r="D10" i="126"/>
  <c r="J9" i="126"/>
  <c r="H9" i="126"/>
  <c r="G9" i="126"/>
  <c r="F9" i="126"/>
  <c r="E9" i="126"/>
  <c r="D9" i="126"/>
  <c r="J8" i="126"/>
  <c r="H8" i="126"/>
  <c r="G8" i="126"/>
  <c r="F8" i="126"/>
  <c r="E8" i="126"/>
  <c r="D8" i="126"/>
  <c r="J7" i="126"/>
  <c r="H7" i="126"/>
  <c r="G7" i="126"/>
  <c r="F7" i="126"/>
  <c r="E7" i="126"/>
  <c r="D7" i="126"/>
  <c r="K8" i="126" l="1"/>
  <c r="K11" i="126"/>
  <c r="I13" i="126"/>
  <c r="I14" i="126"/>
  <c r="I11" i="126"/>
  <c r="I19" i="126"/>
  <c r="I8" i="126"/>
  <c r="I7" i="126"/>
  <c r="I12" i="126"/>
  <c r="I17" i="126"/>
  <c r="I10" i="126"/>
  <c r="I9" i="126"/>
  <c r="I18" i="126"/>
  <c r="K10" i="126"/>
  <c r="K12" i="126"/>
  <c r="K13" i="126"/>
  <c r="K14" i="126"/>
  <c r="K7" i="126"/>
  <c r="K9" i="126"/>
  <c r="I22" i="126"/>
  <c r="F22" i="126" s="1"/>
  <c r="B10" i="119" l="1"/>
  <c r="B5" i="119" l="1"/>
  <c r="B27" i="125" l="1"/>
  <c r="B25" i="125"/>
  <c r="B24" i="125"/>
  <c r="B23" i="125"/>
  <c r="B22" i="125"/>
  <c r="B21" i="125"/>
  <c r="B16" i="125"/>
  <c r="B15" i="125"/>
  <c r="B13" i="125"/>
  <c r="B12" i="125"/>
  <c r="B11" i="125"/>
  <c r="B10" i="125"/>
  <c r="B9" i="125"/>
  <c r="B7" i="125"/>
  <c r="B6" i="125"/>
  <c r="B5" i="125"/>
  <c r="B4" i="125"/>
  <c r="B3" i="125"/>
  <c r="B4" i="119"/>
  <c r="F42" i="65" l="1"/>
  <c r="E42" i="65"/>
  <c r="D42" i="65"/>
  <c r="C42" i="65"/>
  <c r="F41" i="65"/>
  <c r="E41" i="65"/>
  <c r="D41" i="65"/>
  <c r="C41" i="65"/>
  <c r="F40" i="65"/>
  <c r="E40" i="65"/>
  <c r="D40" i="65"/>
  <c r="C40" i="65"/>
  <c r="F39" i="65"/>
  <c r="E39" i="65"/>
  <c r="D39" i="65"/>
  <c r="D42" i="62"/>
  <c r="E42" i="62"/>
  <c r="F42" i="62"/>
  <c r="C42" i="62"/>
  <c r="F41" i="62"/>
  <c r="E41" i="62"/>
  <c r="D41" i="62"/>
  <c r="C41" i="62"/>
  <c r="F40" i="62"/>
  <c r="E40" i="62"/>
  <c r="D40" i="62"/>
  <c r="C40" i="62"/>
  <c r="F39" i="62"/>
  <c r="E39" i="62"/>
  <c r="D39" i="62"/>
  <c r="C39" i="62"/>
  <c r="G17" i="30" l="1"/>
  <c r="F17" i="30"/>
  <c r="E17" i="30"/>
  <c r="D17" i="30"/>
  <c r="H17" i="30" l="1"/>
  <c r="I17" i="30"/>
  <c r="D17" i="66"/>
  <c r="E17" i="66"/>
  <c r="F17" i="66"/>
  <c r="G17" i="66"/>
  <c r="D17" i="64"/>
  <c r="E17" i="64"/>
  <c r="F17" i="64"/>
  <c r="G17" i="64"/>
  <c r="H17" i="66" l="1"/>
  <c r="I17" i="66"/>
  <c r="H17" i="64"/>
  <c r="I17" i="64"/>
  <c r="H19" i="92"/>
  <c r="H17" i="91"/>
  <c r="J17" i="91"/>
  <c r="H19" i="91"/>
  <c r="D18" i="55"/>
  <c r="E18" i="55"/>
  <c r="G18" i="55"/>
  <c r="J32" i="12" s="1"/>
  <c r="H18" i="55"/>
  <c r="J18" i="55"/>
  <c r="D19" i="55"/>
  <c r="E19" i="55"/>
  <c r="G19" i="55"/>
  <c r="K32" i="12" s="1"/>
  <c r="D18" i="50"/>
  <c r="E18" i="50"/>
  <c r="G18" i="50"/>
  <c r="J31" i="12" s="1"/>
  <c r="H18" i="50"/>
  <c r="J18" i="50"/>
  <c r="D19" i="50"/>
  <c r="E19" i="50"/>
  <c r="G19" i="50"/>
  <c r="K31" i="12" s="1"/>
  <c r="I19" i="55" l="1"/>
  <c r="I18" i="50"/>
  <c r="I18" i="55"/>
  <c r="I19" i="50"/>
  <c r="G20" i="37" l="1"/>
  <c r="F20" i="37"/>
  <c r="E20" i="37"/>
  <c r="D20" i="37"/>
  <c r="G19" i="37"/>
  <c r="F19" i="37"/>
  <c r="E19" i="37"/>
  <c r="D19" i="37"/>
  <c r="D17" i="117"/>
  <c r="D40" i="31"/>
  <c r="E40" i="31"/>
  <c r="F40" i="31"/>
  <c r="D41" i="31"/>
  <c r="E41" i="31"/>
  <c r="F41" i="31"/>
  <c r="D42" i="31"/>
  <c r="E42" i="31"/>
  <c r="F42" i="31"/>
  <c r="D43" i="31"/>
  <c r="E17" i="32" s="1"/>
  <c r="E43" i="31"/>
  <c r="F17" i="32" s="1"/>
  <c r="F43" i="31"/>
  <c r="C44" i="80"/>
  <c r="D44" i="80"/>
  <c r="E44" i="80"/>
  <c r="C45" i="80"/>
  <c r="D45" i="80"/>
  <c r="E45" i="80"/>
  <c r="C46" i="80"/>
  <c r="D46" i="80"/>
  <c r="E46" i="80"/>
  <c r="C47" i="80"/>
  <c r="E18" i="81" s="1"/>
  <c r="D47" i="80"/>
  <c r="F18" i="81" s="1"/>
  <c r="E47" i="80"/>
  <c r="G18" i="81" s="1"/>
  <c r="B47" i="80"/>
  <c r="D18" i="81" s="1"/>
  <c r="B46" i="80"/>
  <c r="B45" i="80"/>
  <c r="B44" i="80"/>
  <c r="D17" i="50"/>
  <c r="J44" i="42"/>
  <c r="K44" i="42"/>
  <c r="N44" i="42"/>
  <c r="O44" i="42"/>
  <c r="J45" i="42"/>
  <c r="K45" i="42"/>
  <c r="N45" i="42"/>
  <c r="O45" i="42"/>
  <c r="J46" i="42"/>
  <c r="K46" i="42"/>
  <c r="N46" i="42"/>
  <c r="O46" i="42"/>
  <c r="J47" i="42"/>
  <c r="K47" i="42"/>
  <c r="N47" i="42"/>
  <c r="O47" i="42"/>
  <c r="F42" i="44"/>
  <c r="J42" i="44"/>
  <c r="N42" i="44"/>
  <c r="F43" i="44"/>
  <c r="J43" i="44"/>
  <c r="N43" i="44"/>
  <c r="F44" i="44"/>
  <c r="J44" i="44"/>
  <c r="N44" i="44"/>
  <c r="F45" i="44"/>
  <c r="J45" i="44"/>
  <c r="N45" i="44"/>
  <c r="B45" i="44"/>
  <c r="B44" i="44"/>
  <c r="B43" i="44"/>
  <c r="B42" i="44"/>
  <c r="G17" i="57"/>
  <c r="F17" i="57"/>
  <c r="E17" i="57"/>
  <c r="D17" i="57"/>
  <c r="G17" i="23"/>
  <c r="F17" i="23"/>
  <c r="E17" i="23"/>
  <c r="D17" i="23"/>
  <c r="F17" i="25"/>
  <c r="G17" i="2"/>
  <c r="D17" i="32" l="1"/>
  <c r="P46" i="42"/>
  <c r="G17" i="43" s="1"/>
  <c r="E17" i="2"/>
  <c r="E17" i="25"/>
  <c r="L45" i="42"/>
  <c r="P47" i="42"/>
  <c r="L46" i="42"/>
  <c r="F17" i="43" s="1"/>
  <c r="E17" i="52"/>
  <c r="E17" i="55"/>
  <c r="F17" i="106"/>
  <c r="H17" i="23"/>
  <c r="F17" i="13"/>
  <c r="E17" i="50"/>
  <c r="D17" i="118"/>
  <c r="F17" i="116"/>
  <c r="J17" i="46"/>
  <c r="D17" i="116"/>
  <c r="G17" i="116"/>
  <c r="E17" i="18"/>
  <c r="G17" i="16"/>
  <c r="E17" i="13"/>
  <c r="L47" i="42"/>
  <c r="F17" i="118"/>
  <c r="J17" i="2"/>
  <c r="G17" i="106"/>
  <c r="H18" i="81"/>
  <c r="H17" i="2"/>
  <c r="G17" i="117"/>
  <c r="I17" i="117" s="1"/>
  <c r="J17" i="117"/>
  <c r="H17" i="117"/>
  <c r="I17" i="57"/>
  <c r="H17" i="116"/>
  <c r="J17" i="116"/>
  <c r="J17" i="106"/>
  <c r="F17" i="2"/>
  <c r="H17" i="16"/>
  <c r="J17" i="16"/>
  <c r="E17" i="43"/>
  <c r="P44" i="42"/>
  <c r="J17" i="52"/>
  <c r="H17" i="52"/>
  <c r="D17" i="55"/>
  <c r="H17" i="106"/>
  <c r="J17" i="50"/>
  <c r="H17" i="50"/>
  <c r="G17" i="13"/>
  <c r="H17" i="13"/>
  <c r="J17" i="13"/>
  <c r="E17" i="106"/>
  <c r="F17" i="16"/>
  <c r="P45" i="42"/>
  <c r="L44" i="42"/>
  <c r="E13" i="119"/>
  <c r="G17" i="32"/>
  <c r="I17" i="23"/>
  <c r="H17" i="25"/>
  <c r="J17" i="25"/>
  <c r="E17" i="16"/>
  <c r="H17" i="43"/>
  <c r="H17" i="55"/>
  <c r="J17" i="55"/>
  <c r="H17" i="118"/>
  <c r="J17" i="118"/>
  <c r="H17" i="57"/>
  <c r="H17" i="46"/>
  <c r="E19" i="52" l="1"/>
  <c r="I17" i="116"/>
  <c r="D19" i="52"/>
  <c r="H19" i="55"/>
  <c r="J19" i="55"/>
  <c r="H19" i="50"/>
  <c r="J19" i="50"/>
  <c r="G17" i="55"/>
  <c r="I17" i="55" s="1"/>
  <c r="H17" i="32"/>
  <c r="I17" i="32"/>
  <c r="G17" i="52"/>
  <c r="H19" i="52"/>
  <c r="J19" i="52"/>
  <c r="G19" i="52"/>
  <c r="G17" i="50"/>
  <c r="I17" i="50" s="1"/>
  <c r="G17" i="118"/>
  <c r="I17" i="118" s="1"/>
  <c r="G17" i="25"/>
  <c r="D17" i="92" l="1"/>
  <c r="I19" i="52"/>
  <c r="F17" i="92"/>
  <c r="H17" i="92"/>
  <c r="J17" i="92"/>
  <c r="G17" i="92"/>
  <c r="E17" i="92"/>
  <c r="D17" i="43"/>
  <c r="G17" i="41"/>
  <c r="F17" i="41"/>
  <c r="E17" i="41"/>
  <c r="D17" i="13"/>
  <c r="I17" i="13" s="1"/>
  <c r="D17" i="25"/>
  <c r="I17" i="25" s="1"/>
  <c r="D17" i="106"/>
  <c r="I17" i="106" s="1"/>
  <c r="D17" i="2"/>
  <c r="I17" i="2" s="1"/>
  <c r="I17" i="92" l="1"/>
  <c r="D17" i="41"/>
  <c r="H17" i="41" s="1"/>
  <c r="D17" i="16"/>
  <c r="I17" i="16" s="1"/>
  <c r="D17" i="6"/>
  <c r="E17" i="6"/>
  <c r="F17" i="6"/>
  <c r="D17" i="18"/>
  <c r="F17" i="18"/>
  <c r="F17" i="95"/>
  <c r="H17" i="95"/>
  <c r="J17" i="95"/>
  <c r="E17" i="95"/>
  <c r="G17" i="95"/>
  <c r="D17" i="95"/>
  <c r="I17" i="95" l="1"/>
  <c r="E17" i="11" l="1"/>
  <c r="D17" i="11"/>
  <c r="F17" i="11"/>
  <c r="G17" i="11"/>
  <c r="H17" i="11"/>
  <c r="J17" i="11"/>
  <c r="J20" i="118"/>
  <c r="H20" i="118"/>
  <c r="G20" i="118"/>
  <c r="F20" i="118"/>
  <c r="E20" i="118"/>
  <c r="D20" i="118"/>
  <c r="I17" i="11" l="1"/>
  <c r="I20" i="118"/>
  <c r="C16" i="126"/>
  <c r="D16" i="126" l="1"/>
  <c r="I16" i="126" s="1"/>
  <c r="J16" i="126"/>
  <c r="H16" i="126"/>
  <c r="E16" i="126"/>
  <c r="F16" i="126"/>
  <c r="L8" i="126"/>
  <c r="L11" i="126"/>
  <c r="L7" i="126"/>
  <c r="L12" i="126"/>
  <c r="L10" i="126"/>
  <c r="L14" i="126"/>
  <c r="L13" i="126"/>
  <c r="L9" i="126"/>
  <c r="B24" i="119"/>
  <c r="B12" i="119"/>
  <c r="B11" i="119"/>
  <c r="B13" i="119"/>
  <c r="B15" i="119"/>
  <c r="B21" i="119"/>
  <c r="B20" i="119"/>
  <c r="B6" i="119"/>
  <c r="B8" i="119"/>
  <c r="B7" i="119"/>
  <c r="F38" i="73"/>
  <c r="J38" i="73"/>
  <c r="N38" i="73"/>
  <c r="N40" i="73"/>
  <c r="F41" i="73"/>
  <c r="J41" i="73"/>
  <c r="N41" i="73"/>
  <c r="J40" i="73" l="1"/>
  <c r="F40" i="73"/>
  <c r="C16" i="89" l="1"/>
  <c r="J16" i="89" l="1"/>
  <c r="D16" i="89"/>
  <c r="H16" i="89"/>
  <c r="G16" i="89"/>
  <c r="F16" i="89"/>
  <c r="E16" i="89"/>
  <c r="J17" i="89"/>
  <c r="I16" i="89" l="1"/>
  <c r="K14" i="89"/>
  <c r="L14" i="89" s="1"/>
  <c r="K7" i="89"/>
  <c r="I22" i="92"/>
  <c r="I22" i="91"/>
  <c r="J19" i="91"/>
  <c r="J14" i="91"/>
  <c r="H14" i="91"/>
  <c r="J13" i="91"/>
  <c r="H13" i="91"/>
  <c r="J12" i="91"/>
  <c r="H12" i="91"/>
  <c r="H11" i="91"/>
  <c r="J10" i="91"/>
  <c r="H10" i="91"/>
  <c r="J9" i="91"/>
  <c r="H9" i="91"/>
  <c r="J8" i="91"/>
  <c r="H8" i="91"/>
  <c r="J7" i="91"/>
  <c r="H7" i="91"/>
  <c r="E7" i="91"/>
  <c r="G14" i="91"/>
  <c r="G13" i="91"/>
  <c r="G12" i="91"/>
  <c r="G11" i="91"/>
  <c r="G10" i="91"/>
  <c r="G9" i="91"/>
  <c r="G8" i="91"/>
  <c r="G7" i="91"/>
  <c r="G17" i="91"/>
  <c r="G19" i="91"/>
  <c r="F14" i="91"/>
  <c r="F13" i="91"/>
  <c r="F12" i="91"/>
  <c r="F11" i="91"/>
  <c r="F10" i="91"/>
  <c r="F9" i="91"/>
  <c r="F8" i="91"/>
  <c r="F7" i="91"/>
  <c r="F17" i="91"/>
  <c r="F19" i="91"/>
  <c r="E14" i="91"/>
  <c r="E13" i="91"/>
  <c r="E12" i="91"/>
  <c r="E11" i="91"/>
  <c r="E10" i="91"/>
  <c r="E9" i="91"/>
  <c r="E8" i="91"/>
  <c r="E17" i="91"/>
  <c r="E19" i="91"/>
  <c r="D14" i="91"/>
  <c r="D13" i="91"/>
  <c r="D12" i="91"/>
  <c r="D11" i="91"/>
  <c r="D10" i="91"/>
  <c r="D9" i="91"/>
  <c r="D8" i="91"/>
  <c r="D7" i="91"/>
  <c r="D17" i="91"/>
  <c r="D19" i="91"/>
  <c r="D7" i="92"/>
  <c r="D8" i="92"/>
  <c r="D9" i="92"/>
  <c r="D10" i="92"/>
  <c r="D11" i="92"/>
  <c r="D12" i="92"/>
  <c r="D13" i="92"/>
  <c r="D14" i="92"/>
  <c r="E7" i="92"/>
  <c r="E8" i="92"/>
  <c r="E9" i="92"/>
  <c r="E10" i="92"/>
  <c r="E11" i="92"/>
  <c r="E12" i="92"/>
  <c r="E13" i="92"/>
  <c r="E14" i="92"/>
  <c r="F7" i="92"/>
  <c r="F8" i="92"/>
  <c r="F9" i="92"/>
  <c r="F10" i="92"/>
  <c r="F11" i="92"/>
  <c r="F12" i="92"/>
  <c r="F13" i="92"/>
  <c r="F14" i="92"/>
  <c r="G7" i="92"/>
  <c r="G8" i="92"/>
  <c r="G9" i="92"/>
  <c r="I9" i="92" s="1"/>
  <c r="G10" i="92"/>
  <c r="G11" i="92"/>
  <c r="G12" i="92"/>
  <c r="G13" i="92"/>
  <c r="G14" i="92"/>
  <c r="G19" i="92"/>
  <c r="F19" i="92"/>
  <c r="E19" i="92"/>
  <c r="D19" i="92"/>
  <c r="D18" i="92"/>
  <c r="E18" i="92"/>
  <c r="F18" i="92"/>
  <c r="J19" i="92"/>
  <c r="J8" i="92"/>
  <c r="J9" i="92"/>
  <c r="J10" i="92"/>
  <c r="J11" i="92"/>
  <c r="J12" i="92"/>
  <c r="J13" i="92"/>
  <c r="J14" i="92"/>
  <c r="J7" i="92"/>
  <c r="H8" i="92"/>
  <c r="H9" i="92"/>
  <c r="H10" i="92"/>
  <c r="H11" i="92"/>
  <c r="H12" i="92"/>
  <c r="H13" i="92"/>
  <c r="H14" i="92"/>
  <c r="H7" i="92"/>
  <c r="C16" i="95"/>
  <c r="I17" i="91" l="1"/>
  <c r="I11" i="91"/>
  <c r="F34" i="12"/>
  <c r="F33" i="12"/>
  <c r="I19" i="91"/>
  <c r="I19" i="92"/>
  <c r="H17" i="34"/>
  <c r="J17" i="34"/>
  <c r="G17" i="34"/>
  <c r="E17" i="34"/>
  <c r="G18" i="92"/>
  <c r="I18" i="92" s="1"/>
  <c r="H18" i="92"/>
  <c r="F17" i="34"/>
  <c r="C21" i="119"/>
  <c r="C20" i="119"/>
  <c r="D16" i="95"/>
  <c r="E16" i="95"/>
  <c r="F16" i="95"/>
  <c r="G16" i="95"/>
  <c r="H16" i="95"/>
  <c r="J16" i="95"/>
  <c r="C16" i="91"/>
  <c r="J18" i="92"/>
  <c r="I14" i="91"/>
  <c r="I12" i="91"/>
  <c r="I8" i="91"/>
  <c r="I7" i="91"/>
  <c r="I13" i="91"/>
  <c r="I9" i="91"/>
  <c r="I10" i="91"/>
  <c r="C16" i="92"/>
  <c r="I11" i="92"/>
  <c r="I10" i="92"/>
  <c r="I7" i="92"/>
  <c r="I12" i="92"/>
  <c r="I8" i="92"/>
  <c r="I13" i="92"/>
  <c r="I14" i="92"/>
  <c r="H34" i="12" l="1"/>
  <c r="K34" i="12"/>
  <c r="J34" i="12"/>
  <c r="H33" i="12"/>
  <c r="K33" i="12"/>
  <c r="D16" i="92"/>
  <c r="H16" i="92"/>
  <c r="G16" i="92"/>
  <c r="F16" i="92"/>
  <c r="E16" i="92"/>
  <c r="H16" i="91"/>
  <c r="G16" i="91"/>
  <c r="D16" i="91"/>
  <c r="F16" i="91"/>
  <c r="E16" i="91"/>
  <c r="G21" i="119"/>
  <c r="F21" i="119"/>
  <c r="G20" i="119"/>
  <c r="F20" i="119"/>
  <c r="I16" i="95"/>
  <c r="J16" i="91"/>
  <c r="J16" i="92"/>
  <c r="K7" i="91" l="1"/>
  <c r="L7" i="91" s="1"/>
  <c r="K13" i="91"/>
  <c r="L13" i="91" s="1"/>
  <c r="K8" i="91"/>
  <c r="L8" i="91" s="1"/>
  <c r="K9" i="91"/>
  <c r="L9" i="91" s="1"/>
  <c r="K10" i="91"/>
  <c r="L10" i="91" s="1"/>
  <c r="K11" i="91"/>
  <c r="L11" i="91" s="1"/>
  <c r="K12" i="91"/>
  <c r="L12" i="91" s="1"/>
  <c r="K14" i="91"/>
  <c r="L14" i="91" s="1"/>
  <c r="I16" i="91"/>
  <c r="I16" i="92"/>
  <c r="D21" i="119"/>
  <c r="H21" i="119" s="1"/>
  <c r="I21" i="119" s="1"/>
  <c r="K11" i="92"/>
  <c r="L11" i="92" s="1"/>
  <c r="K9" i="92"/>
  <c r="L9" i="92" s="1"/>
  <c r="K14" i="92"/>
  <c r="L14" i="92" s="1"/>
  <c r="K13" i="92"/>
  <c r="L13" i="92" s="1"/>
  <c r="K10" i="92"/>
  <c r="L10" i="92" s="1"/>
  <c r="K8" i="92"/>
  <c r="L8" i="92" s="1"/>
  <c r="K12" i="92"/>
  <c r="L12" i="92" s="1"/>
  <c r="K7" i="92"/>
  <c r="L7" i="92" s="1"/>
  <c r="D20" i="119"/>
  <c r="H20" i="119" s="1"/>
  <c r="I20" i="119" s="1"/>
  <c r="D42" i="12" l="1"/>
  <c r="D43" i="12"/>
  <c r="D44" i="12"/>
  <c r="O44" i="12"/>
  <c r="O43" i="12"/>
  <c r="O42" i="12"/>
  <c r="I22" i="117"/>
  <c r="I22" i="89"/>
  <c r="H22" i="32"/>
  <c r="H22" i="69"/>
  <c r="H23" i="81"/>
  <c r="H22" i="68"/>
  <c r="H22" i="66"/>
  <c r="H22" i="64"/>
  <c r="I22" i="55" l="1"/>
  <c r="G22" i="55" s="1"/>
  <c r="I22" i="50"/>
  <c r="G22" i="50" s="1"/>
  <c r="I22" i="52"/>
  <c r="G22" i="52" s="1"/>
  <c r="H22" i="57"/>
  <c r="F22" i="57" s="1"/>
  <c r="H22" i="23"/>
  <c r="F22" i="23" s="1"/>
  <c r="H22" i="38"/>
  <c r="F22" i="38" s="1"/>
  <c r="H22" i="37"/>
  <c r="F22" i="37" s="1"/>
  <c r="H22" i="34"/>
  <c r="F22" i="34" s="1"/>
  <c r="H22" i="95"/>
  <c r="F22" i="95" s="1"/>
  <c r="H22" i="87"/>
  <c r="F22" i="87" s="1"/>
  <c r="H22" i="18"/>
  <c r="F22" i="18" s="1"/>
  <c r="H22" i="6"/>
  <c r="F22" i="6" s="1"/>
  <c r="H22" i="106"/>
  <c r="F22" i="106" s="1"/>
  <c r="H22" i="2"/>
  <c r="F22" i="2" s="1"/>
  <c r="H22" i="25"/>
  <c r="F22" i="25" s="1"/>
  <c r="H22" i="13"/>
  <c r="F22" i="13" s="1"/>
  <c r="H22" i="16"/>
  <c r="F22" i="16" s="1"/>
  <c r="H22" i="83"/>
  <c r="F22" i="83" s="1"/>
  <c r="H22" i="41"/>
  <c r="F22" i="41" s="1"/>
  <c r="H22" i="46"/>
  <c r="F22" i="46" s="1"/>
  <c r="H22" i="43"/>
  <c r="F22" i="43" s="1"/>
  <c r="F22" i="91"/>
  <c r="F22" i="92"/>
  <c r="H22" i="75"/>
  <c r="F22" i="75" s="1"/>
  <c r="H22" i="77"/>
  <c r="F22" i="77" s="1"/>
  <c r="H22" i="78"/>
  <c r="F22" i="78" s="1"/>
  <c r="F22" i="64"/>
  <c r="F22" i="66"/>
  <c r="H21" i="112"/>
  <c r="F21" i="112" s="1"/>
  <c r="F22" i="68"/>
  <c r="F23" i="81"/>
  <c r="F22" i="69"/>
  <c r="H22" i="30"/>
  <c r="F22" i="30" s="1"/>
  <c r="F22" i="32"/>
  <c r="G22" i="89"/>
  <c r="H22" i="58"/>
  <c r="F22" i="58" s="1"/>
  <c r="H22" i="116"/>
  <c r="F22" i="116" s="1"/>
  <c r="H22" i="118"/>
  <c r="F22" i="118" s="1"/>
  <c r="G22" i="117"/>
  <c r="I22" i="85"/>
  <c r="G22" i="85" s="1"/>
  <c r="E17" i="116"/>
  <c r="E17" i="118"/>
  <c r="E17" i="117"/>
  <c r="H22" i="76"/>
  <c r="F22" i="76" s="1"/>
  <c r="H22" i="11"/>
  <c r="F22" i="11" s="1"/>
  <c r="D13" i="118"/>
  <c r="E13" i="118"/>
  <c r="F13" i="118"/>
  <c r="G13" i="118"/>
  <c r="H13" i="118"/>
  <c r="J13" i="118"/>
  <c r="J19" i="118"/>
  <c r="H19" i="118"/>
  <c r="G19" i="118"/>
  <c r="F19" i="118"/>
  <c r="E19" i="118"/>
  <c r="D19" i="118"/>
  <c r="J18" i="118"/>
  <c r="H18" i="118"/>
  <c r="G18" i="118"/>
  <c r="F18" i="118"/>
  <c r="E18" i="118"/>
  <c r="D18" i="118"/>
  <c r="C16" i="118"/>
  <c r="L43" i="12" s="1"/>
  <c r="J14" i="118"/>
  <c r="H14" i="118"/>
  <c r="G14" i="118"/>
  <c r="F14" i="118"/>
  <c r="E14" i="118"/>
  <c r="D14" i="118"/>
  <c r="J12" i="118"/>
  <c r="H12" i="118"/>
  <c r="G12" i="118"/>
  <c r="F12" i="118"/>
  <c r="E12" i="118"/>
  <c r="D12" i="118"/>
  <c r="J11" i="118"/>
  <c r="H11" i="118"/>
  <c r="G11" i="118"/>
  <c r="F11" i="118"/>
  <c r="E11" i="118"/>
  <c r="D11" i="118"/>
  <c r="J10" i="118"/>
  <c r="H10" i="118"/>
  <c r="G10" i="118"/>
  <c r="F10" i="118"/>
  <c r="E10" i="118"/>
  <c r="D10" i="118"/>
  <c r="J9" i="118"/>
  <c r="H9" i="118"/>
  <c r="G9" i="118"/>
  <c r="F9" i="118"/>
  <c r="E9" i="118"/>
  <c r="D9" i="118"/>
  <c r="J8" i="118"/>
  <c r="H8" i="118"/>
  <c r="G8" i="118"/>
  <c r="F8" i="118"/>
  <c r="E8" i="118"/>
  <c r="D8" i="118"/>
  <c r="J7" i="118"/>
  <c r="H7" i="118"/>
  <c r="G7" i="118"/>
  <c r="F7" i="118"/>
  <c r="E7" i="118"/>
  <c r="D7" i="118"/>
  <c r="G18" i="117"/>
  <c r="E18" i="117"/>
  <c r="J20" i="117"/>
  <c r="H20" i="117"/>
  <c r="G20" i="117"/>
  <c r="E20" i="117"/>
  <c r="D20" i="117"/>
  <c r="J19" i="117"/>
  <c r="H19" i="117"/>
  <c r="G19" i="117"/>
  <c r="E19" i="117"/>
  <c r="D19" i="117"/>
  <c r="J18" i="117"/>
  <c r="H18" i="117"/>
  <c r="D18" i="117"/>
  <c r="C16" i="117"/>
  <c r="J14" i="117"/>
  <c r="H14" i="117"/>
  <c r="G14" i="117"/>
  <c r="E14" i="117"/>
  <c r="D14" i="117"/>
  <c r="J13" i="117"/>
  <c r="H13" i="117"/>
  <c r="G13" i="117"/>
  <c r="E13" i="117"/>
  <c r="D13" i="117"/>
  <c r="J12" i="117"/>
  <c r="H12" i="117"/>
  <c r="G12" i="117"/>
  <c r="E12" i="117"/>
  <c r="D12" i="117"/>
  <c r="J11" i="117"/>
  <c r="H11" i="117"/>
  <c r="G11" i="117"/>
  <c r="E11" i="117"/>
  <c r="D11" i="117"/>
  <c r="J10" i="117"/>
  <c r="H10" i="117"/>
  <c r="G10" i="117"/>
  <c r="E10" i="117"/>
  <c r="D10" i="117"/>
  <c r="J9" i="117"/>
  <c r="H9" i="117"/>
  <c r="G9" i="117"/>
  <c r="F44" i="12" s="1"/>
  <c r="E9" i="117"/>
  <c r="D9" i="117"/>
  <c r="J8" i="117"/>
  <c r="H8" i="117"/>
  <c r="G8" i="117"/>
  <c r="E8" i="117"/>
  <c r="D8" i="117"/>
  <c r="J7" i="117"/>
  <c r="H7" i="117"/>
  <c r="G7" i="117"/>
  <c r="E7" i="117"/>
  <c r="D7" i="117"/>
  <c r="J20" i="116"/>
  <c r="H20" i="116"/>
  <c r="G20" i="116"/>
  <c r="F20" i="116"/>
  <c r="E20" i="116"/>
  <c r="D20" i="116"/>
  <c r="J19" i="116"/>
  <c r="H19" i="116"/>
  <c r="G19" i="116"/>
  <c r="F19" i="116"/>
  <c r="E19" i="116"/>
  <c r="D19" i="116"/>
  <c r="J18" i="116"/>
  <c r="H18" i="116"/>
  <c r="G18" i="116"/>
  <c r="F18" i="116"/>
  <c r="E18" i="116"/>
  <c r="D18" i="116"/>
  <c r="J14" i="116"/>
  <c r="H14" i="116"/>
  <c r="E14" i="116"/>
  <c r="D14" i="116"/>
  <c r="J13" i="116"/>
  <c r="H13" i="116"/>
  <c r="G13" i="116"/>
  <c r="F13" i="116"/>
  <c r="E13" i="116"/>
  <c r="D13" i="116"/>
  <c r="J12" i="116"/>
  <c r="H12" i="116"/>
  <c r="G12" i="116"/>
  <c r="F12" i="116"/>
  <c r="E12" i="116"/>
  <c r="D12" i="116"/>
  <c r="J11" i="116"/>
  <c r="H11" i="116"/>
  <c r="G11" i="116"/>
  <c r="F11" i="116"/>
  <c r="E11" i="116"/>
  <c r="D11" i="116"/>
  <c r="J10" i="116"/>
  <c r="H10" i="116"/>
  <c r="G10" i="116"/>
  <c r="F10" i="116"/>
  <c r="E10" i="116"/>
  <c r="D10" i="116"/>
  <c r="J9" i="116"/>
  <c r="H9" i="116"/>
  <c r="G9" i="116"/>
  <c r="F9" i="116"/>
  <c r="E9" i="116"/>
  <c r="D9" i="116"/>
  <c r="J8" i="116"/>
  <c r="H8" i="116"/>
  <c r="G8" i="116"/>
  <c r="F8" i="116"/>
  <c r="E8" i="116"/>
  <c r="D8" i="116"/>
  <c r="J7" i="116"/>
  <c r="H7" i="116"/>
  <c r="G7" i="116"/>
  <c r="F7" i="116"/>
  <c r="E7" i="116"/>
  <c r="D7" i="116"/>
  <c r="K43" i="12" l="1"/>
  <c r="J43" i="12"/>
  <c r="M43" i="12" s="1"/>
  <c r="I9" i="116"/>
  <c r="I11" i="117"/>
  <c r="J16" i="117"/>
  <c r="F16" i="117"/>
  <c r="L44" i="12"/>
  <c r="N44" i="12" s="1"/>
  <c r="K44" i="12"/>
  <c r="G44" i="12" s="1"/>
  <c r="J44" i="12"/>
  <c r="I7" i="117"/>
  <c r="C11" i="119"/>
  <c r="C12" i="119"/>
  <c r="F43" i="12"/>
  <c r="H16" i="118"/>
  <c r="G12" i="119"/>
  <c r="F12" i="119"/>
  <c r="G11" i="119"/>
  <c r="F11" i="119"/>
  <c r="I13" i="116"/>
  <c r="I19" i="118"/>
  <c r="I18" i="116"/>
  <c r="F42" i="12"/>
  <c r="I12" i="118"/>
  <c r="I18" i="118"/>
  <c r="N43" i="12" s="1"/>
  <c r="I20" i="117"/>
  <c r="I14" i="118"/>
  <c r="J42" i="12"/>
  <c r="L42" i="12"/>
  <c r="K42" i="12"/>
  <c r="I20" i="116"/>
  <c r="E16" i="117"/>
  <c r="E16" i="118"/>
  <c r="I11" i="116"/>
  <c r="I7" i="118"/>
  <c r="I11" i="118"/>
  <c r="F16" i="118"/>
  <c r="H16" i="117"/>
  <c r="I8" i="116"/>
  <c r="I12" i="116"/>
  <c r="I19" i="116"/>
  <c r="G16" i="118"/>
  <c r="D12" i="119" s="1"/>
  <c r="I9" i="118"/>
  <c r="H43" i="12" s="1"/>
  <c r="I13" i="118"/>
  <c r="I7" i="116"/>
  <c r="I10" i="118"/>
  <c r="I8" i="118"/>
  <c r="I10" i="117"/>
  <c r="J16" i="118"/>
  <c r="D16" i="118"/>
  <c r="I9" i="117"/>
  <c r="I12" i="117"/>
  <c r="I14" i="117"/>
  <c r="I18" i="117"/>
  <c r="I13" i="117"/>
  <c r="I8" i="117"/>
  <c r="I19" i="117"/>
  <c r="D16" i="117"/>
  <c r="G16" i="117"/>
  <c r="D16" i="116"/>
  <c r="I14" i="116"/>
  <c r="G16" i="116"/>
  <c r="I10" i="116"/>
  <c r="E16" i="116"/>
  <c r="F16" i="116"/>
  <c r="H16" i="116"/>
  <c r="N42" i="12" l="1"/>
  <c r="H42" i="12"/>
  <c r="G43" i="12"/>
  <c r="D11" i="119"/>
  <c r="H11" i="119" s="1"/>
  <c r="I11" i="119" s="1"/>
  <c r="K9" i="116"/>
  <c r="L9" i="116" s="1"/>
  <c r="I16" i="116"/>
  <c r="M44" i="12"/>
  <c r="K9" i="117"/>
  <c r="L9" i="117" s="1"/>
  <c r="K7" i="117"/>
  <c r="L7" i="117" s="1"/>
  <c r="G42" i="12"/>
  <c r="K10" i="116"/>
  <c r="L10" i="116" s="1"/>
  <c r="K10" i="117"/>
  <c r="L10" i="117" s="1"/>
  <c r="K8" i="117"/>
  <c r="L8" i="117" s="1"/>
  <c r="K13" i="117"/>
  <c r="L13" i="117" s="1"/>
  <c r="K11" i="117"/>
  <c r="L11" i="117" s="1"/>
  <c r="K12" i="117"/>
  <c r="L12" i="117" s="1"/>
  <c r="K14" i="117"/>
  <c r="L14" i="117" s="1"/>
  <c r="K11" i="118"/>
  <c r="L11" i="118" s="1"/>
  <c r="K14" i="118"/>
  <c r="L14" i="118" s="1"/>
  <c r="K9" i="118"/>
  <c r="L9" i="118" s="1"/>
  <c r="K13" i="118"/>
  <c r="L13" i="118" s="1"/>
  <c r="K12" i="118"/>
  <c r="L12" i="118" s="1"/>
  <c r="K10" i="118"/>
  <c r="L10" i="118" s="1"/>
  <c r="K8" i="118"/>
  <c r="L8" i="118" s="1"/>
  <c r="H12" i="119"/>
  <c r="I12" i="119" s="1"/>
  <c r="K7" i="118"/>
  <c r="L7" i="118" s="1"/>
  <c r="K11" i="116"/>
  <c r="L11" i="116" s="1"/>
  <c r="K14" i="116"/>
  <c r="L14" i="116" s="1"/>
  <c r="K12" i="116"/>
  <c r="L12" i="116" s="1"/>
  <c r="K7" i="116"/>
  <c r="L7" i="116" s="1"/>
  <c r="K8" i="116"/>
  <c r="L8" i="116" s="1"/>
  <c r="K13" i="116"/>
  <c r="L13" i="116" s="1"/>
  <c r="M42" i="12"/>
  <c r="I16" i="118"/>
  <c r="I16" i="117"/>
  <c r="D17" i="112"/>
  <c r="E17" i="112"/>
  <c r="F17" i="112"/>
  <c r="G17" i="112"/>
  <c r="H17" i="112"/>
  <c r="D18" i="112"/>
  <c r="E18" i="112"/>
  <c r="F18" i="112"/>
  <c r="G18" i="112"/>
  <c r="H18" i="112"/>
  <c r="D8" i="112"/>
  <c r="E8" i="112"/>
  <c r="F8" i="112"/>
  <c r="G8" i="112"/>
  <c r="H8" i="112"/>
  <c r="D9" i="112"/>
  <c r="E9" i="112"/>
  <c r="F9" i="112"/>
  <c r="G9" i="112"/>
  <c r="H9" i="112"/>
  <c r="D10" i="112"/>
  <c r="F10" i="112"/>
  <c r="G10" i="112"/>
  <c r="H10" i="112"/>
  <c r="D11" i="112"/>
  <c r="E11" i="112"/>
  <c r="F11" i="112"/>
  <c r="G11" i="112"/>
  <c r="H11" i="112"/>
  <c r="D12" i="112"/>
  <c r="E12" i="112"/>
  <c r="F12" i="112"/>
  <c r="G12" i="112"/>
  <c r="H12" i="112"/>
  <c r="D13" i="112"/>
  <c r="E13" i="112"/>
  <c r="F13" i="112"/>
  <c r="G13" i="112"/>
  <c r="H13" i="112"/>
  <c r="D14" i="112"/>
  <c r="E14" i="112"/>
  <c r="F14" i="112"/>
  <c r="G14" i="112"/>
  <c r="H14" i="112"/>
  <c r="H7" i="112"/>
  <c r="D22" i="112" s="1"/>
  <c r="G7" i="112"/>
  <c r="E22" i="112" s="1"/>
  <c r="F7" i="112"/>
  <c r="E7" i="112"/>
  <c r="G22" i="112" s="1"/>
  <c r="D7" i="112"/>
  <c r="H22" i="112" s="1"/>
  <c r="H2" i="112"/>
  <c r="F22" i="112" l="1"/>
  <c r="C16" i="112"/>
  <c r="H16" i="112" s="1"/>
  <c r="E16" i="112" l="1"/>
  <c r="D16" i="112"/>
  <c r="F16" i="112"/>
  <c r="G16" i="112"/>
  <c r="O8" i="12" l="1"/>
  <c r="D8" i="12"/>
  <c r="E9" i="11"/>
  <c r="D22" i="12"/>
  <c r="O11" i="12" l="1"/>
  <c r="D11" i="12"/>
  <c r="O41" i="12"/>
  <c r="D41" i="12"/>
  <c r="O21" i="12"/>
  <c r="D21" i="12"/>
  <c r="O46" i="12"/>
  <c r="O34" i="12"/>
  <c r="D34" i="12"/>
  <c r="O33" i="12"/>
  <c r="D33" i="12"/>
  <c r="O37" i="12"/>
  <c r="D37" i="12"/>
  <c r="O36" i="12"/>
  <c r="D36" i="12"/>
  <c r="J20" i="52"/>
  <c r="H20" i="52"/>
  <c r="E20" i="52"/>
  <c r="G20" i="52"/>
  <c r="D20" i="52"/>
  <c r="I20" i="52" l="1"/>
  <c r="O30" i="12" l="1"/>
  <c r="D30" i="12"/>
  <c r="O32" i="12"/>
  <c r="D32" i="12"/>
  <c r="O31" i="12"/>
  <c r="D31" i="12"/>
  <c r="O17" i="12"/>
  <c r="D17" i="12"/>
  <c r="O16" i="12"/>
  <c r="D16" i="12"/>
  <c r="O10" i="12"/>
  <c r="D10" i="12"/>
  <c r="O14" i="12"/>
  <c r="D14" i="12"/>
  <c r="O22" i="12"/>
  <c r="D26" i="12"/>
  <c r="O26" i="12"/>
  <c r="O23" i="12"/>
  <c r="O25" i="12"/>
  <c r="D25" i="12"/>
  <c r="O9" i="12"/>
  <c r="D9" i="12"/>
  <c r="O24" i="12"/>
  <c r="D24" i="12"/>
  <c r="D38" i="12" l="1"/>
  <c r="O38" i="12"/>
  <c r="J19" i="106" l="1"/>
  <c r="H19" i="106"/>
  <c r="G19" i="106"/>
  <c r="F19" i="106"/>
  <c r="E19" i="106"/>
  <c r="D19" i="106"/>
  <c r="J18" i="106"/>
  <c r="H18" i="106"/>
  <c r="G18" i="106"/>
  <c r="F18" i="106"/>
  <c r="E18" i="106"/>
  <c r="D18" i="106"/>
  <c r="C16" i="106"/>
  <c r="J14" i="106"/>
  <c r="H14" i="106"/>
  <c r="G14" i="106"/>
  <c r="F14" i="106"/>
  <c r="E14" i="106"/>
  <c r="D14" i="106"/>
  <c r="J13" i="106"/>
  <c r="H13" i="106"/>
  <c r="G13" i="106"/>
  <c r="F13" i="106"/>
  <c r="E13" i="106"/>
  <c r="D13" i="106"/>
  <c r="J12" i="106"/>
  <c r="H12" i="106"/>
  <c r="G12" i="106"/>
  <c r="F12" i="106"/>
  <c r="E12" i="106"/>
  <c r="D12" i="106"/>
  <c r="J11" i="106"/>
  <c r="H11" i="106"/>
  <c r="G11" i="106"/>
  <c r="F11" i="106"/>
  <c r="E11" i="106"/>
  <c r="D11" i="106"/>
  <c r="J10" i="106"/>
  <c r="H10" i="106"/>
  <c r="G10" i="106"/>
  <c r="F10" i="106"/>
  <c r="E10" i="106"/>
  <c r="D10" i="106"/>
  <c r="J9" i="106"/>
  <c r="H9" i="106"/>
  <c r="G9" i="106"/>
  <c r="F9" i="106"/>
  <c r="E9" i="106"/>
  <c r="D9" i="106"/>
  <c r="J8" i="106"/>
  <c r="H8" i="106"/>
  <c r="G8" i="106"/>
  <c r="F8" i="106"/>
  <c r="E8" i="106"/>
  <c r="D8" i="106"/>
  <c r="J7" i="106"/>
  <c r="H7" i="106"/>
  <c r="G7" i="106"/>
  <c r="F7" i="106"/>
  <c r="E7" i="106"/>
  <c r="F14" i="12" l="1"/>
  <c r="E16" i="106"/>
  <c r="I11" i="106"/>
  <c r="I18" i="106"/>
  <c r="N14" i="12" s="1"/>
  <c r="I19" i="106"/>
  <c r="I12" i="106"/>
  <c r="I10" i="106"/>
  <c r="I14" i="106"/>
  <c r="I13" i="106"/>
  <c r="I9" i="106"/>
  <c r="I8" i="106"/>
  <c r="K14" i="12"/>
  <c r="J14" i="12"/>
  <c r="I7" i="106"/>
  <c r="D16" i="106"/>
  <c r="F16" i="106"/>
  <c r="G16" i="106"/>
  <c r="K9" i="106" s="1"/>
  <c r="H16" i="106"/>
  <c r="J16" i="106"/>
  <c r="H14" i="12" l="1"/>
  <c r="K7" i="106"/>
  <c r="L7" i="106" s="1"/>
  <c r="K12" i="106"/>
  <c r="L12" i="106" s="1"/>
  <c r="K11" i="106"/>
  <c r="L11" i="106" s="1"/>
  <c r="K8" i="106"/>
  <c r="L8" i="106" s="1"/>
  <c r="K10" i="106"/>
  <c r="L10" i="106" s="1"/>
  <c r="K13" i="106"/>
  <c r="L13" i="106" s="1"/>
  <c r="K14" i="106"/>
  <c r="L14" i="106" s="1"/>
  <c r="G14" i="12"/>
  <c r="L9" i="106"/>
  <c r="M14" i="12"/>
  <c r="I16" i="106"/>
  <c r="G20" i="13" l="1"/>
  <c r="G18" i="13"/>
  <c r="J20" i="95" l="1"/>
  <c r="H20" i="95"/>
  <c r="G20" i="95"/>
  <c r="F20" i="95"/>
  <c r="E20" i="95"/>
  <c r="D20" i="95"/>
  <c r="J19" i="95"/>
  <c r="H19" i="95"/>
  <c r="G19" i="95"/>
  <c r="F19" i="95"/>
  <c r="E19" i="95"/>
  <c r="D19" i="95"/>
  <c r="J18" i="95"/>
  <c r="H18" i="95"/>
  <c r="G18" i="95"/>
  <c r="F18" i="95"/>
  <c r="E18" i="95"/>
  <c r="D18" i="95"/>
  <c r="J14" i="95"/>
  <c r="H14" i="95"/>
  <c r="G14" i="95"/>
  <c r="K14" i="95" s="1"/>
  <c r="L14" i="95" s="1"/>
  <c r="F14" i="95"/>
  <c r="E14" i="95"/>
  <c r="D14" i="95"/>
  <c r="J13" i="95"/>
  <c r="H13" i="95"/>
  <c r="G13" i="95"/>
  <c r="K13" i="95" s="1"/>
  <c r="L13" i="95" s="1"/>
  <c r="F13" i="95"/>
  <c r="E13" i="95"/>
  <c r="D13" i="95"/>
  <c r="J12" i="95"/>
  <c r="H12" i="95"/>
  <c r="G12" i="95"/>
  <c r="K12" i="95" s="1"/>
  <c r="L12" i="95" s="1"/>
  <c r="F12" i="95"/>
  <c r="E12" i="95"/>
  <c r="D12" i="95"/>
  <c r="J11" i="95"/>
  <c r="H11" i="95"/>
  <c r="G11" i="95"/>
  <c r="K11" i="95" s="1"/>
  <c r="L11" i="95" s="1"/>
  <c r="F11" i="95"/>
  <c r="E11" i="95"/>
  <c r="D11" i="95"/>
  <c r="J10" i="95"/>
  <c r="H10" i="95"/>
  <c r="G10" i="95"/>
  <c r="K10" i="95" s="1"/>
  <c r="L10" i="95" s="1"/>
  <c r="F10" i="95"/>
  <c r="E10" i="95"/>
  <c r="D10" i="95"/>
  <c r="J9" i="95"/>
  <c r="H9" i="95"/>
  <c r="G9" i="95"/>
  <c r="K9" i="95" s="1"/>
  <c r="L9" i="95" s="1"/>
  <c r="F9" i="95"/>
  <c r="E9" i="95"/>
  <c r="D9" i="95"/>
  <c r="J8" i="95"/>
  <c r="H8" i="95"/>
  <c r="G8" i="95"/>
  <c r="K8" i="95" s="1"/>
  <c r="L8" i="95" s="1"/>
  <c r="F8" i="95"/>
  <c r="E8" i="95"/>
  <c r="D8" i="95"/>
  <c r="H7" i="95"/>
  <c r="G7" i="95"/>
  <c r="F7" i="95"/>
  <c r="E7" i="95"/>
  <c r="D7" i="95"/>
  <c r="E18" i="91"/>
  <c r="F18" i="91"/>
  <c r="H18" i="91"/>
  <c r="D18" i="91"/>
  <c r="I7" i="95" l="1"/>
  <c r="K7" i="95"/>
  <c r="L7" i="95" s="1"/>
  <c r="F10" i="12"/>
  <c r="J18" i="91"/>
  <c r="G18" i="91"/>
  <c r="I10" i="95"/>
  <c r="K10" i="12"/>
  <c r="J10" i="12"/>
  <c r="L10" i="12"/>
  <c r="L34" i="12"/>
  <c r="L33" i="12"/>
  <c r="I8" i="95"/>
  <c r="I19" i="95"/>
  <c r="I9" i="95"/>
  <c r="H10" i="12" s="1"/>
  <c r="I11" i="95"/>
  <c r="I18" i="95"/>
  <c r="I20" i="95"/>
  <c r="I14" i="95"/>
  <c r="I12" i="95"/>
  <c r="I13" i="95"/>
  <c r="N10" i="12" l="1"/>
  <c r="I18" i="91"/>
  <c r="J33" i="12"/>
  <c r="M33" i="12" s="1"/>
  <c r="G33" i="12"/>
  <c r="G34" i="12"/>
  <c r="G10" i="12"/>
  <c r="J9" i="89"/>
  <c r="M34" i="12"/>
  <c r="M10" i="12"/>
  <c r="J19" i="89"/>
  <c r="J18" i="89"/>
  <c r="J13" i="89"/>
  <c r="J10" i="89"/>
  <c r="J12" i="89"/>
  <c r="J11" i="89"/>
  <c r="J8" i="89"/>
  <c r="N33" i="12"/>
  <c r="N34" i="12"/>
  <c r="H9" i="87"/>
  <c r="G7" i="87"/>
  <c r="G8" i="87"/>
  <c r="G9" i="87"/>
  <c r="H10" i="87"/>
  <c r="G10" i="87"/>
  <c r="G11" i="87"/>
  <c r="G12" i="87"/>
  <c r="G13" i="87"/>
  <c r="G14" i="87"/>
  <c r="H17" i="87" l="1"/>
  <c r="D18" i="87"/>
  <c r="D14" i="87"/>
  <c r="I14" i="87" s="1"/>
  <c r="D13" i="87"/>
  <c r="I13" i="87" s="1"/>
  <c r="D12" i="87"/>
  <c r="I12" i="87" s="1"/>
  <c r="D10" i="87"/>
  <c r="I10" i="87" s="1"/>
  <c r="E8" i="87"/>
  <c r="E7" i="87"/>
  <c r="E19" i="87"/>
  <c r="E11" i="87"/>
  <c r="F9" i="87"/>
  <c r="J9" i="87"/>
  <c r="H8" i="87"/>
  <c r="H14" i="87"/>
  <c r="F14" i="87"/>
  <c r="J14" i="87"/>
  <c r="F13" i="87"/>
  <c r="F12" i="87"/>
  <c r="J12" i="87"/>
  <c r="F10" i="87"/>
  <c r="J10" i="87"/>
  <c r="H7" i="87"/>
  <c r="H13" i="87"/>
  <c r="D8" i="87"/>
  <c r="I8" i="87" s="1"/>
  <c r="D7" i="87"/>
  <c r="I7" i="87" s="1"/>
  <c r="F18" i="87"/>
  <c r="D19" i="87"/>
  <c r="D11" i="87"/>
  <c r="I11" i="87" s="1"/>
  <c r="E9" i="87"/>
  <c r="H12" i="87"/>
  <c r="E18" i="87"/>
  <c r="E14" i="87"/>
  <c r="E13" i="87"/>
  <c r="E12" i="87"/>
  <c r="E10" i="87"/>
  <c r="F8" i="87"/>
  <c r="J8" i="87"/>
  <c r="F7" i="87"/>
  <c r="J7" i="87"/>
  <c r="H11" i="87"/>
  <c r="F19" i="87"/>
  <c r="F11" i="87"/>
  <c r="G18" i="87"/>
  <c r="D9" i="87"/>
  <c r="I9" i="87" s="1"/>
  <c r="F17" i="87" l="1"/>
  <c r="J11" i="87"/>
  <c r="J17" i="87"/>
  <c r="G17" i="87"/>
  <c r="J13" i="87"/>
  <c r="I18" i="87"/>
  <c r="G19" i="87"/>
  <c r="J19" i="87"/>
  <c r="H19" i="87"/>
  <c r="J18" i="87"/>
  <c r="H18" i="87"/>
  <c r="J7" i="83"/>
  <c r="J8" i="83"/>
  <c r="J9" i="83"/>
  <c r="J14" i="83"/>
  <c r="H19" i="83"/>
  <c r="H18" i="83"/>
  <c r="K8" i="89" l="1"/>
  <c r="L8" i="89" s="1"/>
  <c r="L7" i="89"/>
  <c r="D17" i="83"/>
  <c r="D17" i="87"/>
  <c r="I17" i="87" s="1"/>
  <c r="J11" i="83"/>
  <c r="E17" i="83"/>
  <c r="G46" i="12"/>
  <c r="H24" i="119"/>
  <c r="I24" i="119" s="1"/>
  <c r="K12" i="89"/>
  <c r="L12" i="89" s="1"/>
  <c r="K13" i="89"/>
  <c r="L13" i="89" s="1"/>
  <c r="K11" i="89"/>
  <c r="L11" i="89" s="1"/>
  <c r="K9" i="89"/>
  <c r="L9" i="89" s="1"/>
  <c r="K10" i="89"/>
  <c r="L10" i="89" s="1"/>
  <c r="C16" i="87"/>
  <c r="E17" i="87"/>
  <c r="M46" i="12"/>
  <c r="F20" i="83"/>
  <c r="G13" i="83"/>
  <c r="G12" i="83"/>
  <c r="G10" i="83"/>
  <c r="F13" i="83"/>
  <c r="F12" i="83"/>
  <c r="F10" i="83"/>
  <c r="E13" i="83"/>
  <c r="E12" i="83"/>
  <c r="E10" i="83"/>
  <c r="H13" i="83"/>
  <c r="H14" i="83"/>
  <c r="J18" i="83"/>
  <c r="J10" i="83"/>
  <c r="J19" i="83"/>
  <c r="D20" i="83"/>
  <c r="J20" i="83"/>
  <c r="H20" i="83"/>
  <c r="F18" i="83"/>
  <c r="E8" i="83"/>
  <c r="H10" i="83"/>
  <c r="G20" i="83"/>
  <c r="G9" i="83"/>
  <c r="E14" i="83"/>
  <c r="D19" i="83"/>
  <c r="D11" i="83"/>
  <c r="H9" i="83"/>
  <c r="G7" i="83"/>
  <c r="F7" i="83"/>
  <c r="E11" i="83"/>
  <c r="E7" i="83"/>
  <c r="H8" i="83"/>
  <c r="H12" i="83"/>
  <c r="J13" i="83"/>
  <c r="F11" i="83"/>
  <c r="G11" i="83"/>
  <c r="J12" i="83"/>
  <c r="D13" i="83"/>
  <c r="D12" i="83"/>
  <c r="D10" i="83"/>
  <c r="H7" i="83"/>
  <c r="H11" i="83"/>
  <c r="I19" i="87"/>
  <c r="D14" i="83"/>
  <c r="G14" i="83"/>
  <c r="F19" i="83"/>
  <c r="E19" i="83"/>
  <c r="G18" i="83"/>
  <c r="E18" i="83"/>
  <c r="D18" i="83"/>
  <c r="G8" i="83"/>
  <c r="F8" i="83"/>
  <c r="D8" i="83"/>
  <c r="D9" i="83"/>
  <c r="G19" i="83"/>
  <c r="F14" i="83"/>
  <c r="F9" i="83"/>
  <c r="E9" i="83"/>
  <c r="E20" i="83"/>
  <c r="D7" i="83"/>
  <c r="I8" i="83" l="1"/>
  <c r="F17" i="83"/>
  <c r="G17" i="83"/>
  <c r="I17" i="83" s="1"/>
  <c r="H17" i="83"/>
  <c r="J17" i="83"/>
  <c r="I12" i="83"/>
  <c r="I13" i="83"/>
  <c r="K11" i="12"/>
  <c r="D16" i="87"/>
  <c r="E16" i="87"/>
  <c r="F16" i="87"/>
  <c r="G16" i="87"/>
  <c r="H16" i="87"/>
  <c r="J16" i="87"/>
  <c r="J11" i="12"/>
  <c r="L11" i="12"/>
  <c r="N11" i="12" s="1"/>
  <c r="F11" i="12"/>
  <c r="I7" i="83"/>
  <c r="I20" i="83"/>
  <c r="I9" i="83"/>
  <c r="H21" i="12" s="1"/>
  <c r="I10" i="83"/>
  <c r="I19" i="83"/>
  <c r="I14" i="83"/>
  <c r="I11" i="83"/>
  <c r="D16" i="83"/>
  <c r="I18" i="83"/>
  <c r="N21" i="12" s="1"/>
  <c r="C17" i="81"/>
  <c r="E17" i="81" s="1"/>
  <c r="G20" i="81"/>
  <c r="F20" i="81"/>
  <c r="E20" i="81"/>
  <c r="D20" i="81"/>
  <c r="D8" i="81"/>
  <c r="E8" i="81"/>
  <c r="F8" i="81"/>
  <c r="G8" i="81"/>
  <c r="D9" i="81"/>
  <c r="E9" i="81"/>
  <c r="F9" i="81"/>
  <c r="G9" i="81"/>
  <c r="D10" i="81"/>
  <c r="E10" i="81"/>
  <c r="F10" i="81"/>
  <c r="G10" i="81"/>
  <c r="D11" i="81"/>
  <c r="E11" i="81"/>
  <c r="F11" i="81"/>
  <c r="G11" i="81"/>
  <c r="D12" i="81"/>
  <c r="E12" i="81"/>
  <c r="F12" i="81"/>
  <c r="G12" i="81"/>
  <c r="D13" i="81"/>
  <c r="E13" i="81"/>
  <c r="F13" i="81"/>
  <c r="G13" i="81"/>
  <c r="D14" i="81"/>
  <c r="E14" i="81"/>
  <c r="F14" i="81"/>
  <c r="G14" i="81"/>
  <c r="G7" i="81"/>
  <c r="F7" i="81"/>
  <c r="E7" i="81"/>
  <c r="D7" i="81"/>
  <c r="G19" i="81"/>
  <c r="F19" i="81"/>
  <c r="E19" i="81"/>
  <c r="D19" i="81"/>
  <c r="G11" i="12" l="1"/>
  <c r="K13" i="87"/>
  <c r="L13" i="87" s="1"/>
  <c r="K9" i="87"/>
  <c r="L9" i="87" s="1"/>
  <c r="K10" i="87"/>
  <c r="L10" i="87" s="1"/>
  <c r="K14" i="87"/>
  <c r="L14" i="87" s="1"/>
  <c r="K12" i="87"/>
  <c r="L12" i="87" s="1"/>
  <c r="K7" i="87"/>
  <c r="L7" i="87" s="1"/>
  <c r="K11" i="87"/>
  <c r="L11" i="87" s="1"/>
  <c r="K8" i="87"/>
  <c r="L8" i="87" s="1"/>
  <c r="F21" i="12"/>
  <c r="I16" i="87"/>
  <c r="M11" i="12"/>
  <c r="F17" i="81"/>
  <c r="D17" i="81"/>
  <c r="E16" i="83"/>
  <c r="J16" i="83"/>
  <c r="F16" i="83"/>
  <c r="J21" i="12"/>
  <c r="G16" i="83"/>
  <c r="H16" i="83"/>
  <c r="K21" i="12"/>
  <c r="J38" i="12"/>
  <c r="L38" i="12"/>
  <c r="K38" i="12"/>
  <c r="G17" i="81"/>
  <c r="I11" i="81" s="1"/>
  <c r="H19" i="81"/>
  <c r="H10" i="81"/>
  <c r="H8" i="81"/>
  <c r="H14" i="81"/>
  <c r="H7" i="81"/>
  <c r="H11" i="81"/>
  <c r="H13" i="81"/>
  <c r="H20" i="81"/>
  <c r="H9" i="81"/>
  <c r="H12" i="81"/>
  <c r="G19" i="78"/>
  <c r="F19" i="78"/>
  <c r="E19" i="78"/>
  <c r="D19" i="78"/>
  <c r="G14" i="78"/>
  <c r="F14" i="78"/>
  <c r="E14" i="78"/>
  <c r="D14" i="78"/>
  <c r="G13" i="78"/>
  <c r="F13" i="78"/>
  <c r="E13" i="78"/>
  <c r="D13" i="78"/>
  <c r="G12" i="78"/>
  <c r="F12" i="78"/>
  <c r="E12" i="78"/>
  <c r="D12" i="78"/>
  <c r="G11" i="78"/>
  <c r="F11" i="78"/>
  <c r="E11" i="78"/>
  <c r="D11" i="78"/>
  <c r="G10" i="78"/>
  <c r="F10" i="78"/>
  <c r="E10" i="78"/>
  <c r="D10" i="78"/>
  <c r="G9" i="78"/>
  <c r="F9" i="78"/>
  <c r="E9" i="78"/>
  <c r="D9" i="78"/>
  <c r="G8" i="78"/>
  <c r="F8" i="78"/>
  <c r="E8" i="78"/>
  <c r="D8" i="78"/>
  <c r="G7" i="78"/>
  <c r="F7" i="78"/>
  <c r="E7" i="78"/>
  <c r="D7" i="78"/>
  <c r="G19" i="77"/>
  <c r="F19" i="77"/>
  <c r="E19" i="77"/>
  <c r="D19" i="77"/>
  <c r="G14" i="77"/>
  <c r="F14" i="77"/>
  <c r="E14" i="77"/>
  <c r="D14" i="77"/>
  <c r="G13" i="77"/>
  <c r="F13" i="77"/>
  <c r="E13" i="77"/>
  <c r="D13" i="77"/>
  <c r="G12" i="77"/>
  <c r="F12" i="77"/>
  <c r="E12" i="77"/>
  <c r="D12" i="77"/>
  <c r="G11" i="77"/>
  <c r="F11" i="77"/>
  <c r="E11" i="77"/>
  <c r="D11" i="77"/>
  <c r="G10" i="77"/>
  <c r="F10" i="77"/>
  <c r="E10" i="77"/>
  <c r="D10" i="77"/>
  <c r="G9" i="77"/>
  <c r="F9" i="77"/>
  <c r="E9" i="77"/>
  <c r="D9" i="77"/>
  <c r="G8" i="77"/>
  <c r="F8" i="77"/>
  <c r="E8" i="77"/>
  <c r="D8" i="77"/>
  <c r="G7" i="77"/>
  <c r="F7" i="77"/>
  <c r="E7" i="77"/>
  <c r="D7" i="77"/>
  <c r="G19" i="76"/>
  <c r="F19" i="76"/>
  <c r="E19" i="76"/>
  <c r="D19" i="76"/>
  <c r="G14" i="76"/>
  <c r="F14" i="76"/>
  <c r="E14" i="76"/>
  <c r="D14" i="76"/>
  <c r="G13" i="76"/>
  <c r="F13" i="76"/>
  <c r="E13" i="76"/>
  <c r="D13" i="76"/>
  <c r="G12" i="76"/>
  <c r="F12" i="76"/>
  <c r="E12" i="76"/>
  <c r="D12" i="76"/>
  <c r="G11" i="76"/>
  <c r="F11" i="76"/>
  <c r="E11" i="76"/>
  <c r="D11" i="76"/>
  <c r="G10" i="76"/>
  <c r="F10" i="76"/>
  <c r="E10" i="76"/>
  <c r="D10" i="76"/>
  <c r="G9" i="76"/>
  <c r="F9" i="76"/>
  <c r="E9" i="76"/>
  <c r="D9" i="76"/>
  <c r="G8" i="76"/>
  <c r="F8" i="76"/>
  <c r="E8" i="76"/>
  <c r="D8" i="76"/>
  <c r="G7" i="76"/>
  <c r="F7" i="76"/>
  <c r="E7" i="76"/>
  <c r="D7" i="76"/>
  <c r="G19" i="75"/>
  <c r="F19" i="75"/>
  <c r="E19" i="75"/>
  <c r="D19" i="75"/>
  <c r="G14" i="75"/>
  <c r="F14" i="75"/>
  <c r="E14" i="75"/>
  <c r="D14" i="75"/>
  <c r="G13" i="75"/>
  <c r="F13" i="75"/>
  <c r="E13" i="75"/>
  <c r="D13" i="75"/>
  <c r="G12" i="75"/>
  <c r="F12" i="75"/>
  <c r="E12" i="75"/>
  <c r="D12" i="75"/>
  <c r="G11" i="75"/>
  <c r="F11" i="75"/>
  <c r="E11" i="75"/>
  <c r="D11" i="75"/>
  <c r="G10" i="75"/>
  <c r="F10" i="75"/>
  <c r="E10" i="75"/>
  <c r="D10" i="75"/>
  <c r="G9" i="75"/>
  <c r="F9" i="75"/>
  <c r="E9" i="75"/>
  <c r="D9" i="75"/>
  <c r="G8" i="75"/>
  <c r="F8" i="75"/>
  <c r="E8" i="75"/>
  <c r="D8" i="75"/>
  <c r="G7" i="75"/>
  <c r="F7" i="75"/>
  <c r="E7" i="75"/>
  <c r="D7" i="75"/>
  <c r="I7" i="75" l="1"/>
  <c r="G21" i="12"/>
  <c r="H38" i="12"/>
  <c r="I10" i="81"/>
  <c r="I12" i="81"/>
  <c r="I8" i="81"/>
  <c r="I7" i="81"/>
  <c r="I14" i="81"/>
  <c r="I13" i="81"/>
  <c r="I9" i="81"/>
  <c r="K13" i="83"/>
  <c r="L13" i="83" s="1"/>
  <c r="K7" i="83"/>
  <c r="L7" i="83" s="1"/>
  <c r="K9" i="83"/>
  <c r="L9" i="83" s="1"/>
  <c r="K8" i="83"/>
  <c r="L8" i="83" s="1"/>
  <c r="K12" i="83"/>
  <c r="L12" i="83" s="1"/>
  <c r="K11" i="83"/>
  <c r="L11" i="83" s="1"/>
  <c r="K10" i="83"/>
  <c r="L10" i="83" s="1"/>
  <c r="K14" i="83"/>
  <c r="L14" i="83" s="1"/>
  <c r="F38" i="12"/>
  <c r="G38" i="12" s="1"/>
  <c r="M38" i="12"/>
  <c r="M21" i="12"/>
  <c r="I9" i="78"/>
  <c r="I11" i="78"/>
  <c r="I10" i="78"/>
  <c r="I12" i="78"/>
  <c r="I8" i="76"/>
  <c r="I10" i="76"/>
  <c r="I12" i="77"/>
  <c r="I13" i="77"/>
  <c r="I9" i="77"/>
  <c r="I11" i="77"/>
  <c r="I19" i="77"/>
  <c r="I19" i="78"/>
  <c r="I8" i="77"/>
  <c r="I14" i="77"/>
  <c r="I14" i="76"/>
  <c r="I13" i="76"/>
  <c r="H17" i="81"/>
  <c r="I16" i="83"/>
  <c r="N38" i="12"/>
  <c r="I13" i="78"/>
  <c r="I7" i="78"/>
  <c r="I14" i="78"/>
  <c r="I7" i="77"/>
  <c r="I10" i="77"/>
  <c r="I9" i="76"/>
  <c r="I11" i="76"/>
  <c r="I7" i="76"/>
  <c r="I12" i="76"/>
  <c r="I19" i="76"/>
  <c r="I8" i="78"/>
  <c r="I11" i="75"/>
  <c r="I19" i="75"/>
  <c r="I12" i="75"/>
  <c r="I14" i="75"/>
  <c r="I13" i="75"/>
  <c r="I8" i="75"/>
  <c r="I9" i="75"/>
  <c r="I10" i="75"/>
  <c r="J10" i="74" l="1"/>
  <c r="J11" i="74"/>
  <c r="J12" i="74"/>
  <c r="J13" i="74"/>
  <c r="J14" i="74"/>
  <c r="J15" i="74"/>
  <c r="J16" i="74"/>
  <c r="J17" i="74"/>
  <c r="J33" i="74"/>
  <c r="J18" i="74"/>
  <c r="J19" i="74"/>
  <c r="J20" i="74"/>
  <c r="J21" i="74"/>
  <c r="J34" i="74"/>
  <c r="J22" i="74"/>
  <c r="J35" i="74"/>
  <c r="J24" i="74"/>
  <c r="J25" i="74"/>
  <c r="J36" i="74"/>
  <c r="J26" i="74"/>
  <c r="J27" i="74"/>
  <c r="J37" i="74"/>
  <c r="J28" i="74"/>
  <c r="J30" i="74"/>
  <c r="J31" i="74"/>
  <c r="J40" i="74"/>
  <c r="J46" i="74"/>
  <c r="J10" i="73"/>
  <c r="J12" i="73"/>
  <c r="J13" i="73"/>
  <c r="J14" i="73"/>
  <c r="J15" i="73"/>
  <c r="J16" i="73"/>
  <c r="J17" i="73"/>
  <c r="J33" i="73"/>
  <c r="J18" i="73"/>
  <c r="J20" i="73"/>
  <c r="J21" i="73"/>
  <c r="J22" i="73"/>
  <c r="J23" i="73"/>
  <c r="J24" i="73"/>
  <c r="J25" i="73"/>
  <c r="J26" i="73"/>
  <c r="J29" i="73"/>
  <c r="J30" i="73"/>
  <c r="J31" i="73"/>
  <c r="J47" i="73"/>
  <c r="J10" i="71"/>
  <c r="J11" i="71"/>
  <c r="J12" i="71"/>
  <c r="J13" i="71"/>
  <c r="J14" i="71"/>
  <c r="J15" i="71"/>
  <c r="J16" i="71"/>
  <c r="J17" i="71"/>
  <c r="J33" i="71"/>
  <c r="J18" i="71"/>
  <c r="J20" i="71"/>
  <c r="J21" i="71"/>
  <c r="J34" i="71"/>
  <c r="J22" i="71"/>
  <c r="J35" i="71"/>
  <c r="J24" i="71"/>
  <c r="J25" i="71"/>
  <c r="J36" i="71"/>
  <c r="J26" i="71"/>
  <c r="J27" i="71"/>
  <c r="J37" i="71"/>
  <c r="J28" i="71"/>
  <c r="J30" i="71"/>
  <c r="J31" i="71"/>
  <c r="J39" i="71"/>
  <c r="J40" i="71"/>
  <c r="J46" i="71"/>
  <c r="J10" i="72"/>
  <c r="J11" i="72"/>
  <c r="J12" i="72"/>
  <c r="J13" i="72"/>
  <c r="J14" i="72"/>
  <c r="J15" i="72"/>
  <c r="J16" i="72"/>
  <c r="J17" i="72"/>
  <c r="J33" i="72"/>
  <c r="J18" i="72"/>
  <c r="J19" i="72"/>
  <c r="J20" i="72"/>
  <c r="J21" i="72"/>
  <c r="J34" i="72"/>
  <c r="J22" i="72"/>
  <c r="J35" i="72"/>
  <c r="J24" i="72"/>
  <c r="J25" i="72"/>
  <c r="J36" i="72"/>
  <c r="J26" i="72"/>
  <c r="J27" i="72"/>
  <c r="J37" i="72"/>
  <c r="J28" i="72"/>
  <c r="J30" i="72"/>
  <c r="J31" i="72"/>
  <c r="J40" i="72"/>
  <c r="J46" i="72"/>
  <c r="F10" i="74"/>
  <c r="F11" i="74"/>
  <c r="F12" i="74"/>
  <c r="F13" i="74"/>
  <c r="F14" i="74"/>
  <c r="F15" i="74"/>
  <c r="F16" i="74"/>
  <c r="F17" i="74"/>
  <c r="F33" i="74"/>
  <c r="F18" i="74"/>
  <c r="F19" i="74"/>
  <c r="F20" i="74"/>
  <c r="F21" i="74"/>
  <c r="F34" i="74"/>
  <c r="F22" i="74"/>
  <c r="F35" i="74"/>
  <c r="F24" i="74"/>
  <c r="F25" i="74"/>
  <c r="F36" i="74"/>
  <c r="F26" i="74"/>
  <c r="F27" i="74"/>
  <c r="F37" i="74"/>
  <c r="F28" i="74"/>
  <c r="F30" i="74"/>
  <c r="F31" i="74"/>
  <c r="F40" i="74"/>
  <c r="F46" i="74"/>
  <c r="F10" i="73"/>
  <c r="F12" i="73"/>
  <c r="F13" i="73"/>
  <c r="F14" i="73"/>
  <c r="F15" i="73"/>
  <c r="F16" i="73"/>
  <c r="F17" i="73"/>
  <c r="F33" i="73"/>
  <c r="F18" i="73"/>
  <c r="F20" i="73"/>
  <c r="F21" i="73"/>
  <c r="F22" i="73"/>
  <c r="F23" i="73"/>
  <c r="F24" i="73"/>
  <c r="F25" i="73"/>
  <c r="F26" i="73"/>
  <c r="F29" i="73"/>
  <c r="F30" i="73"/>
  <c r="F31" i="73"/>
  <c r="F47" i="73"/>
  <c r="F10" i="71"/>
  <c r="F11" i="71"/>
  <c r="F12" i="71"/>
  <c r="F13" i="71"/>
  <c r="F14" i="71"/>
  <c r="F15" i="71"/>
  <c r="F16" i="71"/>
  <c r="F17" i="71"/>
  <c r="F33" i="71"/>
  <c r="F18" i="71"/>
  <c r="F20" i="71"/>
  <c r="F21" i="71"/>
  <c r="F34" i="71"/>
  <c r="F22" i="71"/>
  <c r="F35" i="71"/>
  <c r="F24" i="71"/>
  <c r="F25" i="71"/>
  <c r="F36" i="71"/>
  <c r="F26" i="71"/>
  <c r="F27" i="71"/>
  <c r="F37" i="71"/>
  <c r="F28" i="71"/>
  <c r="F30" i="71"/>
  <c r="F31" i="71"/>
  <c r="F39" i="71"/>
  <c r="F40" i="71"/>
  <c r="F46" i="71"/>
  <c r="F10" i="72"/>
  <c r="F11" i="72"/>
  <c r="F12" i="72"/>
  <c r="F13" i="72"/>
  <c r="F14" i="72"/>
  <c r="F15" i="72"/>
  <c r="F16" i="72"/>
  <c r="F17" i="72"/>
  <c r="F33" i="72"/>
  <c r="F18" i="72"/>
  <c r="F19" i="72"/>
  <c r="F20" i="72"/>
  <c r="F21" i="72"/>
  <c r="F34" i="72"/>
  <c r="F22" i="72"/>
  <c r="F35" i="72"/>
  <c r="F24" i="72"/>
  <c r="F25" i="72"/>
  <c r="F36" i="72"/>
  <c r="F26" i="72"/>
  <c r="F27" i="72"/>
  <c r="F37" i="72"/>
  <c r="F28" i="72"/>
  <c r="F30" i="72"/>
  <c r="F31" i="72"/>
  <c r="F40" i="72"/>
  <c r="F46" i="72"/>
  <c r="B10" i="74"/>
  <c r="B11" i="74"/>
  <c r="B12" i="74"/>
  <c r="B13" i="74"/>
  <c r="B14" i="74"/>
  <c r="B15" i="74"/>
  <c r="B16" i="74"/>
  <c r="B17" i="74"/>
  <c r="B33" i="74"/>
  <c r="B18" i="74"/>
  <c r="B19" i="74"/>
  <c r="D45" i="74" s="1"/>
  <c r="B20" i="74"/>
  <c r="B21" i="74"/>
  <c r="B22" i="74"/>
  <c r="B35" i="74"/>
  <c r="B24" i="74"/>
  <c r="B25" i="74"/>
  <c r="B36" i="74"/>
  <c r="B26" i="74"/>
  <c r="B27" i="74"/>
  <c r="B37" i="74"/>
  <c r="B28" i="74"/>
  <c r="B30" i="74"/>
  <c r="B31" i="74"/>
  <c r="B40" i="74"/>
  <c r="B10" i="73"/>
  <c r="B12" i="73"/>
  <c r="B13" i="73"/>
  <c r="B14" i="73"/>
  <c r="B15" i="73"/>
  <c r="B16" i="73"/>
  <c r="B17" i="73"/>
  <c r="B33" i="73"/>
  <c r="B18" i="73"/>
  <c r="B20" i="73"/>
  <c r="B21" i="73"/>
  <c r="B22" i="73"/>
  <c r="B23" i="73"/>
  <c r="B24" i="73"/>
  <c r="B25" i="73"/>
  <c r="B26" i="73"/>
  <c r="B29" i="73"/>
  <c r="B30" i="73"/>
  <c r="B31" i="73"/>
  <c r="B41" i="73"/>
  <c r="B47" i="73"/>
  <c r="B10" i="71"/>
  <c r="B11" i="71"/>
  <c r="B12" i="71"/>
  <c r="B13" i="71"/>
  <c r="B14" i="71"/>
  <c r="B15" i="71"/>
  <c r="B16" i="71"/>
  <c r="B17" i="71"/>
  <c r="B33" i="71"/>
  <c r="B18" i="71"/>
  <c r="B20" i="71"/>
  <c r="B21" i="71"/>
  <c r="B34" i="71"/>
  <c r="B22" i="71"/>
  <c r="B35" i="71"/>
  <c r="B24" i="71"/>
  <c r="B25" i="71"/>
  <c r="B36" i="71"/>
  <c r="B26" i="71"/>
  <c r="B27" i="71"/>
  <c r="B37" i="71"/>
  <c r="B28" i="71"/>
  <c r="B30" i="71"/>
  <c r="B31" i="71"/>
  <c r="B39" i="71"/>
  <c r="B40" i="71"/>
  <c r="B46" i="71"/>
  <c r="B10" i="72"/>
  <c r="B11" i="72"/>
  <c r="B12" i="72"/>
  <c r="B13" i="72"/>
  <c r="B14" i="72"/>
  <c r="B15" i="72"/>
  <c r="B16" i="72"/>
  <c r="B17" i="72"/>
  <c r="B33" i="72"/>
  <c r="B18" i="72"/>
  <c r="B19" i="72"/>
  <c r="B20" i="72"/>
  <c r="B21" i="72"/>
  <c r="B34" i="72"/>
  <c r="B22" i="72"/>
  <c r="B35" i="72"/>
  <c r="B24" i="72"/>
  <c r="B25" i="72"/>
  <c r="B36" i="72"/>
  <c r="B26" i="72"/>
  <c r="B27" i="72"/>
  <c r="B37" i="72"/>
  <c r="B28" i="72"/>
  <c r="B30" i="72"/>
  <c r="B31" i="72"/>
  <c r="B40" i="72"/>
  <c r="B46" i="72"/>
  <c r="N46" i="74"/>
  <c r="N31" i="74"/>
  <c r="N30" i="74"/>
  <c r="N28" i="74"/>
  <c r="N27" i="74"/>
  <c r="N26" i="74"/>
  <c r="N25" i="74"/>
  <c r="N24" i="74"/>
  <c r="N22" i="74"/>
  <c r="N21" i="74"/>
  <c r="N20" i="74"/>
  <c r="N19" i="74"/>
  <c r="N18" i="74"/>
  <c r="N17" i="74"/>
  <c r="N16" i="74"/>
  <c r="N15" i="74"/>
  <c r="N14" i="74"/>
  <c r="N13" i="74"/>
  <c r="N12" i="74"/>
  <c r="N11" i="74"/>
  <c r="N10" i="74"/>
  <c r="N9" i="74"/>
  <c r="J9" i="74"/>
  <c r="F9" i="74"/>
  <c r="B9" i="74"/>
  <c r="N47" i="73"/>
  <c r="N31" i="73"/>
  <c r="N30" i="73"/>
  <c r="N29" i="73"/>
  <c r="N26" i="73"/>
  <c r="N25" i="73"/>
  <c r="N24" i="73"/>
  <c r="N23" i="73"/>
  <c r="N22" i="73"/>
  <c r="N21" i="73"/>
  <c r="N20" i="73"/>
  <c r="N18" i="73"/>
  <c r="N33" i="73"/>
  <c r="N17" i="73"/>
  <c r="N16" i="73"/>
  <c r="N15" i="73"/>
  <c r="N14" i="73"/>
  <c r="N13" i="73"/>
  <c r="N12" i="73"/>
  <c r="N10" i="73"/>
  <c r="J9" i="73"/>
  <c r="F9" i="73"/>
  <c r="B9" i="73"/>
  <c r="N46" i="72"/>
  <c r="N40" i="72"/>
  <c r="N31" i="72"/>
  <c r="N30" i="72"/>
  <c r="N28" i="72"/>
  <c r="N27" i="72"/>
  <c r="N26" i="72"/>
  <c r="N25" i="72"/>
  <c r="N24" i="72"/>
  <c r="N22" i="72"/>
  <c r="N21" i="72"/>
  <c r="N20" i="72"/>
  <c r="N19" i="72"/>
  <c r="N18" i="72"/>
  <c r="N17" i="72"/>
  <c r="N16" i="72"/>
  <c r="N15" i="72"/>
  <c r="N14" i="72"/>
  <c r="N13" i="72"/>
  <c r="N12" i="72"/>
  <c r="N11" i="72"/>
  <c r="N10" i="72"/>
  <c r="N9" i="72"/>
  <c r="J9" i="72"/>
  <c r="F9" i="72"/>
  <c r="B9" i="72"/>
  <c r="B9" i="71"/>
  <c r="F9" i="71"/>
  <c r="J9" i="71"/>
  <c r="N10" i="71"/>
  <c r="N11" i="71"/>
  <c r="N12" i="71"/>
  <c r="N13" i="71"/>
  <c r="N14" i="71"/>
  <c r="N15" i="71"/>
  <c r="N16" i="71"/>
  <c r="N17" i="71"/>
  <c r="N18" i="71"/>
  <c r="N20" i="71"/>
  <c r="N21" i="71"/>
  <c r="N22" i="71"/>
  <c r="N24" i="71"/>
  <c r="N25" i="71"/>
  <c r="N26" i="71"/>
  <c r="N27" i="71"/>
  <c r="N28" i="71"/>
  <c r="N30" i="71"/>
  <c r="N31" i="71"/>
  <c r="N40" i="71"/>
  <c r="N46" i="71"/>
  <c r="N9" i="71"/>
  <c r="B29" i="72" l="1"/>
  <c r="F29" i="71"/>
  <c r="J19" i="73"/>
  <c r="K43" i="73"/>
  <c r="F39" i="74"/>
  <c r="J39" i="72"/>
  <c r="B29" i="71"/>
  <c r="B29" i="74"/>
  <c r="F27" i="73"/>
  <c r="F44" i="73" s="1"/>
  <c r="G44" i="73"/>
  <c r="G46" i="73"/>
  <c r="J11" i="73"/>
  <c r="K45" i="73"/>
  <c r="J29" i="74"/>
  <c r="J23" i="74"/>
  <c r="B11" i="73"/>
  <c r="C45" i="73"/>
  <c r="F29" i="72"/>
  <c r="N11" i="73"/>
  <c r="O45" i="73"/>
  <c r="N23" i="74"/>
  <c r="N29" i="74"/>
  <c r="B27" i="73"/>
  <c r="B44" i="73" s="1"/>
  <c r="C44" i="73"/>
  <c r="F19" i="73"/>
  <c r="G43" i="73"/>
  <c r="N29" i="71"/>
  <c r="N23" i="71"/>
  <c r="N19" i="73"/>
  <c r="O43" i="73"/>
  <c r="B39" i="72"/>
  <c r="B39" i="74"/>
  <c r="F39" i="72"/>
  <c r="F23" i="71"/>
  <c r="O46" i="73"/>
  <c r="B36" i="73"/>
  <c r="C46" i="73"/>
  <c r="F11" i="73"/>
  <c r="G45" i="73"/>
  <c r="F29" i="74"/>
  <c r="F23" i="74"/>
  <c r="J29" i="72"/>
  <c r="J23" i="72"/>
  <c r="J29" i="71"/>
  <c r="J23" i="71"/>
  <c r="J27" i="73"/>
  <c r="J44" i="73" s="1"/>
  <c r="K44" i="73"/>
  <c r="B23" i="71"/>
  <c r="B23" i="74"/>
  <c r="N23" i="72"/>
  <c r="N29" i="72"/>
  <c r="B19" i="73"/>
  <c r="C43" i="73"/>
  <c r="J39" i="74"/>
  <c r="B23" i="72"/>
  <c r="F23" i="72"/>
  <c r="N27" i="73"/>
  <c r="N44" i="73" s="1"/>
  <c r="O44" i="73"/>
  <c r="P44" i="73" s="1"/>
  <c r="K46" i="73"/>
  <c r="F19" i="71"/>
  <c r="B19" i="71"/>
  <c r="N19" i="71"/>
  <c r="J19" i="71"/>
  <c r="F38" i="74"/>
  <c r="J38" i="72"/>
  <c r="J38" i="71"/>
  <c r="B38" i="72"/>
  <c r="B38" i="71"/>
  <c r="B38" i="74"/>
  <c r="F38" i="72"/>
  <c r="F38" i="71"/>
  <c r="J38" i="74"/>
  <c r="N36" i="73"/>
  <c r="J34" i="73"/>
  <c r="B38" i="73"/>
  <c r="B39" i="73" s="1"/>
  <c r="F28" i="73"/>
  <c r="F35" i="73"/>
  <c r="N34" i="73"/>
  <c r="F37" i="73"/>
  <c r="G42" i="73"/>
  <c r="J36" i="73"/>
  <c r="N35" i="73"/>
  <c r="H10" i="76" s="1"/>
  <c r="N28" i="73"/>
  <c r="B28" i="73"/>
  <c r="B35" i="73"/>
  <c r="B37" i="73"/>
  <c r="F36" i="73"/>
  <c r="B34" i="73"/>
  <c r="J28" i="73"/>
  <c r="J35" i="73"/>
  <c r="N37" i="73"/>
  <c r="H12" i="76" s="1"/>
  <c r="O42" i="73"/>
  <c r="F34" i="73"/>
  <c r="B40" i="73"/>
  <c r="J14" i="76" s="1"/>
  <c r="C42" i="73"/>
  <c r="J37" i="73"/>
  <c r="K42" i="73"/>
  <c r="N33" i="71"/>
  <c r="N32" i="72"/>
  <c r="N37" i="72"/>
  <c r="H19" i="77"/>
  <c r="J19" i="77"/>
  <c r="J13" i="76"/>
  <c r="H13" i="76"/>
  <c r="O41" i="74"/>
  <c r="F32" i="72"/>
  <c r="F32" i="74"/>
  <c r="G41" i="74"/>
  <c r="J32" i="72"/>
  <c r="J41" i="72" s="1"/>
  <c r="L41" i="72" s="1"/>
  <c r="J19" i="78"/>
  <c r="H19" i="78"/>
  <c r="N37" i="71"/>
  <c r="N32" i="71"/>
  <c r="N33" i="72"/>
  <c r="H14" i="76"/>
  <c r="B34" i="74"/>
  <c r="F32" i="71"/>
  <c r="F41" i="71" s="1"/>
  <c r="H41" i="71" s="1"/>
  <c r="F32" i="73"/>
  <c r="J32" i="71"/>
  <c r="J41" i="71" s="1"/>
  <c r="L41" i="71" s="1"/>
  <c r="J32" i="74"/>
  <c r="K41" i="74"/>
  <c r="N34" i="71"/>
  <c r="H9" i="76"/>
  <c r="N35" i="71"/>
  <c r="B32" i="72"/>
  <c r="B41" i="72" s="1"/>
  <c r="D41" i="72" s="1"/>
  <c r="B32" i="71"/>
  <c r="C41" i="71"/>
  <c r="B32" i="73"/>
  <c r="B32" i="74"/>
  <c r="J32" i="73"/>
  <c r="N38" i="72"/>
  <c r="N32" i="73"/>
  <c r="N36" i="72"/>
  <c r="N34" i="72"/>
  <c r="N35" i="72"/>
  <c r="N39" i="71"/>
  <c r="H19" i="76"/>
  <c r="J19" i="76"/>
  <c r="N36" i="71"/>
  <c r="N38" i="71"/>
  <c r="N39" i="72"/>
  <c r="H8" i="76"/>
  <c r="J8" i="76"/>
  <c r="N32" i="74"/>
  <c r="J7" i="75" s="1"/>
  <c r="N38" i="74"/>
  <c r="N36" i="74"/>
  <c r="J11" i="75" s="1"/>
  <c r="N34" i="74"/>
  <c r="N39" i="74"/>
  <c r="N35" i="74"/>
  <c r="J10" i="75" s="1"/>
  <c r="N37" i="74"/>
  <c r="J12" i="75" s="1"/>
  <c r="N33" i="74"/>
  <c r="J8" i="75" s="1"/>
  <c r="J19" i="75"/>
  <c r="H19" i="75"/>
  <c r="L143" i="70"/>
  <c r="H143" i="70"/>
  <c r="D143" i="70"/>
  <c r="G38" i="70"/>
  <c r="C45" i="70"/>
  <c r="B46" i="70"/>
  <c r="F41" i="72" l="1"/>
  <c r="H41" i="72" s="1"/>
  <c r="B41" i="71"/>
  <c r="D41" i="71" s="1"/>
  <c r="N41" i="71"/>
  <c r="N41" i="72"/>
  <c r="F17" i="75"/>
  <c r="B41" i="74"/>
  <c r="J9" i="76"/>
  <c r="J12" i="76"/>
  <c r="J11" i="76"/>
  <c r="E17" i="75"/>
  <c r="F45" i="73"/>
  <c r="H11" i="76"/>
  <c r="C44" i="70"/>
  <c r="G45" i="70"/>
  <c r="B44" i="70"/>
  <c r="J47" i="70"/>
  <c r="B45" i="70"/>
  <c r="D45" i="70" s="1"/>
  <c r="E18" i="75"/>
  <c r="N43" i="73"/>
  <c r="P43" i="73" s="1"/>
  <c r="G17" i="75"/>
  <c r="J17" i="75"/>
  <c r="H17" i="75"/>
  <c r="F44" i="70"/>
  <c r="F45" i="70"/>
  <c r="J39" i="73"/>
  <c r="J46" i="73"/>
  <c r="D17" i="77"/>
  <c r="C46" i="70"/>
  <c r="D46" i="70" s="1"/>
  <c r="F41" i="74"/>
  <c r="F39" i="73"/>
  <c r="F46" i="73"/>
  <c r="B46" i="73"/>
  <c r="F43" i="73"/>
  <c r="E17" i="76" s="1"/>
  <c r="N45" i="73"/>
  <c r="P45" i="73" s="1"/>
  <c r="J43" i="73"/>
  <c r="F17" i="76" s="1"/>
  <c r="F46" i="70"/>
  <c r="J44" i="70"/>
  <c r="B47" i="70"/>
  <c r="J45" i="70"/>
  <c r="N39" i="73"/>
  <c r="N46" i="73"/>
  <c r="P46" i="73" s="1"/>
  <c r="E18" i="77"/>
  <c r="E17" i="77"/>
  <c r="G44" i="70"/>
  <c r="K44" i="70"/>
  <c r="C47" i="70"/>
  <c r="K45" i="70"/>
  <c r="J14" i="75"/>
  <c r="J45" i="73"/>
  <c r="K47" i="70"/>
  <c r="J46" i="70"/>
  <c r="F47" i="70"/>
  <c r="F17" i="77"/>
  <c r="G46" i="70"/>
  <c r="K46" i="70"/>
  <c r="G47" i="70"/>
  <c r="J41" i="74"/>
  <c r="B43" i="73"/>
  <c r="D17" i="76" s="1"/>
  <c r="D17" i="75"/>
  <c r="B45" i="73"/>
  <c r="C38" i="70"/>
  <c r="K38" i="70"/>
  <c r="J38" i="70"/>
  <c r="B38" i="70"/>
  <c r="F38" i="70"/>
  <c r="H38" i="70" s="1"/>
  <c r="J13" i="75"/>
  <c r="J10" i="76"/>
  <c r="F42" i="73"/>
  <c r="E18" i="76" s="1"/>
  <c r="N42" i="73"/>
  <c r="J42" i="73"/>
  <c r="F18" i="76" s="1"/>
  <c r="B42" i="73"/>
  <c r="D18" i="76" s="1"/>
  <c r="J9" i="75"/>
  <c r="I14" i="69"/>
  <c r="L16" i="70"/>
  <c r="I8" i="69"/>
  <c r="H31" i="70"/>
  <c r="L36" i="70"/>
  <c r="H14" i="70"/>
  <c r="H11" i="78"/>
  <c r="J11" i="78"/>
  <c r="J10" i="77"/>
  <c r="H10" i="77"/>
  <c r="I18" i="69"/>
  <c r="I9" i="69"/>
  <c r="J7" i="76"/>
  <c r="H7" i="76"/>
  <c r="I10" i="69"/>
  <c r="I12" i="69"/>
  <c r="J14" i="77"/>
  <c r="H14" i="77"/>
  <c r="J12" i="78"/>
  <c r="H12" i="78"/>
  <c r="J7" i="77"/>
  <c r="H7" i="77"/>
  <c r="J9" i="78"/>
  <c r="H9" i="78"/>
  <c r="H7" i="78"/>
  <c r="J7" i="78"/>
  <c r="J13" i="77"/>
  <c r="H13" i="77"/>
  <c r="H9" i="77"/>
  <c r="J9" i="77"/>
  <c r="N41" i="74"/>
  <c r="H18" i="75" s="1"/>
  <c r="J13" i="78"/>
  <c r="H13" i="78"/>
  <c r="J14" i="78"/>
  <c r="H14" i="78"/>
  <c r="J11" i="77"/>
  <c r="H11" i="77"/>
  <c r="J10" i="78"/>
  <c r="H10" i="78"/>
  <c r="J8" i="77"/>
  <c r="H8" i="77"/>
  <c r="J8" i="78"/>
  <c r="H8" i="78"/>
  <c r="H34" i="70"/>
  <c r="J12" i="77"/>
  <c r="H12" i="77"/>
  <c r="H8" i="75"/>
  <c r="H11" i="75"/>
  <c r="H14" i="75"/>
  <c r="H12" i="75"/>
  <c r="H13" i="75"/>
  <c r="H10" i="75"/>
  <c r="H9" i="75"/>
  <c r="H7" i="75"/>
  <c r="I11" i="69"/>
  <c r="I13" i="69"/>
  <c r="H9" i="70"/>
  <c r="L10" i="70"/>
  <c r="D12" i="70"/>
  <c r="H13" i="70"/>
  <c r="L14" i="70"/>
  <c r="D16" i="70"/>
  <c r="H17" i="70"/>
  <c r="L18" i="70"/>
  <c r="F7" i="69" s="1"/>
  <c r="D20" i="70"/>
  <c r="D8" i="69" s="1"/>
  <c r="H21" i="70"/>
  <c r="L22" i="70"/>
  <c r="D24" i="70"/>
  <c r="H25" i="70"/>
  <c r="E10" i="69" s="1"/>
  <c r="H10" i="69" s="1"/>
  <c r="L26" i="70"/>
  <c r="D28" i="70"/>
  <c r="H29" i="70"/>
  <c r="L30" i="70"/>
  <c r="F11" i="69" s="1"/>
  <c r="D32" i="70"/>
  <c r="H33" i="70"/>
  <c r="E12" i="69" s="1"/>
  <c r="H12" i="69" s="1"/>
  <c r="L34" i="70"/>
  <c r="D36" i="70"/>
  <c r="H37" i="70"/>
  <c r="E13" i="69" s="1"/>
  <c r="H13" i="69" s="1"/>
  <c r="L39" i="70"/>
  <c r="D41" i="70"/>
  <c r="H43" i="70"/>
  <c r="E19" i="69" s="1"/>
  <c r="H19" i="69" s="1"/>
  <c r="L9" i="70"/>
  <c r="D11" i="70"/>
  <c r="H12" i="70"/>
  <c r="L13" i="70"/>
  <c r="D15" i="70"/>
  <c r="H16" i="70"/>
  <c r="L17" i="70"/>
  <c r="D19" i="70"/>
  <c r="H20" i="70"/>
  <c r="E8" i="69" s="1"/>
  <c r="H8" i="69" s="1"/>
  <c r="L21" i="70"/>
  <c r="D23" i="70"/>
  <c r="D9" i="69" s="1"/>
  <c r="H24" i="70"/>
  <c r="L25" i="70"/>
  <c r="F10" i="69" s="1"/>
  <c r="D27" i="70"/>
  <c r="H28" i="70"/>
  <c r="L29" i="70"/>
  <c r="D31" i="70"/>
  <c r="H32" i="70"/>
  <c r="L33" i="70"/>
  <c r="F12" i="69" s="1"/>
  <c r="D35" i="70"/>
  <c r="H36" i="70"/>
  <c r="L37" i="70"/>
  <c r="F13" i="69" s="1"/>
  <c r="D40" i="70"/>
  <c r="D14" i="69" s="1"/>
  <c r="H41" i="70"/>
  <c r="D49" i="70"/>
  <c r="D18" i="69" s="1"/>
  <c r="L11" i="70"/>
  <c r="H19" i="70"/>
  <c r="D26" i="70"/>
  <c r="H22" i="70"/>
  <c r="H26" i="70"/>
  <c r="L31" i="70"/>
  <c r="H40" i="70"/>
  <c r="E14" i="69" s="1"/>
  <c r="H14" i="69" s="1"/>
  <c r="H11" i="70"/>
  <c r="D9" i="70"/>
  <c r="D14" i="70"/>
  <c r="D29" i="70"/>
  <c r="D34" i="70"/>
  <c r="D17" i="70"/>
  <c r="D22" i="70"/>
  <c r="D37" i="70"/>
  <c r="D13" i="69" s="1"/>
  <c r="L19" i="70"/>
  <c r="L24" i="70"/>
  <c r="L49" i="70"/>
  <c r="F18" i="69" s="1"/>
  <c r="D25" i="70"/>
  <c r="D10" i="69" s="1"/>
  <c r="L28" i="70"/>
  <c r="L15" i="70"/>
  <c r="D18" i="70"/>
  <c r="D7" i="69" s="1"/>
  <c r="H27" i="70"/>
  <c r="L35" i="70"/>
  <c r="D39" i="70"/>
  <c r="L43" i="70"/>
  <c r="F19" i="69" s="1"/>
  <c r="D10" i="70"/>
  <c r="H18" i="70"/>
  <c r="E7" i="69" s="1"/>
  <c r="H7" i="69" s="1"/>
  <c r="L20" i="70"/>
  <c r="F8" i="69" s="1"/>
  <c r="L27" i="70"/>
  <c r="D30" i="70"/>
  <c r="D11" i="69" s="1"/>
  <c r="H39" i="70"/>
  <c r="L41" i="70"/>
  <c r="L40" i="70"/>
  <c r="F14" i="69" s="1"/>
  <c r="H49" i="70"/>
  <c r="E18" i="69" s="1"/>
  <c r="H18" i="69" s="1"/>
  <c r="H10" i="70"/>
  <c r="L12" i="70"/>
  <c r="D21" i="70"/>
  <c r="H23" i="70"/>
  <c r="E9" i="69" s="1"/>
  <c r="H9" i="69" s="1"/>
  <c r="H30" i="70"/>
  <c r="E11" i="69" s="1"/>
  <c r="H11" i="69" s="1"/>
  <c r="L32" i="70"/>
  <c r="D43" i="70"/>
  <c r="D19" i="69" s="1"/>
  <c r="D13" i="70"/>
  <c r="H15" i="70"/>
  <c r="L23" i="70"/>
  <c r="F9" i="69" s="1"/>
  <c r="D33" i="70"/>
  <c r="D12" i="69" s="1"/>
  <c r="H35" i="70"/>
  <c r="L44" i="70" l="1"/>
  <c r="L45" i="70"/>
  <c r="P42" i="73"/>
  <c r="G18" i="76" s="1"/>
  <c r="I18" i="76" s="1"/>
  <c r="H45" i="70"/>
  <c r="F17" i="78"/>
  <c r="E17" i="78"/>
  <c r="D17" i="78"/>
  <c r="I17" i="75"/>
  <c r="D38" i="70"/>
  <c r="H47" i="70"/>
  <c r="E17" i="69" s="1"/>
  <c r="H17" i="69" s="1"/>
  <c r="G17" i="76"/>
  <c r="I17" i="76" s="1"/>
  <c r="H17" i="76"/>
  <c r="J17" i="76"/>
  <c r="L47" i="70"/>
  <c r="F17" i="69" s="1"/>
  <c r="I17" i="69"/>
  <c r="L46" i="70"/>
  <c r="G17" i="77"/>
  <c r="I17" i="77" s="1"/>
  <c r="H17" i="77"/>
  <c r="J17" i="77"/>
  <c r="H17" i="78"/>
  <c r="J17" i="78"/>
  <c r="G17" i="78"/>
  <c r="D17" i="69"/>
  <c r="D44" i="70"/>
  <c r="H46" i="70"/>
  <c r="H44" i="70"/>
  <c r="L38" i="70"/>
  <c r="L41" i="74"/>
  <c r="F18" i="75" s="1"/>
  <c r="F18" i="77"/>
  <c r="F18" i="78"/>
  <c r="D18" i="78"/>
  <c r="D18" i="77"/>
  <c r="E18" i="78"/>
  <c r="D18" i="75"/>
  <c r="C16" i="77"/>
  <c r="G18" i="77"/>
  <c r="C16" i="78"/>
  <c r="G18" i="78"/>
  <c r="J18" i="76"/>
  <c r="H18" i="76"/>
  <c r="J18" i="75"/>
  <c r="H18" i="78"/>
  <c r="J18" i="78"/>
  <c r="J18" i="77"/>
  <c r="H18" i="77"/>
  <c r="C16" i="69"/>
  <c r="F16" i="69" l="1"/>
  <c r="G16" i="69"/>
  <c r="I17" i="78"/>
  <c r="H16" i="76"/>
  <c r="J16" i="76"/>
  <c r="F16" i="76"/>
  <c r="D16" i="76"/>
  <c r="E16" i="76"/>
  <c r="G16" i="76"/>
  <c r="I18" i="78"/>
  <c r="I18" i="77"/>
  <c r="F16" i="78"/>
  <c r="G16" i="78"/>
  <c r="D16" i="78"/>
  <c r="E16" i="78"/>
  <c r="J16" i="78"/>
  <c r="H16" i="78"/>
  <c r="G16" i="75"/>
  <c r="C16" i="75"/>
  <c r="G18" i="75"/>
  <c r="I18" i="75" s="1"/>
  <c r="E16" i="77"/>
  <c r="D16" i="77"/>
  <c r="G16" i="77"/>
  <c r="F16" i="77"/>
  <c r="H16" i="77"/>
  <c r="J16" i="77"/>
  <c r="E11" i="68"/>
  <c r="E8" i="68"/>
  <c r="E7" i="68"/>
  <c r="G12" i="68"/>
  <c r="D12" i="68"/>
  <c r="G10" i="68"/>
  <c r="G9" i="68"/>
  <c r="E18" i="68"/>
  <c r="F18" i="68"/>
  <c r="G13" i="68"/>
  <c r="F11" i="68"/>
  <c r="F10" i="68"/>
  <c r="F9" i="68"/>
  <c r="G18" i="68"/>
  <c r="D13" i="68"/>
  <c r="D10" i="68"/>
  <c r="D9" i="68"/>
  <c r="E19" i="68"/>
  <c r="F13" i="68"/>
  <c r="D18" i="68"/>
  <c r="F12" i="68"/>
  <c r="G19" i="68"/>
  <c r="I16" i="69"/>
  <c r="D16" i="69"/>
  <c r="E16" i="69"/>
  <c r="D19" i="68"/>
  <c r="G8" i="68"/>
  <c r="F8" i="68"/>
  <c r="F19" i="68"/>
  <c r="D11" i="68"/>
  <c r="E10" i="68"/>
  <c r="D7" i="68"/>
  <c r="E13" i="68"/>
  <c r="E12" i="68"/>
  <c r="G11" i="68"/>
  <c r="G7" i="68"/>
  <c r="F7" i="68"/>
  <c r="E9" i="68"/>
  <c r="D8" i="68"/>
  <c r="F38" i="65"/>
  <c r="C16" i="66" s="1"/>
  <c r="E38" i="65"/>
  <c r="F18" i="66" s="1"/>
  <c r="D38" i="65"/>
  <c r="C38" i="65"/>
  <c r="D18" i="66" s="1"/>
  <c r="G19" i="66"/>
  <c r="F19" i="66"/>
  <c r="E19" i="66"/>
  <c r="D19" i="66"/>
  <c r="G18" i="66"/>
  <c r="E18" i="66"/>
  <c r="G14" i="66"/>
  <c r="F14" i="66"/>
  <c r="E14" i="66"/>
  <c r="D14" i="66"/>
  <c r="G13" i="66"/>
  <c r="F13" i="66"/>
  <c r="E13" i="66"/>
  <c r="D13" i="66"/>
  <c r="G12" i="66"/>
  <c r="F12" i="66"/>
  <c r="E12" i="66"/>
  <c r="D12" i="66"/>
  <c r="G11" i="66"/>
  <c r="F11" i="66"/>
  <c r="E11" i="66"/>
  <c r="D11" i="66"/>
  <c r="G10" i="66"/>
  <c r="F10" i="66"/>
  <c r="E10" i="66"/>
  <c r="D10" i="66"/>
  <c r="G9" i="66"/>
  <c r="F9" i="66"/>
  <c r="E9" i="66"/>
  <c r="D9" i="66"/>
  <c r="G8" i="66"/>
  <c r="F8" i="66"/>
  <c r="E8" i="66"/>
  <c r="D8" i="66"/>
  <c r="G7" i="66"/>
  <c r="F7" i="66"/>
  <c r="E7" i="66"/>
  <c r="D7" i="66"/>
  <c r="G19" i="64"/>
  <c r="F19" i="64"/>
  <c r="E19" i="64"/>
  <c r="D19" i="64"/>
  <c r="C16" i="64"/>
  <c r="H13" i="68" l="1"/>
  <c r="J8" i="69"/>
  <c r="J9" i="69"/>
  <c r="K9" i="69" s="1"/>
  <c r="J10" i="69"/>
  <c r="K10" i="69" s="1"/>
  <c r="H16" i="69"/>
  <c r="J7" i="69"/>
  <c r="K7" i="69" s="1"/>
  <c r="J11" i="69"/>
  <c r="K11" i="69" s="1"/>
  <c r="J12" i="69"/>
  <c r="K12" i="69" s="1"/>
  <c r="J13" i="69"/>
  <c r="K13" i="69" s="1"/>
  <c r="J14" i="69"/>
  <c r="H7" i="68"/>
  <c r="H10" i="68"/>
  <c r="H12" i="68"/>
  <c r="H11" i="68"/>
  <c r="F36" i="12"/>
  <c r="H8" i="68"/>
  <c r="L35" i="12"/>
  <c r="K35" i="12"/>
  <c r="H9" i="68"/>
  <c r="K14" i="69"/>
  <c r="K8" i="69"/>
  <c r="K12" i="78"/>
  <c r="L12" i="78" s="1"/>
  <c r="K7" i="78"/>
  <c r="L7" i="78" s="1"/>
  <c r="K14" i="78"/>
  <c r="L14" i="78" s="1"/>
  <c r="K8" i="78"/>
  <c r="L8" i="78" s="1"/>
  <c r="K11" i="78"/>
  <c r="L11" i="78" s="1"/>
  <c r="K13" i="78"/>
  <c r="L13" i="78" s="1"/>
  <c r="K9" i="78"/>
  <c r="L9" i="78" s="1"/>
  <c r="K10" i="78"/>
  <c r="L10" i="78" s="1"/>
  <c r="K13" i="77"/>
  <c r="L13" i="77" s="1"/>
  <c r="K9" i="77"/>
  <c r="L9" i="77" s="1"/>
  <c r="K11" i="77"/>
  <c r="L11" i="77" s="1"/>
  <c r="K8" i="77"/>
  <c r="L8" i="77" s="1"/>
  <c r="K10" i="77"/>
  <c r="L10" i="77" s="1"/>
  <c r="K14" i="77"/>
  <c r="L14" i="77" s="1"/>
  <c r="K12" i="77"/>
  <c r="L12" i="77" s="1"/>
  <c r="K7" i="77"/>
  <c r="L7" i="77" s="1"/>
  <c r="K7" i="75"/>
  <c r="L7" i="75" s="1"/>
  <c r="K13" i="75"/>
  <c r="L13" i="75" s="1"/>
  <c r="K9" i="75"/>
  <c r="L9" i="75" s="1"/>
  <c r="K12" i="75"/>
  <c r="L12" i="75" s="1"/>
  <c r="K11" i="75"/>
  <c r="L11" i="75" s="1"/>
  <c r="K8" i="75"/>
  <c r="L8" i="75" s="1"/>
  <c r="K10" i="75"/>
  <c r="L10" i="75" s="1"/>
  <c r="K14" i="75"/>
  <c r="L14" i="75" s="1"/>
  <c r="I16" i="76"/>
  <c r="K10" i="76"/>
  <c r="L10" i="76" s="1"/>
  <c r="K9" i="76"/>
  <c r="L9" i="76" s="1"/>
  <c r="K12" i="76"/>
  <c r="L12" i="76" s="1"/>
  <c r="K14" i="76"/>
  <c r="L14" i="76" s="1"/>
  <c r="K8" i="76"/>
  <c r="L8" i="76" s="1"/>
  <c r="K11" i="76"/>
  <c r="L11" i="76" s="1"/>
  <c r="K13" i="76"/>
  <c r="L13" i="76" s="1"/>
  <c r="K7" i="76"/>
  <c r="L7" i="76" s="1"/>
  <c r="H18" i="68"/>
  <c r="E17" i="68"/>
  <c r="D14" i="68"/>
  <c r="D17" i="68"/>
  <c r="G17" i="68"/>
  <c r="E14" i="68"/>
  <c r="F14" i="68"/>
  <c r="G14" i="68"/>
  <c r="F17" i="68"/>
  <c r="I16" i="78"/>
  <c r="I16" i="77"/>
  <c r="F16" i="75"/>
  <c r="D16" i="75"/>
  <c r="I16" i="75" s="1"/>
  <c r="E16" i="75"/>
  <c r="H16" i="75"/>
  <c r="J16" i="75"/>
  <c r="C16" i="68"/>
  <c r="E16" i="68" s="1"/>
  <c r="H19" i="68"/>
  <c r="G16" i="66"/>
  <c r="J12" i="66" s="1"/>
  <c r="K12" i="66" s="1"/>
  <c r="J36" i="12"/>
  <c r="L36" i="12"/>
  <c r="K36" i="12"/>
  <c r="F16" i="64"/>
  <c r="E16" i="64"/>
  <c r="G16" i="64"/>
  <c r="D16" i="64"/>
  <c r="I18" i="66"/>
  <c r="H11" i="66"/>
  <c r="I19" i="66"/>
  <c r="H19" i="66"/>
  <c r="H14" i="66"/>
  <c r="F16" i="66"/>
  <c r="H18" i="66"/>
  <c r="I9" i="66"/>
  <c r="I11" i="66"/>
  <c r="H13" i="66"/>
  <c r="I8" i="66"/>
  <c r="I10" i="66"/>
  <c r="I12" i="66"/>
  <c r="I14" i="66"/>
  <c r="I13" i="66"/>
  <c r="H8" i="66"/>
  <c r="H12" i="66"/>
  <c r="H9" i="66"/>
  <c r="H10" i="66"/>
  <c r="D16" i="66"/>
  <c r="E16" i="66"/>
  <c r="F38" i="62"/>
  <c r="G18" i="64" s="1"/>
  <c r="J35" i="12" s="1"/>
  <c r="E38" i="62"/>
  <c r="F18" i="64" s="1"/>
  <c r="D38" i="62"/>
  <c r="E18" i="64" s="1"/>
  <c r="C38" i="62"/>
  <c r="D18" i="64" s="1"/>
  <c r="D8" i="64"/>
  <c r="E8" i="64"/>
  <c r="F8" i="64"/>
  <c r="G8" i="64"/>
  <c r="D9" i="64"/>
  <c r="E9" i="64"/>
  <c r="F9" i="64"/>
  <c r="G9" i="64"/>
  <c r="D10" i="64"/>
  <c r="E10" i="64"/>
  <c r="F10" i="64"/>
  <c r="G10" i="64"/>
  <c r="D11" i="64"/>
  <c r="E11" i="64"/>
  <c r="F11" i="64"/>
  <c r="G11" i="64"/>
  <c r="D12" i="64"/>
  <c r="E12" i="64"/>
  <c r="F12" i="64"/>
  <c r="G12" i="64"/>
  <c r="D13" i="64"/>
  <c r="E13" i="64"/>
  <c r="F13" i="64"/>
  <c r="G13" i="64"/>
  <c r="D14" i="64"/>
  <c r="E14" i="64"/>
  <c r="F14" i="64"/>
  <c r="G14" i="64"/>
  <c r="G7" i="64"/>
  <c r="F7" i="64"/>
  <c r="E7" i="64"/>
  <c r="D7" i="64"/>
  <c r="I19" i="64"/>
  <c r="H19" i="64"/>
  <c r="H36" i="12" l="1"/>
  <c r="F35" i="12"/>
  <c r="H17" i="68"/>
  <c r="H14" i="68"/>
  <c r="F37" i="12"/>
  <c r="J11" i="66"/>
  <c r="K11" i="66" s="1"/>
  <c r="J9" i="66"/>
  <c r="K9" i="66" s="1"/>
  <c r="J13" i="66"/>
  <c r="K13" i="66" s="1"/>
  <c r="J10" i="66"/>
  <c r="K10" i="66" s="1"/>
  <c r="J8" i="66"/>
  <c r="K8" i="66" s="1"/>
  <c r="J14" i="66"/>
  <c r="K14" i="66" s="1"/>
  <c r="J8" i="64"/>
  <c r="K8" i="64" s="1"/>
  <c r="J7" i="64"/>
  <c r="K7" i="64" s="1"/>
  <c r="J9" i="64"/>
  <c r="K9" i="64" s="1"/>
  <c r="J11" i="64"/>
  <c r="K11" i="64" s="1"/>
  <c r="J13" i="64"/>
  <c r="K13" i="64" s="1"/>
  <c r="J12" i="64"/>
  <c r="K12" i="64" s="1"/>
  <c r="J14" i="64"/>
  <c r="K14" i="64" s="1"/>
  <c r="J10" i="64"/>
  <c r="K10" i="64" s="1"/>
  <c r="N36" i="12"/>
  <c r="L37" i="12"/>
  <c r="G16" i="68"/>
  <c r="I9" i="68" s="1"/>
  <c r="J37" i="12"/>
  <c r="I18" i="64"/>
  <c r="F16" i="68"/>
  <c r="D16" i="68"/>
  <c r="K37" i="12"/>
  <c r="H18" i="64"/>
  <c r="N35" i="12" s="1"/>
  <c r="H10" i="64"/>
  <c r="I10" i="64"/>
  <c r="I11" i="64"/>
  <c r="H11" i="64"/>
  <c r="H9" i="64"/>
  <c r="I9" i="64"/>
  <c r="H8" i="64"/>
  <c r="I14" i="64"/>
  <c r="I12" i="64"/>
  <c r="I8" i="64"/>
  <c r="H12" i="64"/>
  <c r="H14" i="64"/>
  <c r="H13" i="64"/>
  <c r="I13" i="64"/>
  <c r="H7" i="64"/>
  <c r="I7" i="64"/>
  <c r="H16" i="64"/>
  <c r="I16" i="64"/>
  <c r="I13" i="68" l="1"/>
  <c r="H35" i="12"/>
  <c r="I11" i="68"/>
  <c r="I12" i="68"/>
  <c r="I7" i="68"/>
  <c r="I10" i="68"/>
  <c r="I8" i="68"/>
  <c r="G37" i="12"/>
  <c r="H37" i="12"/>
  <c r="I14" i="68"/>
  <c r="N37" i="12"/>
  <c r="M37" i="12"/>
  <c r="H16" i="68"/>
  <c r="H7" i="58"/>
  <c r="H8" i="58"/>
  <c r="H20" i="58"/>
  <c r="H9" i="58"/>
  <c r="J9" i="58" l="1"/>
  <c r="C45" i="59"/>
  <c r="O45" i="59"/>
  <c r="F18" i="58"/>
  <c r="F20" i="58"/>
  <c r="J45" i="59"/>
  <c r="J47" i="59"/>
  <c r="J44" i="59"/>
  <c r="C46" i="59"/>
  <c r="G45" i="59"/>
  <c r="G47" i="59"/>
  <c r="G44" i="59"/>
  <c r="F45" i="59"/>
  <c r="F47" i="59"/>
  <c r="F44" i="59"/>
  <c r="O46" i="59"/>
  <c r="C47" i="59"/>
  <c r="C44" i="59"/>
  <c r="D44" i="59" s="1"/>
  <c r="N46" i="59"/>
  <c r="B45" i="59"/>
  <c r="K46" i="59"/>
  <c r="O47" i="59"/>
  <c r="O44" i="59"/>
  <c r="J46" i="59"/>
  <c r="N45" i="59"/>
  <c r="N47" i="59"/>
  <c r="N44" i="59"/>
  <c r="G46" i="59"/>
  <c r="J18" i="58"/>
  <c r="H18" i="58"/>
  <c r="K45" i="59"/>
  <c r="K47" i="59"/>
  <c r="K44" i="59"/>
  <c r="F46" i="59"/>
  <c r="B46" i="59"/>
  <c r="B47" i="59"/>
  <c r="D8" i="58"/>
  <c r="J20" i="58"/>
  <c r="J7" i="58"/>
  <c r="G14" i="58"/>
  <c r="G13" i="58"/>
  <c r="G12" i="58"/>
  <c r="D7" i="58"/>
  <c r="E18" i="58"/>
  <c r="E19" i="58"/>
  <c r="E14" i="58"/>
  <c r="E13" i="58"/>
  <c r="F10" i="58"/>
  <c r="G9" i="58"/>
  <c r="D20" i="58"/>
  <c r="E8" i="58"/>
  <c r="D19" i="58"/>
  <c r="D14" i="58"/>
  <c r="E9" i="58"/>
  <c r="D11" i="58"/>
  <c r="H13" i="58"/>
  <c r="F11" i="58"/>
  <c r="G10" i="58"/>
  <c r="G8" i="58"/>
  <c r="J8" i="58"/>
  <c r="F19" i="58"/>
  <c r="G20" i="58"/>
  <c r="D13" i="58"/>
  <c r="H12" i="58"/>
  <c r="D18" i="58"/>
  <c r="F12" i="58"/>
  <c r="J11" i="58"/>
  <c r="D9" i="58"/>
  <c r="J12" i="58"/>
  <c r="E20" i="58"/>
  <c r="G11" i="58"/>
  <c r="E7" i="58"/>
  <c r="H10" i="58"/>
  <c r="G18" i="58"/>
  <c r="F14" i="58"/>
  <c r="F9" i="58"/>
  <c r="J13" i="58"/>
  <c r="J10" i="58"/>
  <c r="H14" i="58"/>
  <c r="E12" i="58"/>
  <c r="E10" i="58"/>
  <c r="F8" i="58"/>
  <c r="G7" i="58"/>
  <c r="H11" i="58"/>
  <c r="J14" i="58"/>
  <c r="G19" i="58"/>
  <c r="F13" i="58"/>
  <c r="D12" i="58"/>
  <c r="E11" i="58"/>
  <c r="D10" i="58"/>
  <c r="F7" i="58"/>
  <c r="H19" i="58"/>
  <c r="J19" i="58"/>
  <c r="I19" i="58" l="1"/>
  <c r="P46" i="59"/>
  <c r="I9" i="58"/>
  <c r="L44" i="59"/>
  <c r="H44" i="59"/>
  <c r="L47" i="59"/>
  <c r="F17" i="58" s="1"/>
  <c r="H47" i="59"/>
  <c r="E17" i="58" s="1"/>
  <c r="P45" i="59"/>
  <c r="L45" i="59"/>
  <c r="H45" i="59"/>
  <c r="D47" i="59"/>
  <c r="D17" i="58" s="1"/>
  <c r="D46" i="59"/>
  <c r="D45" i="59"/>
  <c r="H46" i="59"/>
  <c r="P44" i="59"/>
  <c r="P47" i="59"/>
  <c r="L46" i="59"/>
  <c r="I18" i="58"/>
  <c r="H17" i="58"/>
  <c r="J17" i="58"/>
  <c r="C10" i="119"/>
  <c r="I8" i="58"/>
  <c r="I10" i="58"/>
  <c r="I14" i="58"/>
  <c r="I13" i="58"/>
  <c r="I12" i="58"/>
  <c r="I11" i="58"/>
  <c r="F41" i="12"/>
  <c r="C16" i="58"/>
  <c r="I7" i="58"/>
  <c r="I20" i="58"/>
  <c r="H41" i="12" l="1"/>
  <c r="E10" i="119"/>
  <c r="G17" i="58"/>
  <c r="I17" i="58" s="1"/>
  <c r="F10" i="119"/>
  <c r="G10" i="119"/>
  <c r="J16" i="58"/>
  <c r="D16" i="58"/>
  <c r="E16" i="58"/>
  <c r="F16" i="58"/>
  <c r="K41" i="12"/>
  <c r="G41" i="12" s="1"/>
  <c r="G16" i="58"/>
  <c r="H16" i="58"/>
  <c r="L41" i="12"/>
  <c r="N41" i="12" s="1"/>
  <c r="J41" i="12"/>
  <c r="D10" i="119" l="1"/>
  <c r="H10" i="119" s="1"/>
  <c r="I10" i="119" s="1"/>
  <c r="K12" i="58"/>
  <c r="L12" i="58" s="1"/>
  <c r="K14" i="58"/>
  <c r="L14" i="58" s="1"/>
  <c r="K10" i="58"/>
  <c r="L10" i="58" s="1"/>
  <c r="K8" i="58"/>
  <c r="L8" i="58" s="1"/>
  <c r="K11" i="58"/>
  <c r="L11" i="58" s="1"/>
  <c r="K7" i="58"/>
  <c r="L7" i="58" s="1"/>
  <c r="K13" i="58"/>
  <c r="L13" i="58" s="1"/>
  <c r="K9" i="58"/>
  <c r="L9" i="58" s="1"/>
  <c r="M41" i="12"/>
  <c r="I16" i="58"/>
  <c r="G20" i="57"/>
  <c r="F20" i="57"/>
  <c r="E20" i="57"/>
  <c r="D20" i="57"/>
  <c r="G19" i="57"/>
  <c r="F19" i="57"/>
  <c r="E19" i="57"/>
  <c r="D19" i="57"/>
  <c r="G18" i="57"/>
  <c r="F18" i="57"/>
  <c r="E18" i="57"/>
  <c r="D18" i="57"/>
  <c r="C16" i="57"/>
  <c r="G14" i="57"/>
  <c r="F14" i="57"/>
  <c r="E14" i="57"/>
  <c r="D14" i="57"/>
  <c r="G13" i="57"/>
  <c r="F13" i="57"/>
  <c r="E13" i="57"/>
  <c r="D13" i="57"/>
  <c r="E12" i="57"/>
  <c r="D12" i="57"/>
  <c r="G11" i="57"/>
  <c r="F11" i="57"/>
  <c r="E11" i="57"/>
  <c r="D11" i="57"/>
  <c r="G10" i="57"/>
  <c r="F10" i="57"/>
  <c r="E10" i="57"/>
  <c r="D10" i="57"/>
  <c r="G9" i="57"/>
  <c r="F9" i="57"/>
  <c r="E9" i="57"/>
  <c r="D9" i="57"/>
  <c r="G8" i="57"/>
  <c r="F8" i="57"/>
  <c r="E8" i="57"/>
  <c r="D8" i="57"/>
  <c r="G7" i="57"/>
  <c r="F7" i="57"/>
  <c r="E7" i="57"/>
  <c r="D7" i="57"/>
  <c r="I7" i="57" l="1"/>
  <c r="H7" i="57"/>
  <c r="H20" i="57"/>
  <c r="I9" i="57"/>
  <c r="H11" i="57"/>
  <c r="I8" i="57"/>
  <c r="I13" i="57"/>
  <c r="H9" i="57"/>
  <c r="H18" i="57"/>
  <c r="I20" i="57"/>
  <c r="I12" i="57"/>
  <c r="H13" i="57"/>
  <c r="G16" i="57"/>
  <c r="L24" i="12"/>
  <c r="K24" i="12"/>
  <c r="J24" i="12"/>
  <c r="I11" i="57"/>
  <c r="I19" i="57"/>
  <c r="H8" i="57"/>
  <c r="I10" i="57"/>
  <c r="H12" i="57"/>
  <c r="I14" i="57"/>
  <c r="D16" i="57"/>
  <c r="I18" i="57"/>
  <c r="H10" i="57"/>
  <c r="H14" i="57"/>
  <c r="E16" i="57"/>
  <c r="F16" i="57"/>
  <c r="H19" i="57"/>
  <c r="J11" i="57" l="1"/>
  <c r="K11" i="57" s="1"/>
  <c r="J7" i="57"/>
  <c r="K7" i="57" s="1"/>
  <c r="H24" i="12"/>
  <c r="J8" i="57"/>
  <c r="K8" i="57" s="1"/>
  <c r="J14" i="57"/>
  <c r="K14" i="57" s="1"/>
  <c r="J12" i="57"/>
  <c r="K12" i="57" s="1"/>
  <c r="J10" i="57"/>
  <c r="K10" i="57" s="1"/>
  <c r="J9" i="57"/>
  <c r="K9" i="57" s="1"/>
  <c r="J13" i="57"/>
  <c r="K13" i="57" s="1"/>
  <c r="F24" i="12"/>
  <c r="G24" i="12" s="1"/>
  <c r="N24" i="12"/>
  <c r="M24" i="12"/>
  <c r="H16" i="57"/>
  <c r="I16" i="57"/>
  <c r="J20" i="55"/>
  <c r="H20" i="55"/>
  <c r="G20" i="55"/>
  <c r="L32" i="12" s="1"/>
  <c r="N32" i="12" s="1"/>
  <c r="E20" i="55"/>
  <c r="D20" i="55"/>
  <c r="J14" i="55"/>
  <c r="H14" i="55"/>
  <c r="G14" i="55"/>
  <c r="E14" i="55"/>
  <c r="D14" i="55"/>
  <c r="J13" i="55"/>
  <c r="H13" i="55"/>
  <c r="G13" i="55"/>
  <c r="E13" i="55"/>
  <c r="D13" i="55"/>
  <c r="J12" i="55"/>
  <c r="H12" i="55"/>
  <c r="G12" i="55"/>
  <c r="E12" i="55"/>
  <c r="D12" i="55"/>
  <c r="J11" i="55"/>
  <c r="H11" i="55"/>
  <c r="G11" i="55"/>
  <c r="E11" i="55"/>
  <c r="D11" i="55"/>
  <c r="J10" i="55"/>
  <c r="H10" i="55"/>
  <c r="G10" i="55"/>
  <c r="E10" i="55"/>
  <c r="D10" i="55"/>
  <c r="J9" i="55"/>
  <c r="H9" i="55"/>
  <c r="G9" i="55"/>
  <c r="E9" i="55"/>
  <c r="D9" i="55"/>
  <c r="J8" i="55"/>
  <c r="H8" i="55"/>
  <c r="G8" i="55"/>
  <c r="E8" i="55"/>
  <c r="D8" i="55"/>
  <c r="H7" i="55"/>
  <c r="G7" i="55"/>
  <c r="E7" i="55"/>
  <c r="D7" i="55"/>
  <c r="I7" i="55" l="1"/>
  <c r="F32" i="12"/>
  <c r="F18" i="119"/>
  <c r="F16" i="55"/>
  <c r="C18" i="119"/>
  <c r="G18" i="119"/>
  <c r="I14" i="55"/>
  <c r="I13" i="55"/>
  <c r="I11" i="55"/>
  <c r="I20" i="55"/>
  <c r="I10" i="55"/>
  <c r="I9" i="55"/>
  <c r="I12" i="55"/>
  <c r="I8" i="55"/>
  <c r="G16" i="55"/>
  <c r="K7" i="55" s="1"/>
  <c r="L7" i="55" s="1"/>
  <c r="H16" i="55"/>
  <c r="E16" i="55"/>
  <c r="J16" i="55"/>
  <c r="D16" i="55"/>
  <c r="D18" i="119" l="1"/>
  <c r="H18" i="119" s="1"/>
  <c r="I18" i="119" s="1"/>
  <c r="G32" i="12"/>
  <c r="K9" i="55"/>
  <c r="L9" i="55" s="1"/>
  <c r="K10" i="55"/>
  <c r="L10" i="55" s="1"/>
  <c r="K13" i="55"/>
  <c r="L13" i="55" s="1"/>
  <c r="K8" i="55"/>
  <c r="L8" i="55" s="1"/>
  <c r="K11" i="55"/>
  <c r="L11" i="55" s="1"/>
  <c r="K12" i="55"/>
  <c r="L12" i="55" s="1"/>
  <c r="K14" i="55"/>
  <c r="L14" i="55" s="1"/>
  <c r="M32" i="12"/>
  <c r="I16" i="55"/>
  <c r="J18" i="52"/>
  <c r="H18" i="52"/>
  <c r="G18" i="52"/>
  <c r="E18" i="52"/>
  <c r="C16" i="52"/>
  <c r="J14" i="52"/>
  <c r="H14" i="52"/>
  <c r="G14" i="52"/>
  <c r="E14" i="52"/>
  <c r="D14" i="52"/>
  <c r="J13" i="52"/>
  <c r="H13" i="52"/>
  <c r="G13" i="52"/>
  <c r="E13" i="52"/>
  <c r="D13" i="52"/>
  <c r="J12" i="52"/>
  <c r="H12" i="52"/>
  <c r="G12" i="52"/>
  <c r="E12" i="52"/>
  <c r="D12" i="52"/>
  <c r="J11" i="52"/>
  <c r="H11" i="52"/>
  <c r="G11" i="52"/>
  <c r="E11" i="52"/>
  <c r="D11" i="52"/>
  <c r="J10" i="52"/>
  <c r="H10" i="52"/>
  <c r="G10" i="52"/>
  <c r="E10" i="52"/>
  <c r="D10" i="52"/>
  <c r="J9" i="52"/>
  <c r="H9" i="52"/>
  <c r="G9" i="52"/>
  <c r="E9" i="52"/>
  <c r="D9" i="52"/>
  <c r="J8" i="52"/>
  <c r="H8" i="52"/>
  <c r="G8" i="52"/>
  <c r="E8" i="52"/>
  <c r="D8" i="52"/>
  <c r="J7" i="52"/>
  <c r="H7" i="52"/>
  <c r="G7" i="52"/>
  <c r="E7" i="52"/>
  <c r="D7" i="52"/>
  <c r="G9" i="46"/>
  <c r="G20" i="50"/>
  <c r="L31" i="12" s="1"/>
  <c r="N31" i="12" s="1"/>
  <c r="E20" i="50"/>
  <c r="D20" i="50"/>
  <c r="G14" i="50"/>
  <c r="E14" i="50"/>
  <c r="D14" i="50"/>
  <c r="G13" i="50"/>
  <c r="E13" i="50"/>
  <c r="D13" i="50"/>
  <c r="G12" i="50"/>
  <c r="E12" i="50"/>
  <c r="D12" i="50"/>
  <c r="G11" i="50"/>
  <c r="E11" i="50"/>
  <c r="D11" i="50"/>
  <c r="G10" i="50"/>
  <c r="E10" i="50"/>
  <c r="D10" i="50"/>
  <c r="G9" i="50"/>
  <c r="E9" i="50"/>
  <c r="D9" i="50"/>
  <c r="H8" i="50"/>
  <c r="G8" i="50"/>
  <c r="E8" i="50"/>
  <c r="D8" i="50"/>
  <c r="G7" i="50"/>
  <c r="E7" i="50"/>
  <c r="D7" i="50"/>
  <c r="J7" i="50"/>
  <c r="J11" i="50"/>
  <c r="H20" i="50"/>
  <c r="F30" i="12" l="1"/>
  <c r="F31" i="12"/>
  <c r="I7" i="50"/>
  <c r="L30" i="12"/>
  <c r="N30" i="12" s="1"/>
  <c r="K30" i="12"/>
  <c r="J30" i="12"/>
  <c r="F17" i="119"/>
  <c r="F16" i="50"/>
  <c r="F16" i="119"/>
  <c r="F16" i="52"/>
  <c r="C17" i="119"/>
  <c r="C16" i="119"/>
  <c r="G17" i="119"/>
  <c r="G16" i="119"/>
  <c r="I14" i="50"/>
  <c r="I11" i="50"/>
  <c r="H16" i="52"/>
  <c r="I7" i="52"/>
  <c r="G16" i="52"/>
  <c r="J16" i="52"/>
  <c r="I8" i="50"/>
  <c r="I13" i="50"/>
  <c r="I8" i="52"/>
  <c r="I10" i="50"/>
  <c r="I20" i="50"/>
  <c r="D16" i="52"/>
  <c r="E16" i="52"/>
  <c r="I9" i="52"/>
  <c r="I10" i="52"/>
  <c r="I11" i="52"/>
  <c r="I12" i="52"/>
  <c r="I13" i="52"/>
  <c r="I14" i="52"/>
  <c r="I9" i="50"/>
  <c r="I12" i="50"/>
  <c r="J14" i="50"/>
  <c r="J20" i="50"/>
  <c r="J12" i="50"/>
  <c r="J8" i="50"/>
  <c r="J10" i="50"/>
  <c r="H12" i="50"/>
  <c r="J13" i="50"/>
  <c r="J9" i="50"/>
  <c r="H9" i="50"/>
  <c r="H13" i="50"/>
  <c r="J16" i="50"/>
  <c r="H7" i="50"/>
  <c r="H11" i="50"/>
  <c r="G16" i="50"/>
  <c r="H10" i="50"/>
  <c r="H14" i="50"/>
  <c r="H16" i="50"/>
  <c r="D16" i="50"/>
  <c r="E16" i="50"/>
  <c r="G30" i="12" l="1"/>
  <c r="D17" i="119"/>
  <c r="H17" i="119" s="1"/>
  <c r="I17" i="119" s="1"/>
  <c r="D16" i="119"/>
  <c r="H16" i="119" s="1"/>
  <c r="I16" i="119" s="1"/>
  <c r="K7" i="52"/>
  <c r="L7" i="52" s="1"/>
  <c r="K8" i="52"/>
  <c r="L8" i="52" s="1"/>
  <c r="G31" i="12"/>
  <c r="K14" i="50"/>
  <c r="L14" i="50" s="1"/>
  <c r="K11" i="50"/>
  <c r="L11" i="50" s="1"/>
  <c r="K13" i="50"/>
  <c r="L13" i="50" s="1"/>
  <c r="K8" i="50"/>
  <c r="L8" i="50" s="1"/>
  <c r="K10" i="50"/>
  <c r="L10" i="50" s="1"/>
  <c r="K12" i="50"/>
  <c r="L12" i="50" s="1"/>
  <c r="K9" i="50"/>
  <c r="L9" i="50" s="1"/>
  <c r="K7" i="50"/>
  <c r="L7" i="50" s="1"/>
  <c r="K9" i="52"/>
  <c r="L9" i="52" s="1"/>
  <c r="K14" i="52"/>
  <c r="L14" i="52" s="1"/>
  <c r="K10" i="52"/>
  <c r="L10" i="52" s="1"/>
  <c r="K13" i="52"/>
  <c r="L13" i="52" s="1"/>
  <c r="K11" i="52"/>
  <c r="L11" i="52" s="1"/>
  <c r="K12" i="52"/>
  <c r="L12" i="52" s="1"/>
  <c r="M30" i="12"/>
  <c r="M31" i="12"/>
  <c r="I16" i="52"/>
  <c r="I16" i="50"/>
  <c r="J19" i="46" l="1"/>
  <c r="H19" i="46"/>
  <c r="G19" i="46"/>
  <c r="F19" i="46"/>
  <c r="E19" i="46"/>
  <c r="D19" i="46"/>
  <c r="J14" i="46"/>
  <c r="H14" i="46"/>
  <c r="G14" i="46"/>
  <c r="F14" i="46"/>
  <c r="E14" i="46"/>
  <c r="D14" i="46"/>
  <c r="E13" i="46"/>
  <c r="D13" i="46"/>
  <c r="I13" i="46" s="1"/>
  <c r="J12" i="46"/>
  <c r="H12" i="46"/>
  <c r="G12" i="46"/>
  <c r="F12" i="46"/>
  <c r="E12" i="46"/>
  <c r="D12" i="46"/>
  <c r="J11" i="46"/>
  <c r="H11" i="46"/>
  <c r="G11" i="46"/>
  <c r="F11" i="46"/>
  <c r="E11" i="46"/>
  <c r="D11" i="46"/>
  <c r="J10" i="46"/>
  <c r="H10" i="46"/>
  <c r="G10" i="46"/>
  <c r="F10" i="46"/>
  <c r="E10" i="46"/>
  <c r="D10" i="46"/>
  <c r="J9" i="46"/>
  <c r="H9" i="46"/>
  <c r="F9" i="46"/>
  <c r="E9" i="46"/>
  <c r="D9" i="46"/>
  <c r="I9" i="46" s="1"/>
  <c r="J8" i="46"/>
  <c r="H8" i="46"/>
  <c r="G8" i="46"/>
  <c r="F8" i="46"/>
  <c r="E8" i="46"/>
  <c r="D8" i="46"/>
  <c r="J7" i="46"/>
  <c r="H7" i="46"/>
  <c r="G7" i="46"/>
  <c r="F7" i="46"/>
  <c r="E7" i="46"/>
  <c r="D7" i="46"/>
  <c r="F46" i="44"/>
  <c r="O43" i="44"/>
  <c r="P43" i="44" s="1"/>
  <c r="O44" i="44"/>
  <c r="P44" i="44" s="1"/>
  <c r="G17" i="46" s="1"/>
  <c r="G43" i="44"/>
  <c r="H43" i="44" s="1"/>
  <c r="G45" i="44"/>
  <c r="H45" i="44" s="1"/>
  <c r="G42" i="44"/>
  <c r="H42" i="44" s="1"/>
  <c r="N46" i="44"/>
  <c r="J46" i="44"/>
  <c r="B46" i="44"/>
  <c r="C42" i="44"/>
  <c r="D42" i="44" s="1"/>
  <c r="C44" i="44" l="1"/>
  <c r="D44" i="44" s="1"/>
  <c r="D17" i="46" s="1"/>
  <c r="I17" i="46" s="1"/>
  <c r="K43" i="44"/>
  <c r="L43" i="44" s="1"/>
  <c r="O42" i="44"/>
  <c r="P42" i="44" s="1"/>
  <c r="O45" i="44"/>
  <c r="P45" i="44" s="1"/>
  <c r="F25" i="12"/>
  <c r="K44" i="44"/>
  <c r="L44" i="44" s="1"/>
  <c r="F17" i="46" s="1"/>
  <c r="C43" i="44"/>
  <c r="D43" i="44" s="1"/>
  <c r="K42" i="44"/>
  <c r="L42" i="44" s="1"/>
  <c r="C45" i="44"/>
  <c r="D45" i="44" s="1"/>
  <c r="G44" i="44"/>
  <c r="H44" i="44" s="1"/>
  <c r="E17" i="46" s="1"/>
  <c r="K45" i="44"/>
  <c r="L45" i="44" s="1"/>
  <c r="J18" i="46"/>
  <c r="K46" i="44"/>
  <c r="L46" i="44" s="1"/>
  <c r="F18" i="46" s="1"/>
  <c r="G46" i="44"/>
  <c r="H46" i="44" s="1"/>
  <c r="E18" i="46" s="1"/>
  <c r="C46" i="44"/>
  <c r="D46" i="44" s="1"/>
  <c r="D18" i="46" s="1"/>
  <c r="I11" i="46"/>
  <c r="I19" i="46"/>
  <c r="O46" i="44"/>
  <c r="P46" i="44" s="1"/>
  <c r="G18" i="46" s="1"/>
  <c r="I12" i="46"/>
  <c r="H18" i="46"/>
  <c r="L25" i="12"/>
  <c r="N25" i="12" s="1"/>
  <c r="K25" i="12"/>
  <c r="D16" i="46"/>
  <c r="I10" i="46"/>
  <c r="I14" i="46"/>
  <c r="I8" i="46"/>
  <c r="I7" i="46"/>
  <c r="E16" i="46"/>
  <c r="F16" i="46"/>
  <c r="G16" i="46"/>
  <c r="K13" i="46" s="1"/>
  <c r="L13" i="46" s="1"/>
  <c r="H16" i="46"/>
  <c r="K8" i="46" l="1"/>
  <c r="L8" i="46" s="1"/>
  <c r="K14" i="46"/>
  <c r="L14" i="46" s="1"/>
  <c r="K10" i="46"/>
  <c r="L10" i="46" s="1"/>
  <c r="K7" i="46"/>
  <c r="L7" i="46" s="1"/>
  <c r="K12" i="46"/>
  <c r="L12" i="46" s="1"/>
  <c r="K11" i="46"/>
  <c r="L11" i="46" s="1"/>
  <c r="K9" i="46"/>
  <c r="L9" i="46" s="1"/>
  <c r="G25" i="12"/>
  <c r="I18" i="46"/>
  <c r="J25" i="12"/>
  <c r="M25" i="12" s="1"/>
  <c r="H20" i="43" l="1"/>
  <c r="G20" i="43"/>
  <c r="F20" i="43"/>
  <c r="E20" i="43"/>
  <c r="D20" i="43"/>
  <c r="H19" i="43"/>
  <c r="G19" i="43"/>
  <c r="F19" i="43"/>
  <c r="E19" i="43"/>
  <c r="D19" i="43"/>
  <c r="H18" i="43"/>
  <c r="G18" i="43"/>
  <c r="F18" i="43"/>
  <c r="E18" i="43"/>
  <c r="D18" i="43"/>
  <c r="G16" i="43"/>
  <c r="C16" i="43"/>
  <c r="H14" i="43"/>
  <c r="G14" i="43"/>
  <c r="F14" i="43"/>
  <c r="E14" i="43"/>
  <c r="D14" i="43"/>
  <c r="H13" i="43"/>
  <c r="G13" i="43"/>
  <c r="K13" i="43" s="1"/>
  <c r="F13" i="43"/>
  <c r="E13" i="43"/>
  <c r="D13" i="43"/>
  <c r="H12" i="43"/>
  <c r="G12" i="43"/>
  <c r="F12" i="43"/>
  <c r="E12" i="43"/>
  <c r="D12" i="43"/>
  <c r="H11" i="43"/>
  <c r="G11" i="43"/>
  <c r="F11" i="43"/>
  <c r="E11" i="43"/>
  <c r="D11" i="43"/>
  <c r="H10" i="43"/>
  <c r="G10" i="43"/>
  <c r="F10" i="43"/>
  <c r="E10" i="43"/>
  <c r="D10" i="43"/>
  <c r="H9" i="43"/>
  <c r="G9" i="43"/>
  <c r="F9" i="43"/>
  <c r="E9" i="43"/>
  <c r="D9" i="43"/>
  <c r="H8" i="43"/>
  <c r="G8" i="43"/>
  <c r="F8" i="43"/>
  <c r="E8" i="43"/>
  <c r="D8" i="43"/>
  <c r="H7" i="43"/>
  <c r="G7" i="43"/>
  <c r="F7" i="43"/>
  <c r="E7" i="43"/>
  <c r="D7" i="43"/>
  <c r="K8" i="43" l="1"/>
  <c r="L8" i="43" s="1"/>
  <c r="K11" i="43"/>
  <c r="L11" i="43" s="1"/>
  <c r="K10" i="43"/>
  <c r="L10" i="43" s="1"/>
  <c r="K7" i="43"/>
  <c r="L7" i="43" s="1"/>
  <c r="K12" i="43"/>
  <c r="L12" i="43" s="1"/>
  <c r="K9" i="43"/>
  <c r="L9" i="43" s="1"/>
  <c r="K14" i="43"/>
  <c r="L14" i="43" s="1"/>
  <c r="L13" i="43"/>
  <c r="F26" i="12"/>
  <c r="J26" i="12"/>
  <c r="K26" i="12"/>
  <c r="L26" i="12"/>
  <c r="D16" i="43"/>
  <c r="E16" i="43"/>
  <c r="F16" i="43"/>
  <c r="H16" i="43"/>
  <c r="G26" i="12" l="1"/>
  <c r="M26" i="12"/>
  <c r="D7" i="41"/>
  <c r="E7" i="41"/>
  <c r="F7" i="41"/>
  <c r="G7" i="41"/>
  <c r="D8" i="41"/>
  <c r="E8" i="41"/>
  <c r="F8" i="41"/>
  <c r="G8" i="41"/>
  <c r="D9" i="41"/>
  <c r="E9" i="41"/>
  <c r="F9" i="41"/>
  <c r="G9" i="41"/>
  <c r="D10" i="41"/>
  <c r="E10" i="41"/>
  <c r="F10" i="41"/>
  <c r="G10" i="41"/>
  <c r="D11" i="41"/>
  <c r="E11" i="41"/>
  <c r="F11" i="41"/>
  <c r="G11" i="41"/>
  <c r="D12" i="41"/>
  <c r="E12" i="41"/>
  <c r="F12" i="41"/>
  <c r="G12" i="41"/>
  <c r="D13" i="41"/>
  <c r="E13" i="41"/>
  <c r="F13" i="41"/>
  <c r="G13" i="41"/>
  <c r="D14" i="41"/>
  <c r="E14" i="41"/>
  <c r="F14" i="41"/>
  <c r="G14" i="41"/>
  <c r="D19" i="41"/>
  <c r="E19" i="41"/>
  <c r="F19" i="41"/>
  <c r="G19" i="41"/>
  <c r="D20" i="41"/>
  <c r="E20" i="41"/>
  <c r="F20" i="41"/>
  <c r="G20" i="41"/>
  <c r="D18" i="41"/>
  <c r="E18" i="41"/>
  <c r="F18" i="41"/>
  <c r="G18" i="41"/>
  <c r="F22" i="12" l="1"/>
  <c r="H18" i="41"/>
  <c r="H20" i="41"/>
  <c r="H19" i="41"/>
  <c r="H7" i="41"/>
  <c r="K22" i="12"/>
  <c r="J22" i="12"/>
  <c r="H10" i="41"/>
  <c r="H12" i="41"/>
  <c r="H14" i="41"/>
  <c r="H9" i="41"/>
  <c r="H13" i="41"/>
  <c r="H8" i="41"/>
  <c r="H11" i="41"/>
  <c r="H22" i="12" l="1"/>
  <c r="G7" i="37"/>
  <c r="L22" i="12"/>
  <c r="I20" i="37"/>
  <c r="E7" i="37"/>
  <c r="H19" i="37"/>
  <c r="I19" i="37"/>
  <c r="H20" i="37"/>
  <c r="F7" i="37"/>
  <c r="C16" i="34"/>
  <c r="H16" i="34" s="1"/>
  <c r="J20" i="34"/>
  <c r="H20" i="34"/>
  <c r="G20" i="34"/>
  <c r="F20" i="34"/>
  <c r="E20" i="34"/>
  <c r="D20" i="34"/>
  <c r="J19" i="34"/>
  <c r="H19" i="34"/>
  <c r="G19" i="34"/>
  <c r="F19" i="34"/>
  <c r="E19" i="34"/>
  <c r="D19" i="34"/>
  <c r="J18" i="34"/>
  <c r="H18" i="34"/>
  <c r="G18" i="34"/>
  <c r="F18" i="34"/>
  <c r="E18" i="34"/>
  <c r="D18" i="34"/>
  <c r="J14" i="34"/>
  <c r="H14" i="34"/>
  <c r="G14" i="34"/>
  <c r="F14" i="34"/>
  <c r="E14" i="34"/>
  <c r="D14" i="34"/>
  <c r="J13" i="34"/>
  <c r="H13" i="34"/>
  <c r="G13" i="34"/>
  <c r="F13" i="34"/>
  <c r="E13" i="34"/>
  <c r="D13" i="34"/>
  <c r="J12" i="34"/>
  <c r="H12" i="34"/>
  <c r="G12" i="34"/>
  <c r="F12" i="34"/>
  <c r="E12" i="34"/>
  <c r="D12" i="34"/>
  <c r="J11" i="34"/>
  <c r="H11" i="34"/>
  <c r="G11" i="34"/>
  <c r="F11" i="34"/>
  <c r="E11" i="34"/>
  <c r="D11" i="34"/>
  <c r="J10" i="34"/>
  <c r="H10" i="34"/>
  <c r="G10" i="34"/>
  <c r="F10" i="34"/>
  <c r="E10" i="34"/>
  <c r="D10" i="34"/>
  <c r="J9" i="34"/>
  <c r="H9" i="34"/>
  <c r="G9" i="34"/>
  <c r="F9" i="34"/>
  <c r="E9" i="34"/>
  <c r="D9" i="34"/>
  <c r="J8" i="34"/>
  <c r="H8" i="34"/>
  <c r="G8" i="34"/>
  <c r="F8" i="34"/>
  <c r="E8" i="34"/>
  <c r="D8" i="34"/>
  <c r="J7" i="34"/>
  <c r="H7" i="34"/>
  <c r="G7" i="34"/>
  <c r="F7" i="34"/>
  <c r="E7" i="34"/>
  <c r="D7" i="34"/>
  <c r="I7" i="37" l="1"/>
  <c r="F17" i="37"/>
  <c r="D17" i="34"/>
  <c r="I17" i="34" s="1"/>
  <c r="D17" i="37"/>
  <c r="G17" i="37"/>
  <c r="E17" i="37"/>
  <c r="F16" i="12"/>
  <c r="J16" i="34"/>
  <c r="D16" i="34"/>
  <c r="E16" i="34"/>
  <c r="F16" i="34"/>
  <c r="G16" i="34"/>
  <c r="K12" i="34" s="1"/>
  <c r="L12" i="34" s="1"/>
  <c r="F17" i="12"/>
  <c r="F9" i="12"/>
  <c r="N22" i="12"/>
  <c r="G18" i="37"/>
  <c r="H7" i="37"/>
  <c r="C16" i="37"/>
  <c r="J9" i="12"/>
  <c r="L9" i="12"/>
  <c r="N9" i="12" s="1"/>
  <c r="K9" i="12"/>
  <c r="F18" i="37"/>
  <c r="E18" i="37"/>
  <c r="D18" i="37"/>
  <c r="I12" i="34"/>
  <c r="I18" i="34"/>
  <c r="I14" i="34"/>
  <c r="I13" i="34"/>
  <c r="I20" i="34"/>
  <c r="I19" i="34"/>
  <c r="I9" i="34"/>
  <c r="H9" i="12" s="1"/>
  <c r="I7" i="34"/>
  <c r="I8" i="34"/>
  <c r="I11" i="34"/>
  <c r="I10" i="34"/>
  <c r="C16" i="32"/>
  <c r="G20" i="32"/>
  <c r="F20" i="32"/>
  <c r="E20" i="32"/>
  <c r="D20" i="32"/>
  <c r="G19" i="32"/>
  <c r="F19" i="32"/>
  <c r="E19" i="32"/>
  <c r="D19" i="32"/>
  <c r="G18" i="32"/>
  <c r="F18" i="32"/>
  <c r="E18" i="32"/>
  <c r="D18" i="32"/>
  <c r="K10" i="34" l="1"/>
  <c r="L10" i="34" s="1"/>
  <c r="K13" i="34"/>
  <c r="L13" i="34" s="1"/>
  <c r="G9" i="12"/>
  <c r="G16" i="37"/>
  <c r="F16" i="37"/>
  <c r="E16" i="37"/>
  <c r="D16" i="37"/>
  <c r="H17" i="37"/>
  <c r="I17" i="37"/>
  <c r="K14" i="34"/>
  <c r="L14" i="34" s="1"/>
  <c r="K8" i="34"/>
  <c r="L8" i="34" s="1"/>
  <c r="K7" i="34"/>
  <c r="L7" i="34" s="1"/>
  <c r="K9" i="34"/>
  <c r="L9" i="34" s="1"/>
  <c r="K11" i="34"/>
  <c r="L11" i="34" s="1"/>
  <c r="I16" i="34"/>
  <c r="G13" i="119"/>
  <c r="F13" i="119"/>
  <c r="M9" i="12"/>
  <c r="J17" i="12"/>
  <c r="K17" i="12"/>
  <c r="G17" i="12" s="1"/>
  <c r="L17" i="12"/>
  <c r="N17" i="12" s="1"/>
  <c r="K16" i="12"/>
  <c r="G16" i="12" s="1"/>
  <c r="J16" i="12"/>
  <c r="L16" i="12"/>
  <c r="N16" i="12" s="1"/>
  <c r="I18" i="37"/>
  <c r="H18" i="37"/>
  <c r="H14" i="32"/>
  <c r="H10" i="32"/>
  <c r="H8" i="32"/>
  <c r="I8" i="32"/>
  <c r="I20" i="32"/>
  <c r="H18" i="32"/>
  <c r="G16" i="32"/>
  <c r="D13" i="119" s="1"/>
  <c r="L40" i="12"/>
  <c r="J40" i="12"/>
  <c r="K40" i="12"/>
  <c r="I14" i="32"/>
  <c r="I19" i="32"/>
  <c r="D16" i="32"/>
  <c r="E16" i="32"/>
  <c r="F16" i="32"/>
  <c r="I13" i="32"/>
  <c r="H11" i="32"/>
  <c r="I9" i="32"/>
  <c r="I12" i="32"/>
  <c r="I10" i="32"/>
  <c r="H20" i="32"/>
  <c r="I18" i="32"/>
  <c r="I11" i="32"/>
  <c r="H12" i="32"/>
  <c r="I7" i="32"/>
  <c r="H9" i="32"/>
  <c r="H19" i="32"/>
  <c r="H13" i="32"/>
  <c r="H7" i="32"/>
  <c r="C16" i="30"/>
  <c r="H40" i="12" l="1"/>
  <c r="J12" i="37"/>
  <c r="K12" i="37" s="1"/>
  <c r="J13" i="37"/>
  <c r="K13" i="37" s="1"/>
  <c r="J14" i="37"/>
  <c r="K14" i="37" s="1"/>
  <c r="J8" i="37"/>
  <c r="K8" i="37" s="1"/>
  <c r="J11" i="37"/>
  <c r="K11" i="37" s="1"/>
  <c r="J9" i="37"/>
  <c r="K9" i="37" s="1"/>
  <c r="J7" i="37"/>
  <c r="K7" i="37" s="1"/>
  <c r="J10" i="37"/>
  <c r="K10" i="37" s="1"/>
  <c r="J13" i="32"/>
  <c r="K13" i="32" s="1"/>
  <c r="J7" i="32"/>
  <c r="K7" i="32" s="1"/>
  <c r="J9" i="32"/>
  <c r="K9" i="32" s="1"/>
  <c r="J11" i="32"/>
  <c r="K11" i="32" s="1"/>
  <c r="J10" i="32"/>
  <c r="K10" i="32" s="1"/>
  <c r="J14" i="32"/>
  <c r="K14" i="32" s="1"/>
  <c r="J12" i="32"/>
  <c r="K12" i="32" s="1"/>
  <c r="J8" i="32"/>
  <c r="K8" i="32" s="1"/>
  <c r="C13" i="119"/>
  <c r="F40" i="12"/>
  <c r="G40" i="12" s="1"/>
  <c r="M17" i="12"/>
  <c r="N40" i="12"/>
  <c r="M40" i="12"/>
  <c r="M16" i="12"/>
  <c r="H16" i="37"/>
  <c r="I16" i="37"/>
  <c r="F16" i="30"/>
  <c r="G16" i="30"/>
  <c r="D16" i="30"/>
  <c r="E16" i="30"/>
  <c r="I16" i="32"/>
  <c r="H16" i="32"/>
  <c r="D19" i="30"/>
  <c r="E19" i="30"/>
  <c r="F19" i="30"/>
  <c r="G19" i="30"/>
  <c r="K39" i="12" s="1"/>
  <c r="D20" i="30"/>
  <c r="E20" i="30"/>
  <c r="F20" i="30"/>
  <c r="G20" i="30"/>
  <c r="L39" i="12" s="1"/>
  <c r="G18" i="30"/>
  <c r="J39" i="12" s="1"/>
  <c r="F18" i="30"/>
  <c r="E18" i="30"/>
  <c r="D18" i="30"/>
  <c r="D8" i="30"/>
  <c r="E8" i="30"/>
  <c r="F8" i="30"/>
  <c r="G8" i="30"/>
  <c r="D9" i="30"/>
  <c r="E9" i="30"/>
  <c r="F9" i="30"/>
  <c r="G9" i="30"/>
  <c r="D10" i="30"/>
  <c r="E10" i="30"/>
  <c r="F10" i="30"/>
  <c r="G10" i="30"/>
  <c r="D11" i="30"/>
  <c r="E11" i="30"/>
  <c r="F11" i="30"/>
  <c r="G11" i="30"/>
  <c r="D12" i="30"/>
  <c r="E12" i="30"/>
  <c r="F12" i="30"/>
  <c r="G12" i="30"/>
  <c r="D13" i="30"/>
  <c r="E13" i="30"/>
  <c r="F13" i="30"/>
  <c r="G13" i="30"/>
  <c r="D14" i="30"/>
  <c r="E14" i="30"/>
  <c r="F14" i="30"/>
  <c r="G14" i="30"/>
  <c r="G7" i="30"/>
  <c r="F7" i="30"/>
  <c r="E7" i="30"/>
  <c r="D7" i="30"/>
  <c r="I8" i="30" l="1"/>
  <c r="F39" i="12"/>
  <c r="J14" i="30"/>
  <c r="K14" i="30" s="1"/>
  <c r="J13" i="30"/>
  <c r="K13" i="30" s="1"/>
  <c r="J7" i="30"/>
  <c r="K7" i="30" s="1"/>
  <c r="J8" i="30"/>
  <c r="K8" i="30" s="1"/>
  <c r="J9" i="30"/>
  <c r="K9" i="30" s="1"/>
  <c r="J10" i="30"/>
  <c r="K10" i="30" s="1"/>
  <c r="J11" i="30"/>
  <c r="K11" i="30" s="1"/>
  <c r="J12" i="30"/>
  <c r="K12" i="30" s="1"/>
  <c r="H13" i="119"/>
  <c r="I13" i="119"/>
  <c r="H20" i="30"/>
  <c r="I20" i="30"/>
  <c r="I19" i="30"/>
  <c r="H19" i="30"/>
  <c r="I18" i="30"/>
  <c r="H18" i="30"/>
  <c r="I14" i="30"/>
  <c r="H14" i="30"/>
  <c r="I13" i="30"/>
  <c r="H13" i="30"/>
  <c r="I12" i="30"/>
  <c r="H12" i="30"/>
  <c r="I11" i="30"/>
  <c r="H11" i="30"/>
  <c r="I10" i="30"/>
  <c r="H10" i="30"/>
  <c r="I9" i="30"/>
  <c r="H9" i="30"/>
  <c r="H8" i="30"/>
  <c r="I7" i="30"/>
  <c r="H7" i="30"/>
  <c r="J20" i="25"/>
  <c r="H20" i="25"/>
  <c r="G20" i="25"/>
  <c r="F20" i="25"/>
  <c r="E20" i="25"/>
  <c r="D20" i="25"/>
  <c r="J19" i="25"/>
  <c r="H19" i="25"/>
  <c r="G19" i="25"/>
  <c r="F19" i="25"/>
  <c r="E19" i="25"/>
  <c r="D19" i="25"/>
  <c r="J18" i="25"/>
  <c r="H18" i="25"/>
  <c r="G18" i="25"/>
  <c r="F18" i="25"/>
  <c r="E18" i="25"/>
  <c r="D18" i="25"/>
  <c r="C16" i="25"/>
  <c r="J14" i="25"/>
  <c r="H14" i="25"/>
  <c r="G14" i="25"/>
  <c r="F14" i="25"/>
  <c r="E14" i="25"/>
  <c r="D14" i="25"/>
  <c r="J13" i="25"/>
  <c r="H13" i="25"/>
  <c r="G13" i="25"/>
  <c r="F13" i="25"/>
  <c r="E13" i="25"/>
  <c r="D13" i="25"/>
  <c r="J12" i="25"/>
  <c r="H12" i="25"/>
  <c r="G12" i="25"/>
  <c r="F12" i="25"/>
  <c r="E12" i="25"/>
  <c r="D12" i="25"/>
  <c r="J11" i="25"/>
  <c r="H11" i="25"/>
  <c r="G11" i="25"/>
  <c r="F11" i="25"/>
  <c r="E11" i="25"/>
  <c r="D11" i="25"/>
  <c r="J10" i="25"/>
  <c r="H10" i="25"/>
  <c r="G10" i="25"/>
  <c r="F10" i="25"/>
  <c r="E10" i="25"/>
  <c r="D10" i="25"/>
  <c r="J9" i="25"/>
  <c r="H9" i="25"/>
  <c r="G9" i="25"/>
  <c r="F9" i="25"/>
  <c r="E9" i="25"/>
  <c r="D9" i="25"/>
  <c r="J8" i="25"/>
  <c r="H8" i="25"/>
  <c r="G8" i="25"/>
  <c r="F8" i="25"/>
  <c r="E8" i="25"/>
  <c r="D8" i="25"/>
  <c r="J7" i="25"/>
  <c r="H7" i="25"/>
  <c r="G7" i="25"/>
  <c r="F7" i="25"/>
  <c r="E7" i="25"/>
  <c r="D7" i="25"/>
  <c r="G20" i="23"/>
  <c r="F20" i="23"/>
  <c r="E20" i="23"/>
  <c r="D20" i="23"/>
  <c r="G19" i="23"/>
  <c r="F19" i="23"/>
  <c r="E19" i="23"/>
  <c r="D19" i="23"/>
  <c r="G18" i="23"/>
  <c r="F18" i="23"/>
  <c r="E18" i="23"/>
  <c r="D18" i="23"/>
  <c r="G14" i="23"/>
  <c r="F14" i="23"/>
  <c r="E14" i="23"/>
  <c r="D14" i="23"/>
  <c r="G13" i="23"/>
  <c r="F13" i="23"/>
  <c r="E13" i="23"/>
  <c r="D13" i="23"/>
  <c r="G12" i="23"/>
  <c r="F12" i="23"/>
  <c r="E12" i="23"/>
  <c r="D12" i="23"/>
  <c r="G11" i="23"/>
  <c r="F11" i="23"/>
  <c r="E11" i="23"/>
  <c r="G10" i="23"/>
  <c r="F10" i="23"/>
  <c r="E10" i="23"/>
  <c r="D10" i="23"/>
  <c r="G9" i="23"/>
  <c r="F9" i="23"/>
  <c r="E9" i="23"/>
  <c r="D9" i="23"/>
  <c r="G8" i="23"/>
  <c r="F8" i="23"/>
  <c r="E8" i="23"/>
  <c r="D8" i="23"/>
  <c r="G7" i="23"/>
  <c r="F7" i="23"/>
  <c r="E7" i="23"/>
  <c r="D7" i="23"/>
  <c r="N39" i="12" l="1"/>
  <c r="H9" i="23"/>
  <c r="K23" i="12"/>
  <c r="H19" i="23"/>
  <c r="J8" i="23"/>
  <c r="K8" i="23" s="1"/>
  <c r="H39" i="12"/>
  <c r="J7" i="23"/>
  <c r="K7" i="23" s="1"/>
  <c r="J9" i="23"/>
  <c r="K9" i="23" s="1"/>
  <c r="J11" i="23"/>
  <c r="K11" i="23" s="1"/>
  <c r="J10" i="23"/>
  <c r="K10" i="23" s="1"/>
  <c r="J12" i="23"/>
  <c r="K12" i="23" s="1"/>
  <c r="J14" i="23"/>
  <c r="K14" i="23" s="1"/>
  <c r="J13" i="23"/>
  <c r="K13" i="23" s="1"/>
  <c r="C6" i="119"/>
  <c r="F18" i="12"/>
  <c r="G6" i="119"/>
  <c r="F6" i="119"/>
  <c r="I18" i="25"/>
  <c r="I12" i="25"/>
  <c r="H18" i="23"/>
  <c r="J23" i="12"/>
  <c r="H20" i="23"/>
  <c r="L23" i="12"/>
  <c r="I20" i="25"/>
  <c r="I19" i="25"/>
  <c r="I13" i="25"/>
  <c r="J16" i="25"/>
  <c r="L18" i="12"/>
  <c r="K18" i="12"/>
  <c r="J18" i="12"/>
  <c r="I14" i="25"/>
  <c r="G16" i="25"/>
  <c r="D6" i="119" s="1"/>
  <c r="H7" i="23"/>
  <c r="H11" i="23"/>
  <c r="H16" i="30"/>
  <c r="I16" i="30"/>
  <c r="H13" i="23"/>
  <c r="D16" i="25"/>
  <c r="E16" i="25"/>
  <c r="F16" i="25"/>
  <c r="H16" i="25"/>
  <c r="I7" i="25"/>
  <c r="I8" i="25"/>
  <c r="I9" i="25"/>
  <c r="I10" i="25"/>
  <c r="I11" i="25"/>
  <c r="I18" i="23"/>
  <c r="I11" i="23"/>
  <c r="I13" i="23"/>
  <c r="I19" i="23"/>
  <c r="I7" i="23"/>
  <c r="I9" i="23"/>
  <c r="H8" i="23"/>
  <c r="I10" i="23"/>
  <c r="H12" i="23"/>
  <c r="H14" i="23"/>
  <c r="I20" i="23"/>
  <c r="H10" i="23"/>
  <c r="I12" i="23"/>
  <c r="I8" i="23"/>
  <c r="I14" i="23"/>
  <c r="E16" i="23"/>
  <c r="F16" i="23"/>
  <c r="N18" i="12" l="1"/>
  <c r="H18" i="12"/>
  <c r="H23" i="12"/>
  <c r="H6" i="119"/>
  <c r="I6" i="119" s="1"/>
  <c r="G18" i="12"/>
  <c r="K9" i="25"/>
  <c r="L9" i="25" s="1"/>
  <c r="K8" i="25"/>
  <c r="L8" i="25" s="1"/>
  <c r="K12" i="25"/>
  <c r="L12" i="25" s="1"/>
  <c r="K11" i="25"/>
  <c r="L11" i="25" s="1"/>
  <c r="K13" i="25"/>
  <c r="L13" i="25" s="1"/>
  <c r="K7" i="25"/>
  <c r="L7" i="25" s="1"/>
  <c r="K14" i="25"/>
  <c r="L14" i="25" s="1"/>
  <c r="K10" i="25"/>
  <c r="L10" i="25" s="1"/>
  <c r="F23" i="12"/>
  <c r="G23" i="12" s="1"/>
  <c r="N23" i="12"/>
  <c r="M23" i="12"/>
  <c r="M18" i="12"/>
  <c r="I16" i="25"/>
  <c r="I16" i="23"/>
  <c r="H16" i="23"/>
  <c r="C16" i="18"/>
  <c r="F20" i="18"/>
  <c r="E20" i="18"/>
  <c r="D20" i="18"/>
  <c r="F19" i="18"/>
  <c r="E19" i="18"/>
  <c r="D19" i="18"/>
  <c r="F18" i="18"/>
  <c r="E18" i="18"/>
  <c r="D18" i="18"/>
  <c r="F14" i="18"/>
  <c r="E14" i="18"/>
  <c r="D14" i="18"/>
  <c r="F13" i="18"/>
  <c r="E13" i="18"/>
  <c r="D13" i="18"/>
  <c r="F12" i="18"/>
  <c r="E12" i="18"/>
  <c r="D12" i="18"/>
  <c r="F11" i="18"/>
  <c r="E11" i="18"/>
  <c r="D11" i="18"/>
  <c r="F10" i="18"/>
  <c r="E10" i="18"/>
  <c r="D10" i="18"/>
  <c r="F9" i="18"/>
  <c r="E9" i="18"/>
  <c r="D9" i="18"/>
  <c r="F8" i="18"/>
  <c r="E8" i="18"/>
  <c r="D8" i="18"/>
  <c r="F7" i="18"/>
  <c r="E7" i="18"/>
  <c r="D7" i="18"/>
  <c r="J20" i="16"/>
  <c r="H20" i="16"/>
  <c r="G20" i="16"/>
  <c r="F20" i="16"/>
  <c r="E20" i="16"/>
  <c r="D20" i="16"/>
  <c r="J19" i="16"/>
  <c r="H19" i="16"/>
  <c r="G19" i="16"/>
  <c r="F19" i="16"/>
  <c r="E19" i="16"/>
  <c r="D19" i="16"/>
  <c r="J18" i="16"/>
  <c r="H18" i="16"/>
  <c r="G18" i="16"/>
  <c r="F18" i="16"/>
  <c r="E18" i="16"/>
  <c r="D18" i="16"/>
  <c r="G16" i="16"/>
  <c r="D5" i="119" s="1"/>
  <c r="C16" i="16"/>
  <c r="J14" i="16"/>
  <c r="H14" i="16"/>
  <c r="G14" i="16"/>
  <c r="F14" i="16"/>
  <c r="E14" i="16"/>
  <c r="D14" i="16"/>
  <c r="J13" i="16"/>
  <c r="H13" i="16"/>
  <c r="G13" i="16"/>
  <c r="F13" i="16"/>
  <c r="E13" i="16"/>
  <c r="D13" i="16"/>
  <c r="J12" i="16"/>
  <c r="H12" i="16"/>
  <c r="G12" i="16"/>
  <c r="K12" i="16" s="1"/>
  <c r="F12" i="16"/>
  <c r="E12" i="16"/>
  <c r="D12" i="16"/>
  <c r="J11" i="16"/>
  <c r="H11" i="16"/>
  <c r="G11" i="16"/>
  <c r="F11" i="16"/>
  <c r="E11" i="16"/>
  <c r="D11" i="16"/>
  <c r="J10" i="16"/>
  <c r="H10" i="16"/>
  <c r="G10" i="16"/>
  <c r="F10" i="16"/>
  <c r="E10" i="16"/>
  <c r="D10" i="16"/>
  <c r="J9" i="16"/>
  <c r="H9" i="16"/>
  <c r="G9" i="16"/>
  <c r="F9" i="16"/>
  <c r="E9" i="16"/>
  <c r="D9" i="16"/>
  <c r="J8" i="16"/>
  <c r="H8" i="16"/>
  <c r="G8" i="16"/>
  <c r="K8" i="16" s="1"/>
  <c r="F8" i="16"/>
  <c r="E8" i="16"/>
  <c r="D8" i="16"/>
  <c r="J7" i="16"/>
  <c r="H7" i="16"/>
  <c r="G7" i="16"/>
  <c r="K7" i="16" s="1"/>
  <c r="F7" i="16"/>
  <c r="E7" i="16"/>
  <c r="D7" i="16"/>
  <c r="G16" i="13"/>
  <c r="D4" i="119" s="1"/>
  <c r="C16" i="13"/>
  <c r="J20" i="13"/>
  <c r="H20" i="13"/>
  <c r="F20" i="13"/>
  <c r="E20" i="13"/>
  <c r="D20" i="13"/>
  <c r="J19" i="13"/>
  <c r="H19" i="13"/>
  <c r="G19" i="13"/>
  <c r="F19" i="13"/>
  <c r="E19" i="13"/>
  <c r="D19" i="13"/>
  <c r="J18" i="13"/>
  <c r="H18" i="13"/>
  <c r="F18" i="13"/>
  <c r="E18" i="13"/>
  <c r="D18" i="13"/>
  <c r="J14" i="13"/>
  <c r="H14" i="13"/>
  <c r="G14" i="13"/>
  <c r="F14" i="13"/>
  <c r="E14" i="13"/>
  <c r="D14" i="13"/>
  <c r="J13" i="13"/>
  <c r="H13" i="13"/>
  <c r="G13" i="13"/>
  <c r="K13" i="13" s="1"/>
  <c r="L13" i="13" s="1"/>
  <c r="F13" i="13"/>
  <c r="E13" i="13"/>
  <c r="D13" i="13"/>
  <c r="J12" i="13"/>
  <c r="H12" i="13"/>
  <c r="G12" i="13"/>
  <c r="K12" i="13" s="1"/>
  <c r="L12" i="13" s="1"/>
  <c r="F12" i="13"/>
  <c r="E12" i="13"/>
  <c r="D12" i="13"/>
  <c r="J11" i="13"/>
  <c r="H11" i="13"/>
  <c r="G11" i="13"/>
  <c r="F11" i="13"/>
  <c r="E11" i="13"/>
  <c r="D11" i="13"/>
  <c r="J10" i="13"/>
  <c r="H10" i="13"/>
  <c r="G10" i="13"/>
  <c r="F10" i="13"/>
  <c r="D10" i="13"/>
  <c r="J9" i="13"/>
  <c r="H9" i="13"/>
  <c r="G9" i="13"/>
  <c r="F9" i="13"/>
  <c r="E9" i="13"/>
  <c r="D9" i="13"/>
  <c r="J8" i="13"/>
  <c r="H8" i="13"/>
  <c r="G8" i="13"/>
  <c r="K8" i="13" s="1"/>
  <c r="L8" i="13" s="1"/>
  <c r="F8" i="13"/>
  <c r="E8" i="13"/>
  <c r="D8" i="13"/>
  <c r="J7" i="13"/>
  <c r="H7" i="13"/>
  <c r="G7" i="13"/>
  <c r="F7" i="13"/>
  <c r="E7" i="13"/>
  <c r="D7" i="13"/>
  <c r="K11" i="16" l="1"/>
  <c r="K10" i="16"/>
  <c r="L10" i="16" s="1"/>
  <c r="C5" i="119"/>
  <c r="L7" i="16"/>
  <c r="L8" i="16"/>
  <c r="K14" i="16"/>
  <c r="L14" i="16" s="1"/>
  <c r="K10" i="13"/>
  <c r="L10" i="13" s="1"/>
  <c r="K14" i="13"/>
  <c r="L14" i="13" s="1"/>
  <c r="K11" i="13"/>
  <c r="L11" i="13" s="1"/>
  <c r="K7" i="13"/>
  <c r="L7" i="13" s="1"/>
  <c r="K13" i="16"/>
  <c r="L13" i="16" s="1"/>
  <c r="L12" i="16"/>
  <c r="L11" i="16"/>
  <c r="G4" i="119"/>
  <c r="F4" i="119"/>
  <c r="K9" i="16"/>
  <c r="L9" i="16" s="1"/>
  <c r="K9" i="13"/>
  <c r="L9" i="13" s="1"/>
  <c r="C4" i="119"/>
  <c r="D16" i="18"/>
  <c r="E16" i="18"/>
  <c r="I10" i="18" s="1"/>
  <c r="J10" i="18" s="1"/>
  <c r="F16" i="18"/>
  <c r="G5" i="119"/>
  <c r="F5" i="119"/>
  <c r="I14" i="13"/>
  <c r="I13" i="13"/>
  <c r="F20" i="12"/>
  <c r="I19" i="16"/>
  <c r="J16" i="16"/>
  <c r="K20" i="12"/>
  <c r="L20" i="12"/>
  <c r="N20" i="12" s="1"/>
  <c r="J20" i="12"/>
  <c r="I7" i="13"/>
  <c r="F19" i="12"/>
  <c r="J16" i="13"/>
  <c r="K19" i="12"/>
  <c r="L19" i="12"/>
  <c r="J19" i="12"/>
  <c r="I19" i="13"/>
  <c r="I8" i="13"/>
  <c r="I12" i="13"/>
  <c r="I20" i="13"/>
  <c r="I11" i="13"/>
  <c r="I18" i="13"/>
  <c r="I10" i="13"/>
  <c r="I20" i="16"/>
  <c r="I14" i="16"/>
  <c r="I11" i="16"/>
  <c r="I8" i="16"/>
  <c r="E16" i="16"/>
  <c r="I9" i="16"/>
  <c r="H20" i="12" s="1"/>
  <c r="I18" i="16"/>
  <c r="I13" i="16"/>
  <c r="D16" i="16"/>
  <c r="I16" i="16" s="1"/>
  <c r="F16" i="16"/>
  <c r="H16" i="16"/>
  <c r="D16" i="13"/>
  <c r="I16" i="13" s="1"/>
  <c r="E16" i="13"/>
  <c r="I9" i="13"/>
  <c r="H19" i="12" s="1"/>
  <c r="F16" i="13"/>
  <c r="H16" i="13"/>
  <c r="I7" i="16"/>
  <c r="I10" i="16"/>
  <c r="I12" i="16"/>
  <c r="H7" i="11"/>
  <c r="N19" i="12" l="1"/>
  <c r="I11" i="18"/>
  <c r="J11" i="18" s="1"/>
  <c r="I8" i="18"/>
  <c r="J8" i="18" s="1"/>
  <c r="I12" i="18"/>
  <c r="J12" i="18" s="1"/>
  <c r="I13" i="18"/>
  <c r="J13" i="18" s="1"/>
  <c r="I7" i="18"/>
  <c r="J7" i="18" s="1"/>
  <c r="I9" i="18"/>
  <c r="J9" i="18" s="1"/>
  <c r="I14" i="18"/>
  <c r="J14" i="18" s="1"/>
  <c r="H4" i="119"/>
  <c r="I4" i="119" s="1"/>
  <c r="G20" i="12"/>
  <c r="G19" i="12"/>
  <c r="H5" i="119"/>
  <c r="I5" i="119" s="1"/>
  <c r="M19" i="12"/>
  <c r="M20" i="12"/>
  <c r="M12" i="12"/>
  <c r="G13" i="11"/>
  <c r="C16" i="11"/>
  <c r="F14" i="11"/>
  <c r="F11" i="11"/>
  <c r="F9" i="11"/>
  <c r="F8" i="11"/>
  <c r="E13" i="11"/>
  <c r="D10" i="11"/>
  <c r="D12" i="11"/>
  <c r="J20" i="11"/>
  <c r="H20" i="11"/>
  <c r="G20" i="11"/>
  <c r="F20" i="11"/>
  <c r="E20" i="11"/>
  <c r="D20" i="11"/>
  <c r="J19" i="11"/>
  <c r="H19" i="11"/>
  <c r="G19" i="11"/>
  <c r="F19" i="11"/>
  <c r="E19" i="11"/>
  <c r="D19" i="11"/>
  <c r="J18" i="11"/>
  <c r="H18" i="11"/>
  <c r="G18" i="11"/>
  <c r="F18" i="11"/>
  <c r="E18" i="11"/>
  <c r="D18" i="11"/>
  <c r="J14" i="11"/>
  <c r="H14" i="11"/>
  <c r="G14" i="11"/>
  <c r="E14" i="11"/>
  <c r="D14" i="11"/>
  <c r="J13" i="11"/>
  <c r="H13" i="11"/>
  <c r="F13" i="11"/>
  <c r="D13" i="11"/>
  <c r="J12" i="11"/>
  <c r="H12" i="11"/>
  <c r="G12" i="11"/>
  <c r="F12" i="11"/>
  <c r="E12" i="11"/>
  <c r="J11" i="11"/>
  <c r="H11" i="11"/>
  <c r="G11" i="11"/>
  <c r="E11" i="11"/>
  <c r="D11" i="11"/>
  <c r="J10" i="11"/>
  <c r="H10" i="11"/>
  <c r="G10" i="11"/>
  <c r="F10" i="11"/>
  <c r="E10" i="11"/>
  <c r="J9" i="11"/>
  <c r="H9" i="11"/>
  <c r="G9" i="11"/>
  <c r="D9" i="11"/>
  <c r="J8" i="11"/>
  <c r="H8" i="11"/>
  <c r="G8" i="11"/>
  <c r="E8" i="11"/>
  <c r="D8" i="11"/>
  <c r="J7" i="11"/>
  <c r="G7" i="11"/>
  <c r="F7" i="11"/>
  <c r="E7" i="11"/>
  <c r="D7" i="11"/>
  <c r="I9" i="11" l="1"/>
  <c r="I7" i="11"/>
  <c r="C15" i="119"/>
  <c r="D16" i="11"/>
  <c r="E16" i="11"/>
  <c r="F16" i="11"/>
  <c r="G16" i="11"/>
  <c r="K13" i="11" s="1"/>
  <c r="H16" i="11"/>
  <c r="J16" i="11"/>
  <c r="G15" i="119"/>
  <c r="F15" i="119"/>
  <c r="F8" i="12"/>
  <c r="L8" i="12"/>
  <c r="K8" i="12"/>
  <c r="J8" i="12"/>
  <c r="I18" i="11"/>
  <c r="I8" i="11"/>
  <c r="I14" i="11"/>
  <c r="I11" i="11"/>
  <c r="I19" i="11"/>
  <c r="I13" i="11"/>
  <c r="I20" i="11"/>
  <c r="I10" i="11"/>
  <c r="I12" i="11"/>
  <c r="F20" i="6"/>
  <c r="F19" i="6"/>
  <c r="F18" i="6"/>
  <c r="F14" i="6"/>
  <c r="F13" i="6"/>
  <c r="F12" i="6"/>
  <c r="F11" i="6"/>
  <c r="F10" i="6"/>
  <c r="F9" i="6"/>
  <c r="F8" i="6"/>
  <c r="F7" i="6"/>
  <c r="H18" i="2"/>
  <c r="H19" i="2"/>
  <c r="H20" i="2"/>
  <c r="H8" i="2"/>
  <c r="H9" i="2"/>
  <c r="H10" i="2"/>
  <c r="H11" i="2"/>
  <c r="H12" i="2"/>
  <c r="H13" i="2"/>
  <c r="H14" i="2"/>
  <c r="H7" i="2"/>
  <c r="N8" i="12" l="1"/>
  <c r="H8" i="12"/>
  <c r="K14" i="11"/>
  <c r="L14" i="11" s="1"/>
  <c r="K12" i="11"/>
  <c r="L12" i="11" s="1"/>
  <c r="K11" i="11"/>
  <c r="L11" i="11" s="1"/>
  <c r="K10" i="11"/>
  <c r="L10" i="11" s="1"/>
  <c r="K7" i="11"/>
  <c r="L7" i="11" s="1"/>
  <c r="K9" i="11"/>
  <c r="L9" i="11" s="1"/>
  <c r="K8" i="11"/>
  <c r="L8" i="11" s="1"/>
  <c r="G8" i="12"/>
  <c r="I16" i="11"/>
  <c r="D15" i="119"/>
  <c r="H15" i="119" s="1"/>
  <c r="I15" i="119" s="1"/>
  <c r="L13" i="11"/>
  <c r="M8" i="12"/>
  <c r="M22" i="12"/>
  <c r="E20" i="6"/>
  <c r="D20" i="6"/>
  <c r="E19" i="6"/>
  <c r="D19" i="6"/>
  <c r="E18" i="6"/>
  <c r="D18" i="6"/>
  <c r="C16" i="6"/>
  <c r="E14" i="6"/>
  <c r="D14" i="6"/>
  <c r="E13" i="6"/>
  <c r="D13" i="6"/>
  <c r="E12" i="6"/>
  <c r="D12" i="6"/>
  <c r="E11" i="6"/>
  <c r="D11" i="6"/>
  <c r="E10" i="6"/>
  <c r="D10" i="6"/>
  <c r="E9" i="6"/>
  <c r="D9" i="6"/>
  <c r="E8" i="6"/>
  <c r="D8" i="6"/>
  <c r="E7" i="6"/>
  <c r="D7" i="6"/>
  <c r="C16" i="2"/>
  <c r="G16" i="2"/>
  <c r="D19" i="2"/>
  <c r="E19" i="2"/>
  <c r="F19" i="2"/>
  <c r="G19" i="2"/>
  <c r="J19" i="2"/>
  <c r="D20" i="2"/>
  <c r="E20" i="2"/>
  <c r="F20" i="2"/>
  <c r="G20" i="2"/>
  <c r="J20" i="2"/>
  <c r="J18" i="2"/>
  <c r="G18" i="2"/>
  <c r="F18" i="2"/>
  <c r="E18" i="2"/>
  <c r="D18" i="2"/>
  <c r="D8" i="2"/>
  <c r="E8" i="2"/>
  <c r="F8" i="2"/>
  <c r="G8" i="2"/>
  <c r="J8" i="2"/>
  <c r="D9" i="2"/>
  <c r="E9" i="2"/>
  <c r="F9" i="2"/>
  <c r="G9" i="2"/>
  <c r="K9" i="2" s="1"/>
  <c r="J9" i="2"/>
  <c r="D10" i="2"/>
  <c r="E10" i="2"/>
  <c r="F10" i="2"/>
  <c r="G10" i="2"/>
  <c r="J10" i="2"/>
  <c r="D11" i="2"/>
  <c r="E11" i="2"/>
  <c r="F11" i="2"/>
  <c r="G11" i="2"/>
  <c r="J11" i="2"/>
  <c r="D12" i="2"/>
  <c r="E12" i="2"/>
  <c r="F12" i="2"/>
  <c r="G12" i="2"/>
  <c r="J12" i="2"/>
  <c r="D13" i="2"/>
  <c r="E13" i="2"/>
  <c r="F13" i="2"/>
  <c r="G13" i="2"/>
  <c r="J13" i="2"/>
  <c r="D14" i="2"/>
  <c r="E14" i="2"/>
  <c r="F14" i="2"/>
  <c r="G14" i="2"/>
  <c r="J14" i="2"/>
  <c r="J7" i="2"/>
  <c r="G7" i="2"/>
  <c r="F7" i="2"/>
  <c r="E7" i="2"/>
  <c r="D7" i="2"/>
  <c r="K8" i="2" l="1"/>
  <c r="L8" i="2" s="1"/>
  <c r="K14" i="2"/>
  <c r="L14" i="2" s="1"/>
  <c r="L9" i="2"/>
  <c r="K12" i="2"/>
  <c r="L12" i="2" s="1"/>
  <c r="K10" i="2"/>
  <c r="L10" i="2" s="1"/>
  <c r="K7" i="2"/>
  <c r="L7" i="2" s="1"/>
  <c r="K13" i="2"/>
  <c r="L13" i="2" s="1"/>
  <c r="K11" i="2"/>
  <c r="L11" i="2" s="1"/>
  <c r="D16" i="6"/>
  <c r="E16" i="6"/>
  <c r="F16" i="6"/>
  <c r="F15" i="12"/>
  <c r="J15" i="12"/>
  <c r="L15" i="12"/>
  <c r="N15" i="12" s="1"/>
  <c r="K15" i="12"/>
  <c r="J16" i="2"/>
  <c r="H16" i="2"/>
  <c r="I8" i="2"/>
  <c r="E16" i="2"/>
  <c r="D16" i="2"/>
  <c r="I16" i="2" s="1"/>
  <c r="F16" i="2"/>
  <c r="I11" i="2"/>
  <c r="I14" i="2"/>
  <c r="I20" i="2"/>
  <c r="I12" i="2"/>
  <c r="I18" i="2"/>
  <c r="I10" i="2"/>
  <c r="I7" i="2"/>
  <c r="I9" i="2"/>
  <c r="H15" i="12" s="1"/>
  <c r="I13" i="2"/>
  <c r="I19" i="2"/>
  <c r="I12" i="6" l="1"/>
  <c r="J12" i="6" s="1"/>
  <c r="G15" i="12"/>
  <c r="G13" i="12"/>
  <c r="I9" i="6"/>
  <c r="J9" i="6" s="1"/>
  <c r="I10" i="6"/>
  <c r="J10" i="6" s="1"/>
  <c r="I13" i="6"/>
  <c r="J13" i="6" s="1"/>
  <c r="I14" i="6"/>
  <c r="J14" i="6" s="1"/>
  <c r="I7" i="6"/>
  <c r="J7" i="6" s="1"/>
  <c r="I8" i="6"/>
  <c r="J8" i="6" s="1"/>
  <c r="I11" i="6"/>
  <c r="J11" i="6" s="1"/>
  <c r="M15" i="12"/>
  <c r="M13" i="12"/>
  <c r="H8" i="119" l="1"/>
  <c r="I8" i="119" s="1"/>
  <c r="D17" i="52"/>
  <c r="I17" i="52" s="1"/>
  <c r="D18" i="52"/>
  <c r="I18" i="5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<sst xmlns="http://schemas.openxmlformats.org/spreadsheetml/2006/main" count="12358" uniqueCount="801">
  <si>
    <t>annual population survey</t>
  </si>
  <si>
    <t>confidence</t>
  </si>
  <si>
    <t>95% confidence interval of percent figure (+/-)</t>
  </si>
  <si>
    <t>variable</t>
  </si>
  <si>
    <t>% of economically inactive long-term sick</t>
  </si>
  <si>
    <t>Area</t>
  </si>
  <si>
    <t>numerator</t>
  </si>
  <si>
    <t>denominator</t>
  </si>
  <si>
    <t>percent</t>
  </si>
  <si>
    <t>conf</t>
  </si>
  <si>
    <t>*</t>
  </si>
  <si>
    <t>! Estimate and confidence interval not available since the group sample size is zero or disclosive (0-2).</t>
  </si>
  <si>
    <t>* Estimate and confidence interval unreliable since the group sample size is small (3-9).</t>
  </si>
  <si>
    <t>~ Estimate is less than 500.</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</si>
  <si>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</si>
  <si>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</si>
  <si>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</si>
  <si>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</si>
  <si>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</si>
  <si>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</si>
  <si>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</si>
  <si>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</si>
  <si>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</si>
  <si>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</si>
  <si>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</si>
  <si>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</si>
  <si>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</si>
  <si>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</si>
  <si>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</si>
  <si>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</si>
  <si>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</si>
  <si>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</si>
  <si>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</si>
  <si>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</si>
  <si>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</si>
  <si>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</si>
  <si>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</si>
  <si>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</si>
  <si>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</si>
  <si>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</si>
  <si>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</si>
  <si>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</si>
  <si>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</si>
  <si>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</si>
  <si>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</si>
  <si>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</si>
  <si>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United Kingdom</t>
  </si>
  <si>
    <t>Glasgow City Region</t>
  </si>
  <si>
    <t>Indicator:</t>
  </si>
  <si>
    <t>Source:</t>
  </si>
  <si>
    <t>Short-term Change</t>
  </si>
  <si>
    <t>Top Performing Scottish Local Authority</t>
  </si>
  <si>
    <t>Geographical Difference</t>
  </si>
  <si>
    <t>% Change</t>
  </si>
  <si>
    <t>Volume Change</t>
  </si>
  <si>
    <t>Geographical Comparison</t>
  </si>
  <si>
    <t>% Point Change Required</t>
  </si>
  <si>
    <t>Volume Change Required</t>
  </si>
  <si>
    <t>% Children in Child Poverty</t>
  </si>
  <si>
    <t>https://www.endchildpoverty.org.uk/child-poverty-in-your-area-201415-201819/</t>
  </si>
  <si>
    <t>End Child Poverty</t>
  </si>
  <si>
    <t>Employment rate - aged 16-64</t>
  </si>
  <si>
    <t>ONS Crown Copyright Reserved [from Nomis on 15 February 2021]</t>
  </si>
  <si>
    <t>Unemployment rate - aged 16-64</t>
  </si>
  <si>
    <t>% with NVQ4+ - aged 16-64</t>
  </si>
  <si>
    <t>Median Weekly Earnings (Residence-based, full-time)</t>
  </si>
  <si>
    <t>ASHE</t>
  </si>
  <si>
    <t>Estimates for 2011 and subsequent years use a weighting scheme based on occupations which have been coded according to Standard Occupational Classification (SOC) 2010 that replaced SOC 2000. Therefore care should be taken when making comparisons with earlier years.</t>
  </si>
  <si>
    <t>Results for 2003 and earlier exclude supplementary surveys. In 2006 there were a number of methodological changes made. For further details goto : http://www.nomisweb.co.uk/articles/341.aspx.</t>
  </si>
  <si>
    <t>-</t>
  </si>
  <si>
    <t>conf %</t>
  </si>
  <si>
    <t>number</t>
  </si>
  <si>
    <t>Weekly pay - gross</t>
  </si>
  <si>
    <t>pay</t>
  </si>
  <si>
    <t>Median</t>
  </si>
  <si>
    <t>item name</t>
  </si>
  <si>
    <t>Full Time Workers</t>
  </si>
  <si>
    <t>sex</t>
  </si>
  <si>
    <t>annual survey of hours and earnings  - resident analysis</t>
  </si>
  <si>
    <t>% Change Required</t>
  </si>
  <si>
    <t>% who are economically inactive - aged 16-64</t>
  </si>
  <si>
    <t>All industries</t>
  </si>
  <si>
    <t>Total</t>
  </si>
  <si>
    <t>S12000040</t>
  </si>
  <si>
    <t>S12000039</t>
  </si>
  <si>
    <t>S12000030</t>
  </si>
  <si>
    <t>S12000029</t>
  </si>
  <si>
    <t>S12000028</t>
  </si>
  <si>
    <t>S12000027</t>
  </si>
  <si>
    <t>S12000026</t>
  </si>
  <si>
    <t>S12000038</t>
  </si>
  <si>
    <t>S12000048</t>
  </si>
  <si>
    <t>S12000023</t>
  </si>
  <si>
    <t>S12000044</t>
  </si>
  <si>
    <t>S12000021</t>
  </si>
  <si>
    <t>S12000013</t>
  </si>
  <si>
    <t>S12000020</t>
  </si>
  <si>
    <t>S12000019</t>
  </si>
  <si>
    <t>S12000018</t>
  </si>
  <si>
    <t>S12000017</t>
  </si>
  <si>
    <t>S12000046</t>
  </si>
  <si>
    <t>S12000047</t>
  </si>
  <si>
    <t>S12000014</t>
  </si>
  <si>
    <t>S12000011</t>
  </si>
  <si>
    <t>S12000010</t>
  </si>
  <si>
    <t>S12000045</t>
  </si>
  <si>
    <t>S12000008</t>
  </si>
  <si>
    <t>S12000042</t>
  </si>
  <si>
    <t>S12000006</t>
  </si>
  <si>
    <t>S12000005</t>
  </si>
  <si>
    <t>S12000036</t>
  </si>
  <si>
    <t>S12000035</t>
  </si>
  <si>
    <t>S12000041</t>
  </si>
  <si>
    <t>S12000034</t>
  </si>
  <si>
    <t>S12000033</t>
  </si>
  <si>
    <t>SIC07 description</t>
  </si>
  <si>
    <t>SIC07</t>
  </si>
  <si>
    <t>LA name</t>
  </si>
  <si>
    <t>LAD code</t>
  </si>
  <si>
    <t>Region</t>
  </si>
  <si>
    <t>£ million</t>
  </si>
  <si>
    <t xml:space="preserve"> </t>
  </si>
  <si>
    <t>Regional gross value added (balanced) by industry: local authorities by NUTS1 region:  UKM Scotland current prices1,2</t>
  </si>
  <si>
    <t>ONS - Subregional GVA</t>
  </si>
  <si>
    <t>Total GVA (£m)</t>
  </si>
  <si>
    <t>Source: Office for National Statistics</t>
  </si>
  <si>
    <t>Note 4: GVA per hour worked Local Authority Districts data for Northern Ireland are not available.</t>
  </si>
  <si>
    <t>Note 3: The GVA for Extra-Regio comprises compensation of employees and gross operating surplus which cannot be assigned to regions.</t>
  </si>
  <si>
    <t>Note 2: Data are smoothed using a weighted 5-year moving average</t>
  </si>
  <si>
    <t>Note 1: Data are nominal; ie, data are not adjusted for inflation.</t>
  </si>
  <si>
    <t>W06000024</t>
  </si>
  <si>
    <t>W06000023</t>
  </si>
  <si>
    <t>W06000022</t>
  </si>
  <si>
    <t>£</t>
  </si>
  <si>
    <t>LAD Name</t>
  </si>
  <si>
    <t>LAD Code</t>
  </si>
  <si>
    <t>Including UK figures for comparison purposes</t>
  </si>
  <si>
    <t>GVA per hour worked (£)</t>
  </si>
  <si>
    <t>ONS - Subregional Productivity</t>
  </si>
  <si>
    <t>Table A3: Nominal (smoothed) GVA (B) per hour worked (£); Local Authority District,  2004 - 2018</t>
  </si>
  <si>
    <t>Rates for regions and countries from 2019 onwards are calculated using the mid-2019 resident population aged 16-64.</t>
  </si>
  <si>
    <t>Rates for local authorities from 2019 onwards are calculated using the mid-2019 resident population aged 16-64.</t>
  </si>
  <si>
    <t>All data are rounded to the nearest 5 and may not precisely add to the sum of the number of people claiming JSA, published on Nomis, and the number of people claiming Universal Credit required to seek work, published by DWP, due to independent rounding.</t>
  </si>
  <si>
    <t>This dataset only includes claimant records with information to sufficiently classify them within the dataset. Totals from this dataset may not tally with the total number of claim records shown elsewhere as a small number of records do not have this information.</t>
  </si>
  <si>
    <t>Under Universal Credit a broader span of claimants are required to look for work than under Jobseeker's Allowance. As Universal Credit Full Service is rolled out in particular areas, the number of people recorded as being on the Claimant Count is therefore likely to rise.</t>
  </si>
  <si>
    <t>This datas may be affected by a geographical definition issue. For further information see https://www.nomisweb.co.uk/articles/1199.aspx.</t>
  </si>
  <si>
    <t>Claimants as a proportion of residents aged 16-64</t>
  </si>
  <si>
    <t>measure</t>
  </si>
  <si>
    <t>All categories: Age 16+</t>
  </si>
  <si>
    <t>age</t>
  </si>
  <si>
    <t>gender</t>
  </si>
  <si>
    <t>Claimant count by sex and age</t>
  </si>
  <si>
    <t>Claimant count</t>
  </si>
  <si>
    <t>Claimant Count Rate</t>
  </si>
  <si>
    <t>NOMIS - Claimant Count</t>
  </si>
  <si>
    <t>2017-19</t>
  </si>
  <si>
    <t>2016-18</t>
  </si>
  <si>
    <t>2015-17</t>
  </si>
  <si>
    <t>2014-16</t>
  </si>
  <si>
    <t>2013-15</t>
  </si>
  <si>
    <t>2012-14</t>
  </si>
  <si>
    <t>2011-13</t>
  </si>
  <si>
    <t>S12000050</t>
  </si>
  <si>
    <t>S12000049</t>
  </si>
  <si>
    <t>Sex</t>
  </si>
  <si>
    <t>Period</t>
  </si>
  <si>
    <t>Healthy Life Expectancy - Females at birth</t>
  </si>
  <si>
    <t>ONS - Healthy Life Expectancy</t>
  </si>
  <si>
    <t>Healthy Life Expectancy - Males at birth</t>
  </si>
  <si>
    <t>Employment rate females - aged 16-64</t>
  </si>
  <si>
    <t>ONS Crown Copyright Reserved [from Nomis on 17 February 2021]</t>
  </si>
  <si>
    <t>Employment rate males - aged 16-64</t>
  </si>
  <si>
    <t>Gender Employment Gap</t>
  </si>
  <si>
    <t>% all in employment who are - 1: managers, directors and senior officials (SOC2010)</t>
  </si>
  <si>
    <t>% Employed in SOC1 Occupations</t>
  </si>
  <si>
    <t>- A different job with more hours.</t>
  </si>
  <si>
    <t>- An additional job (to supplement their existing job).</t>
  </si>
  <si>
    <t>- Additional hours in their existing role (at the same rate of pay).</t>
  </si>
  <si>
    <t>9.  Underemployment estimates cover those looking for:</t>
  </si>
  <si>
    <t xml:space="preserve">8.  See the concepts and definitions section of the publication for more detail on estimates. </t>
  </si>
  <si>
    <t>7.  Totals may not equal the sum of individual parts due to rounding.</t>
  </si>
  <si>
    <t>6.  Rates are calculated on unrounded figures.</t>
  </si>
  <si>
    <t>5.  Levels rounded to the nearest hundred.</t>
  </si>
  <si>
    <r>
      <t>4.  Rates cover those</t>
    </r>
    <r>
      <rPr>
        <b/>
        <sz val="11"/>
        <rFont val="Arial"/>
        <family val="2"/>
      </rPr>
      <t xml:space="preserve"> aged 16 and over in employment</t>
    </r>
    <r>
      <rPr>
        <sz val="11"/>
        <rFont val="Arial"/>
        <family val="2"/>
      </rPr>
      <t>.</t>
    </r>
  </si>
  <si>
    <t xml:space="preserve">3.  Levels cover those aged 16 and over. </t>
  </si>
  <si>
    <t>2.  ":" indicates data is not available.</t>
  </si>
  <si>
    <t>1.  "x" indicates estimate is below reliability threshold or disclosive (See publication for more details).</t>
  </si>
  <si>
    <t>Notes:</t>
  </si>
  <si>
    <r>
      <t>Source:</t>
    </r>
    <r>
      <rPr>
        <sz val="11"/>
        <rFont val="Arial"/>
        <family val="2"/>
      </rPr>
      <t xml:space="preserve">  Annual Population Survey (Jan to Dec) </t>
    </r>
  </si>
  <si>
    <t>Edinburgh, City of</t>
  </si>
  <si>
    <t>Level</t>
  </si>
  <si>
    <t>Rate
(per cent)</t>
  </si>
  <si>
    <t>Geography 
(Residence Based)</t>
  </si>
  <si>
    <t>Respondents who would like to work longer hours, given the opportunity</t>
  </si>
  <si>
    <t>Return to index</t>
  </si>
  <si>
    <t>Underemployment Rate</t>
  </si>
  <si>
    <t>% of residents employed in Quality Work</t>
  </si>
  <si>
    <t>UFBB availability 2020</t>
  </si>
  <si>
    <t>Right_laua_name</t>
  </si>
  <si>
    <t>Unable 10Mb 2020</t>
  </si>
  <si>
    <t>2020 Volume</t>
  </si>
  <si>
    <t>% premises with available Ultra-fast broadband connection</t>
  </si>
  <si>
    <t>OFCOM - Connected Nations</t>
  </si>
  <si>
    <t>% premises unable to access 10Mb connection</t>
  </si>
  <si>
    <t>Fibre availability 2020</t>
  </si>
  <si>
    <t>% premises with available Fibre broadband connection</t>
  </si>
  <si>
    <t># These figures are suppressed as statistically unreliable.</t>
  </si>
  <si>
    <t>ONS Crown Copyright Reserved [from Nomis on 18 February 2021]</t>
  </si>
  <si>
    <t>% with no qualifications (NVQ) - aged 16-64</t>
  </si>
  <si>
    <t>In 2015, ONS extended the coverage of businesses to include a population of solely PAYE based businesses that were previously excluded because of the risk of duplication. In total, in 2015, 105,000 businesses have been added.Improvements in matching of administrative data and research into those units excluded has indicated that the risk of duplication is very small. The addition of these businesses brings the publication in line with Business Demography and the BIS Business Population Estimates, both of which include these businesses. For more information, see http://www.nomisweb.co.uk/articles/news/files/UKBusinessCoverage.pdf.</t>
  </si>
  <si>
    <t>All figures are rounded to avoid disclosure. Values may be rounded down to zero and so all zeros are not necessarily true zeros. Totals across tables may differ by minor amounts due to the disclosure methods used. Furthermore, figures may differ by small amounts from those published in ONS outputs due to the application of a different rounding methodology.</t>
  </si>
  <si>
    <t>legal status</t>
  </si>
  <si>
    <t>employment sizeband</t>
  </si>
  <si>
    <t>industry</t>
  </si>
  <si>
    <t>UK Business Counts - enterprises by industry and employment size band</t>
  </si>
  <si>
    <t>Aged 16 to 64</t>
  </si>
  <si>
    <t>Population estimates - local authority based by single year of age</t>
  </si>
  <si>
    <t>10 Thou</t>
  </si>
  <si>
    <t>NOMIS - UK Business Count</t>
  </si>
  <si>
    <t>Scottish Government Growth Sector Enterprise Rate (per 10,000 working-age population)</t>
  </si>
  <si>
    <t>Enterprise Rate (per 10,000 working-age population)</t>
  </si>
  <si>
    <t>Figures do not include urban vacant sites in settlements with a population of less than 2,000. These are reported separately in the Annex.</t>
  </si>
  <si>
    <t>Highland has not updated their survey since 2015 so their 2019 figures have been carried over from 2015.</t>
  </si>
  <si>
    <t>Previous SVDLS bulletins have used different base years for percentage change and so these percentages should not be compared with those in previous bulletins.</t>
  </si>
  <si>
    <t>From 2011 Loch Lomond and The Trossachs National Park took responsibility for surveying vacant and derelict land within the park boundaries. These sites are no longer recorded in Argyll and Bute, Perth and Kinross, Stirling and West Dunbartonshire local authority boundaries, and are separately identifiable as Loch Lomond and The Trossachs National Park from 2011. Prior to 2011 these sites were classified within the relevant local authority boundary.</t>
  </si>
  <si>
    <t>During 2019, historical data for the years 2013-2018 were updated as a result of improved information.  This included removing sites that should not have been included in previous years, adding sites that should have been included earlier and making any required changes to site size. Further information on this process is available in the Annex along with un-amended historical data for the survey years of 2000-2012.</t>
  </si>
  <si>
    <t>See Annex Table E for details of council participation in different years.</t>
  </si>
  <si>
    <t>Figures may not sum due to rounding.</t>
  </si>
  <si>
    <t>Local Authority</t>
  </si>
  <si>
    <t>Loch Lomond and The Trossachs National Park is not considered separately for this analysis.</t>
  </si>
  <si>
    <t>During 2019, historical data for the years 2013-2018 were updated as a result of improved information.  This included  removing sites that should not have been included in previous years, adding sites that should have been included earlier and making any required changes to site size. Further information on this process is available in the Annex along with un-amended historical data for the survey years of 2000-2012.</t>
  </si>
  <si>
    <t>See Annex Table 5 for details of council participation in different years.</t>
  </si>
  <si>
    <t>2013-2019 analysis uses the results of SIMD 2016. These figures should not be compared with those published in bulletins prior to 2016 which used an earlier version of the SIMD index.</t>
  </si>
  <si>
    <t>Area of Vacant &amp; Derelict Land (Hectares)</t>
  </si>
  <si>
    <r>
      <t>Planning Authority</t>
    </r>
    <r>
      <rPr>
        <b/>
        <vertAlign val="superscript"/>
        <sz val="10"/>
        <rFont val="Arial"/>
        <family val="2"/>
      </rPr>
      <t>6</t>
    </r>
  </si>
  <si>
    <t>Total Vacant &amp; Derelict Land (Ha)</t>
  </si>
  <si>
    <t>Scottish Government - Vacant &amp; Derelict Land Survey</t>
  </si>
  <si>
    <t>Total Vacant &amp; Derelict Land (Ha) in bottom 15% SIMD areas</t>
  </si>
  <si>
    <t>Aberdeen City Region</t>
  </si>
  <si>
    <t>Tay Cities Region</t>
  </si>
  <si>
    <t>Reference Area</t>
  </si>
  <si>
    <t>Average Sale</t>
  </si>
  <si>
    <t>GDHI per head</t>
  </si>
  <si>
    <t>House Sales - UK</t>
  </si>
  <si>
    <t>Housing Affordability Ratio (Average House Price / Gross Disposable Household Income per head)</t>
  </si>
  <si>
    <t>Social Enterprise Rate (per 10,000 total population)</t>
  </si>
  <si>
    <t>Social Enterprise in Scotland Census</t>
  </si>
  <si>
    <t>Social Enterprise</t>
  </si>
  <si>
    <t>Social Enteprise per 10,000</t>
  </si>
  <si>
    <t>GCR Member Authority</t>
  </si>
  <si>
    <t>Glasgow City Region Aggregate</t>
  </si>
  <si>
    <t>National Level</t>
  </si>
  <si>
    <t>© Crown Copyright 2020</t>
  </si>
  <si>
    <t>Further details are included in the 'Background Information' section of the report.</t>
  </si>
  <si>
    <t xml:space="preserve">Source: Council Tax base Return 2019; National Records of Scotland 2019 neighbourhood level collection of Council Tax information. </t>
  </si>
  <si>
    <t>3) Figures for 2002 onwards are based on the number of occupied dwellings, adjusted from September to June. They are then adjusted by an amount calculated from the differences in 2001 and in 2011 between the number of occupied dwellings and the number of households recorded in the census.</t>
  </si>
  <si>
    <t>2) Figures for 1991, 2001 and 2011 are based on the number of households recorded in Scotland's Census 1991, 2001 and 2011, and the mid-year population estimates.</t>
  </si>
  <si>
    <t>1) In 2013 legislation was introduced to allow councils to increase the Council Tax payable on certain types of long-term empty property. As a result, from 2013 onwards, many councils have carried out reviews of properties classed as vacant or second homes, with some being re-classified as occupied. The legislation also changed the definitions of such properties. In addition there have been some issues with how properties affected by the new charges are recorded. All of this has had an impact on the estimated number of households in this table for many council areas, and for Scotland as a whole. This makes it difficult to determine whether changes since 2012 are a result of real differences 'on-the-ground' or simply reflect the re-classification of properties.</t>
  </si>
  <si>
    <t>Footnotes</t>
  </si>
  <si>
    <t>Council area</t>
  </si>
  <si>
    <r>
      <t>Table 1: Household estimates for Scotland by council area, June 1991 to 2019</t>
    </r>
    <r>
      <rPr>
        <b/>
        <vertAlign val="superscript"/>
        <sz val="12"/>
        <rFont val="Arial"/>
        <family val="2"/>
      </rPr>
      <t>1,2,3</t>
    </r>
  </si>
  <si>
    <t>Contents</t>
  </si>
  <si>
    <t>% of Dwellings with Disrepair:</t>
  </si>
  <si>
    <t>Any (or Basic) disrepair relates to any damage where a building element requires some repair beyond routine maintenance. For example, a leaking tap would be considered any (or basic) disrepair.</t>
  </si>
  <si>
    <t>% of LA</t>
  </si>
  <si>
    <t>14/16</t>
  </si>
  <si>
    <t>15/17</t>
  </si>
  <si>
    <t>16/18</t>
  </si>
  <si>
    <t>% of Dwellings that fail the Scottish Housing Quality Standard overall</t>
  </si>
  <si>
    <t>% of Dwellings with Adaptations:</t>
  </si>
  <si>
    <t>% Dwellings in Fuel Poverty</t>
  </si>
  <si>
    <t>Geography</t>
  </si>
  <si>
    <t>% Dwellings with Accessibility Adaptations</t>
  </si>
  <si>
    <t>Scottish Household Condition Survey:  Local Authority Analyses</t>
  </si>
  <si>
    <t>% Dwellings that fail the Scottish Household Quality Standard</t>
  </si>
  <si>
    <t>% Dwellings that are in Disrepair</t>
  </si>
  <si>
    <t>ECON4 - % of procurement spend spent on local enterprises</t>
  </si>
  <si>
    <t>% of Procurement spend spent on local enterprises</t>
  </si>
  <si>
    <t>Local Government Benchmarking Framework</t>
  </si>
  <si>
    <t>Great Britain</t>
  </si>
  <si>
    <t>Count</t>
  </si>
  <si>
    <t>employment status</t>
  </si>
  <si>
    <t>date</t>
  </si>
  <si>
    <t>ONS Crown Copyright Reserved [from Nomis on 22 February 2021]</t>
  </si>
  <si>
    <t>Business Register and Employment Survey : open access</t>
  </si>
  <si>
    <t>Employees in low paid sectors</t>
  </si>
  <si>
    <t>Employment in low pay sectors (%)</t>
  </si>
  <si>
    <t>Emissions per Capita (CO2 tonnes)</t>
  </si>
  <si>
    <t>UK Government - Emissions</t>
  </si>
  <si>
    <t>2019/20</t>
  </si>
  <si>
    <t>Positive Destination</t>
  </si>
  <si>
    <t>LA Name</t>
  </si>
  <si>
    <t xml:space="preserve">Year </t>
  </si>
  <si>
    <t>For information on how the coronavirus (COVID-19) pandemic has affected these statistics, see section 1.1 of the main publication.</t>
  </si>
  <si>
    <t>Table L2.1. Percentage of school leavers by initial destination and local authority, 2009/10 to 2019/20</t>
  </si>
  <si>
    <t>Return to contents</t>
  </si>
  <si>
    <t>% of School Leavers in Positive Destinations</t>
  </si>
  <si>
    <t>Scottish Government - Attainment and Initial Leaver Destinations</t>
  </si>
  <si>
    <t>Business Expenditure in R&amp;D (per head of total population)</t>
  </si>
  <si>
    <t>Scottish Government - BERD</t>
  </si>
  <si>
    <t xml:space="preserve">             Housing Association new build information from Scottish Government Housing Investment Division: Affordable Housing Investment Programme</t>
  </si>
  <si>
    <r>
      <t xml:space="preserve">Source: </t>
    </r>
    <r>
      <rPr>
        <sz val="10"/>
        <color indexed="62"/>
        <rFont val="Arial"/>
        <family val="2"/>
      </rPr>
      <t>NB1and NB2 returns by local authorities to the Scottish Government, Communities Analysis Division (Housing Statistics)</t>
    </r>
  </si>
  <si>
    <t>SCOTLAND</t>
  </si>
  <si>
    <t>2018-19</t>
  </si>
  <si>
    <t>2017-18</t>
  </si>
  <si>
    <t>2016-17</t>
  </si>
  <si>
    <t>2015-16</t>
  </si>
  <si>
    <t>Scottish Government - Housing Quarterly</t>
  </si>
  <si>
    <t>All Sectors New Build Completions</t>
  </si>
  <si>
    <t>Current Geographies</t>
  </si>
  <si>
    <r>
      <t>Table A1 LA: Households</t>
    </r>
    <r>
      <rPr>
        <b/>
        <vertAlign val="superscript"/>
        <sz val="12"/>
        <color indexed="8"/>
        <rFont val="Arial"/>
        <family val="2"/>
      </rPr>
      <t>1</t>
    </r>
    <r>
      <rPr>
        <b/>
        <sz val="12"/>
        <color indexed="8"/>
        <rFont val="Arial"/>
        <family val="2"/>
      </rPr>
      <t xml:space="preserve"> by combined economic activity status of household members: January-December</t>
    </r>
  </si>
  <si>
    <t>% of Households that are Workless</t>
  </si>
  <si>
    <t>ONS - Households by Combined Economic Activity</t>
  </si>
  <si>
    <t>Vehicles per 1,000 17+ aged population</t>
  </si>
  <si>
    <t>DWP Stat-Xplore</t>
  </si>
  <si>
    <t>ANY UNDER-UTILISED STAFF</t>
  </si>
  <si>
    <t>West</t>
  </si>
  <si>
    <t>Tayside</t>
  </si>
  <si>
    <t>Lanarkshire</t>
  </si>
  <si>
    <t>Highlands and Islands</t>
  </si>
  <si>
    <t>Glasgow</t>
  </si>
  <si>
    <t>Forth Valley</t>
  </si>
  <si>
    <t>Edinburgh and Lothians</t>
  </si>
  <si>
    <t>Borders</t>
  </si>
  <si>
    <t>Ayrshire</t>
  </si>
  <si>
    <t>Aberdeen and Aberdeenshire</t>
  </si>
  <si>
    <t>Base: All establishments</t>
  </si>
  <si>
    <t>D15A. Proportion of staff that are under-utilised (i.e. those that have both qualifications and skills that are more advanced than required for their current job role)</t>
  </si>
  <si>
    <t>Table 111/ 1</t>
  </si>
  <si>
    <t>Back to contents</t>
  </si>
  <si>
    <t>Employer Skills Survey (ESS) 2017</t>
  </si>
  <si>
    <t>26-September-2018</t>
  </si>
  <si>
    <t>Have a skills shortage vacancy (prompted or unprompted)</t>
  </si>
  <si>
    <t>Table T41/ 1</t>
  </si>
  <si>
    <t>Summary of vacancy situation (employer base)</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</si>
  <si>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</si>
  <si>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</si>
  <si>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</si>
  <si>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</si>
  <si>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</si>
  <si>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</si>
  <si>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</si>
  <si>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</si>
  <si>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</si>
  <si>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</si>
  <si>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</si>
  <si>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</si>
  <si>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South of Scotland (enterprise agency)</t>
  </si>
  <si>
    <t>2 to 4</t>
  </si>
  <si>
    <t>5 to 24</t>
  </si>
  <si>
    <t>25 to 49</t>
  </si>
  <si>
    <t>50 to 99</t>
  </si>
  <si>
    <t>100 to 249</t>
  </si>
  <si>
    <t>250+</t>
  </si>
  <si>
    <t>5+</t>
  </si>
  <si>
    <t>25+</t>
  </si>
  <si>
    <t>100+</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</si>
  <si>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</si>
  <si>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</si>
  <si>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</si>
  <si>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</si>
  <si>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</si>
  <si>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</si>
  <si>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</si>
  <si>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</si>
  <si>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</si>
  <si>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</si>
  <si>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</si>
  <si>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</si>
  <si>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</si>
  <si>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</si>
  <si>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</si>
  <si>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</si>
  <si>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</si>
  <si>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</si>
  <si>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</si>
  <si>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</si>
  <si>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</si>
  <si>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</si>
  <si>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</si>
  <si>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</si>
  <si>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</si>
  <si>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</si>
  <si>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</si>
  <si>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</si>
  <si>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</si>
  <si>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</si>
  <si>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</si>
  <si>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</si>
  <si>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</si>
  <si>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</si>
  <si>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</si>
  <si>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</si>
  <si>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</si>
  <si>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</si>
  <si>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</si>
  <si>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</si>
  <si>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</si>
  <si>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</si>
  <si>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</si>
  <si>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</si>
  <si>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</si>
  <si>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</si>
  <si>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</si>
  <si>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</si>
  <si>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</si>
  <si>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</si>
  <si>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</si>
  <si>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20-80%</t>
  </si>
  <si>
    <t>&gt;80%</t>
  </si>
  <si>
    <t>Yes</t>
  </si>
  <si>
    <t>No</t>
  </si>
  <si>
    <t>Significance Level: 95%</t>
  </si>
  <si>
    <t>a</t>
  </si>
  <si>
    <t>b</t>
  </si>
  <si>
    <t>c</t>
  </si>
  <si>
    <t>d</t>
  </si>
  <si>
    <t>e</t>
  </si>
  <si>
    <t>f</t>
  </si>
  <si>
    <t>g</t>
  </si>
  <si>
    <t>h</t>
  </si>
  <si>
    <t>i</t>
  </si>
  <si>
    <t>j</t>
  </si>
  <si>
    <t>k</t>
  </si>
  <si>
    <t>l</t>
  </si>
  <si>
    <t>m</t>
  </si>
  <si>
    <t>n</t>
  </si>
  <si>
    <t>Unweighted row</t>
  </si>
  <si>
    <t>Have skill-shortage vacancy</t>
  </si>
  <si>
    <t>Very High</t>
  </si>
  <si>
    <t>High</t>
  </si>
  <si>
    <t>Medium</t>
  </si>
  <si>
    <t>Low</t>
  </si>
  <si>
    <t>Very Low</t>
  </si>
  <si>
    <t>Multi-site</t>
  </si>
  <si>
    <t>Arts and Other Services</t>
  </si>
  <si>
    <t>Health and social work</t>
  </si>
  <si>
    <t>Business services</t>
  </si>
  <si>
    <t>Financial services</t>
  </si>
  <si>
    <t>Transport, Storage and Comms</t>
  </si>
  <si>
    <t>Hotels and restaurants</t>
  </si>
  <si>
    <t>Wholesale and Retail</t>
  </si>
  <si>
    <t>Electricity, Gas and Water</t>
  </si>
  <si>
    <t>Agriculture</t>
  </si>
  <si>
    <t>South of Scotland</t>
  </si>
  <si>
    <t>Highland and Islands SIP</t>
  </si>
  <si>
    <t>Glasgow and Clyde Valley</t>
  </si>
  <si>
    <t>Edinburgh Fife and the Lothian</t>
  </si>
  <si>
    <t>Aberdeen City and Shire</t>
  </si>
  <si>
    <t>Composite Product Market Strategy (PMS) Index (from question H1a-d)(PRIVATE SECTOR ONLY)</t>
  </si>
  <si>
    <t>Skills deficiency summary</t>
  </si>
  <si>
    <t>Table 108/ 1</t>
  </si>
  <si>
    <t>UK Commission's Employer Skills Survey (UKCESS) 2015</t>
  </si>
  <si>
    <t>Table 107/ 1</t>
  </si>
  <si>
    <t>Gross Value Added (£m)</t>
  </si>
  <si>
    <t>n/a</t>
  </si>
  <si>
    <t>Employment Rate (%)</t>
  </si>
  <si>
    <t>Unemployment Rate (%)</t>
  </si>
  <si>
    <t>Economic Inactivity Rate (%)</t>
  </si>
  <si>
    <t>Degree-level Qualifications Rate (%)</t>
  </si>
  <si>
    <t>No Qualifications Rate (%)</t>
  </si>
  <si>
    <t>Economic Inactive:  Long-term Sick/Disabled Rate (%)</t>
  </si>
  <si>
    <t>20th Percentile Weekly Earnings (Residence-based, full-time)</t>
  </si>
  <si>
    <t>Productivity</t>
  </si>
  <si>
    <t>Proportion of buses that are compliant with the Equalities Act*</t>
  </si>
  <si>
    <t>Modal share of adults travelling to work by public transport or active travel*</t>
  </si>
  <si>
    <t>% of adults who were very satisfied or fairly satisfied with public transport services*</t>
  </si>
  <si>
    <t>CHARTS</t>
  </si>
  <si>
    <t>INCLUSIVE GROWTH</t>
  </si>
  <si>
    <t>Health</t>
  </si>
  <si>
    <t>PRODUCTIVITY</t>
  </si>
  <si>
    <t>Skills</t>
  </si>
  <si>
    <t>Labour Market</t>
  </si>
  <si>
    <t>Place Accessibility</t>
  </si>
  <si>
    <t>Place Infrastructure</t>
  </si>
  <si>
    <t>Business</t>
  </si>
  <si>
    <t>People</t>
  </si>
  <si>
    <t>Grand Challenges and Themes</t>
  </si>
  <si>
    <t>(Find charts below table)</t>
  </si>
  <si>
    <t xml:space="preserve">Volume Change required to meet Geographical Comparison Area:  </t>
  </si>
  <si>
    <t>No Qualifications (%)</t>
  </si>
  <si>
    <t>Economic Inactive by reason:  Long-term Ill-health (%)</t>
  </si>
  <si>
    <t xml:space="preserve">% Point Change required to meet Geographical Comparison Area:  </t>
  </si>
  <si>
    <t>USER NOTE</t>
  </si>
  <si>
    <t xml:space="preserve">This sheet was provided by Glasgow City Region Intelligence Hub on: </t>
  </si>
  <si>
    <t>S12000024</t>
  </si>
  <si>
    <t>S12000015</t>
  </si>
  <si>
    <t>Council areas</t>
  </si>
  <si>
    <t>S92000003</t>
  </si>
  <si>
    <t>65+</t>
  </si>
  <si>
    <t>45-64</t>
  </si>
  <si>
    <t>30-44</t>
  </si>
  <si>
    <t>15-29</t>
  </si>
  <si>
    <t>0-14</t>
  </si>
  <si>
    <t>2014-15</t>
  </si>
  <si>
    <t>2013-14</t>
  </si>
  <si>
    <t>2012-13</t>
  </si>
  <si>
    <t>2011-12</t>
  </si>
  <si>
    <t>2010-11</t>
  </si>
  <si>
    <t>Total net migration by council area, by age group and sex, 2008-09 to 2018-19</t>
  </si>
  <si>
    <t>Cumulative Net Migration by Age 2008/09 to 2018/19</t>
  </si>
  <si>
    <t>NRS - Net Migration</t>
  </si>
  <si>
    <t>Aged 0-14</t>
  </si>
  <si>
    <t>Aged 15-29</t>
  </si>
  <si>
    <t>Aged 30-44</t>
  </si>
  <si>
    <t>Aged 45-64</t>
  </si>
  <si>
    <t>Aged 65+</t>
  </si>
  <si>
    <t>Return to Index RAG</t>
  </si>
  <si>
    <t>Number of Incapacity-based benefits (per 1,000 16-64 population)</t>
  </si>
  <si>
    <t>Member Authority RAG</t>
  </si>
  <si>
    <t>Glasgow City Region RAG</t>
  </si>
  <si>
    <t>An overview of the workbook's functions can be found on the attached word document:</t>
  </si>
  <si>
    <t>↑</t>
  </si>
  <si>
    <t>↓</t>
  </si>
  <si>
    <t>↔</t>
  </si>
  <si>
    <t>Business Birth Rate (per 10,000 16-64 Population)</t>
  </si>
  <si>
    <t>Business Demography</t>
  </si>
  <si>
    <t>New Enterprise Survival Rate % (3 Year)</t>
  </si>
  <si>
    <t>Business Death Rate (per 10,000 16-64 Population)</t>
  </si>
  <si>
    <t xml:space="preserve">Volume Change Required to match Geographic Area - </t>
  </si>
  <si>
    <t>Short-term Performance Against National Trends</t>
  </si>
  <si>
    <t>Current Performance Against National Average</t>
  </si>
  <si>
    <t>Performance Target</t>
  </si>
  <si>
    <t>Index and RAG Analysis</t>
  </si>
  <si>
    <t>Annual Population Survey 2021</t>
  </si>
  <si>
    <t>Jan 2020-Dec 2020</t>
  </si>
  <si>
    <t>Rate of Housing New Builds (per 10,000 total population)</t>
  </si>
  <si>
    <t>Rate of Social Housing New Builds (per 10,000 total population)</t>
  </si>
  <si>
    <t xml:space="preserve">Gender Employment Gap (% points) </t>
  </si>
  <si>
    <t>Date</t>
  </si>
  <si>
    <t>Pan-Lanarkshire</t>
  </si>
  <si>
    <t>R&amp;D per 1,000</t>
  </si>
  <si>
    <t>Indicator</t>
  </si>
  <si>
    <t>Percentage Gap</t>
  </si>
  <si>
    <t>Volume Gap</t>
  </si>
  <si>
    <t>% premises unable to access 10Mb connection*</t>
  </si>
  <si>
    <t>% premises with available Ultra-fast broadband connection*</t>
  </si>
  <si>
    <t>% premises with available Fibre broadband connection*</t>
  </si>
  <si>
    <t xml:space="preserve">% Point Change Required to match Geographic Area - </t>
  </si>
  <si>
    <t>LGBF Family Group 1</t>
  </si>
  <si>
    <t>LGBF Family Group 2</t>
  </si>
  <si>
    <t>LGBF Family Group 3</t>
  </si>
  <si>
    <t>LGBF Family Group 4</t>
  </si>
  <si>
    <t>LGBF Family Group 1 Average</t>
  </si>
  <si>
    <t>LGBF Family Group 2 Average</t>
  </si>
  <si>
    <t>LGBF Family Group 3 Average</t>
  </si>
  <si>
    <t>LGBF Family Group 4 Average</t>
  </si>
  <si>
    <t>LGBF Family Group</t>
  </si>
  <si>
    <t>Children / Housing / Social</t>
  </si>
  <si>
    <t>Environment / Eco Dev</t>
  </si>
  <si>
    <t>Demfries and Galloway</t>
  </si>
  <si>
    <t xml:space="preserve">Edinburgh, City of </t>
  </si>
  <si>
    <t>4) For Aberdeen City, Edinburgh, City of and Glasgow City an adjustment has been made to remove additional student halls of residence from the household count. This adjustment affects Aberdeen City (2017 to 2019), Edinburgh, City of (2014 to 2019), and Glasgow City (2012 to 2019).</t>
  </si>
  <si>
    <t>{"Perth and Kinross","Stirling","Moray","South Ayrshire","East Ayrshire","East Lothian","North Ayrshire","Fife"}</t>
  </si>
  <si>
    <t>{"Angus","Clackmannanshire","Midlothian","South Lanarkshire","Inverclyde","Renfrewshire","West Lothian","East Renfrewshire"}</t>
  </si>
  <si>
    <t>{"North Lanarkshire","Falkirk","East Dunbartonshire","Aberdeen City","Edinburgh, City of","West Dunbartonshire","Dundee City","Glasgow City"}</t>
  </si>
  <si>
    <t>{"Na h-Eileanan Siar","Argyll and Bute","Shetland Islands","Highland","Orkney Islands","Scottish Borders","Dumfries and Galloway","Aberdeenshire"}</t>
  </si>
  <si>
    <t>V&amp;DL %</t>
  </si>
  <si>
    <t>Derelict Land as a % of Total Area</t>
  </si>
  <si>
    <t xml:space="preserve">RAG Performance Geography:  </t>
  </si>
  <si>
    <t xml:space="preserve">RAG Performance Parameter:  </t>
  </si>
  <si>
    <t>Feedback</t>
  </si>
  <si>
    <t>Status</t>
  </si>
  <si>
    <t>Complete</t>
  </si>
  <si>
    <t>In Progress</t>
  </si>
  <si>
    <t>Incomplete</t>
  </si>
  <si>
    <t>Adjust the RAG Analysis to choose between Scotland or UK</t>
  </si>
  <si>
    <t>Addition of further Sustainability measures</t>
  </si>
  <si>
    <t>Addition of relevant SLAED Performance Indicators</t>
  </si>
  <si>
    <t>Allow sorting by RAG status</t>
  </si>
  <si>
    <t>Include Local Government Benchmarking Framework (LGBF) Family Group comparators.</t>
  </si>
  <si>
    <t>Addition of relevant LGBF indicators</t>
  </si>
  <si>
    <t>Addition of latest estimates of the Coronavirus Job Retention Scheme</t>
  </si>
  <si>
    <t>Include a Descriptor/Methodology box for each individual indicator sheet</t>
  </si>
  <si>
    <t>Addition of a Vacant &amp; Derelict Land measures that accounts for land size</t>
  </si>
  <si>
    <t>Inclusion of indicative dates for next data release for each indicator</t>
  </si>
  <si>
    <t>School Leaver Destination Result RAG status needs updated</t>
  </si>
  <si>
    <t>Addition of Wellbeing indicators</t>
  </si>
  <si>
    <t>Emissions</t>
  </si>
  <si>
    <t>19/20</t>
  </si>
  <si>
    <t>Num</t>
  </si>
  <si>
    <t>Den</t>
  </si>
  <si>
    <t>17/19</t>
  </si>
  <si>
    <t>17/19 Volume</t>
  </si>
  <si>
    <t>ONS Crown Copyright Reserved [from Nomis on 30 September 2021]</t>
  </si>
  <si>
    <t>All Ages</t>
  </si>
  <si>
    <t>City of Edinburgh</t>
  </si>
  <si>
    <t>2021 Volume</t>
  </si>
  <si>
    <t>Unable 10Mb 2021</t>
  </si>
  <si>
    <t>UFBB availability 2021</t>
  </si>
  <si>
    <t>Fibre availability 2021</t>
  </si>
  <si>
    <t>Table 1.15: Underemployment of population aged 16 and over, by local authority, Scotland, 2004 to 2020</t>
  </si>
  <si>
    <t>Scotland's Labour Market</t>
  </si>
  <si>
    <t>2019-20</t>
  </si>
  <si>
    <t>- Data unavailable</t>
  </si>
  <si>
    <t>Gap Analysis</t>
  </si>
  <si>
    <t>Edinburgh &amp; South East Scotland City Region</t>
  </si>
  <si>
    <t>ONS Crown Copyright Reserved [from Nomis on 19 April 2022]</t>
  </si>
  <si>
    <t>Jan 2021-Dec 2021</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</si>
  <si>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</si>
  <si>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</si>
  <si>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The estimates for Northern Ireland released on 14 Sep 2021 have not had the non-response bias adjustment from the reweighting fully applied. Early indications suggest the impact on UK headline rate estimates would be less than 0.1 percentage point.</t>
  </si>
  <si>
    <t>% Children in Child Poverty after Housing Costs</t>
  </si>
  <si>
    <t>20/21</t>
  </si>
  <si>
    <t>2020/21</t>
  </si>
  <si>
    <t>Business Register and Employment Survey</t>
  </si>
  <si>
    <t>Female</t>
  </si>
  <si>
    <t>2018-20</t>
  </si>
  <si>
    <t>K02000001</t>
  </si>
  <si>
    <t>Male</t>
  </si>
  <si>
    <t>2018/20</t>
  </si>
  <si>
    <t>ONS Crown Copyright Reserved [from Nomis on 21 April 2022]</t>
  </si>
  <si>
    <t>Calendar year time series: 1996q2 to latest available by local authority area (the calendar year runs from January to December)</t>
  </si>
  <si>
    <t>2022 Volume</t>
  </si>
  <si>
    <t>Emissions per Capita (CO2 Equivalent tonnes)</t>
  </si>
  <si>
    <t>Emissions per square kilometers (CO2 Equivalent tonnes)</t>
  </si>
  <si>
    <t>2010/11 to 2020/21</t>
  </si>
  <si>
    <t>2020-21</t>
  </si>
  <si>
    <t>Cumulative Net Migration by Age 2010/11 to 2020/21</t>
  </si>
  <si>
    <t>Unable 10Mb 2022</t>
  </si>
  <si>
    <t>% of premises unable to receive 10Mbit/s</t>
  </si>
  <si>
    <t>All Premises</t>
  </si>
  <si>
    <t>Number of premises unable to receive 10Mbit/s</t>
  </si>
  <si>
    <t>Fibre availability 2022</t>
  </si>
  <si>
    <t>Full Fibre availability (% premises)</t>
  </si>
  <si>
    <t>Number of premises with Full Fibre availability</t>
  </si>
  <si>
    <t>UFBB availability 2022</t>
  </si>
  <si>
    <t>UFBB availability (% premises)</t>
  </si>
  <si>
    <t>Number of premises with UFBB availability</t>
  </si>
  <si>
    <t>num</t>
  </si>
  <si>
    <t>den</t>
  </si>
  <si>
    <t>ONS Job Quality Indicator Tables</t>
  </si>
  <si>
    <t>Satisfactory hours (% of employees)</t>
  </si>
  <si>
    <t>Zero-hour contracts (% of employees)</t>
  </si>
  <si>
    <t>Region name</t>
  </si>
  <si>
    <t>ITL 1 region: TLM Scotland: GDHI per head of total population at current basic prices</t>
  </si>
  <si>
    <t>Source</t>
  </si>
  <si>
    <t>http://statistics.gov.scot/id/statistical-geography/S12000040</t>
  </si>
  <si>
    <t>http://statistics.gov.scot/id/statistical-geography/S12000039</t>
  </si>
  <si>
    <t>http://statistics.gov.scot/id/statistical-geography/S12000030</t>
  </si>
  <si>
    <t>http://statistics.gov.scot/id/statistical-geography/S12000029</t>
  </si>
  <si>
    <t>http://statistics.gov.scot/id/statistical-geography/S12000028</t>
  </si>
  <si>
    <t>http://statistics.gov.scot/id/statistical-geography/S12000027</t>
  </si>
  <si>
    <t>http://statistics.gov.scot/id/statistical-geography/S12000026</t>
  </si>
  <si>
    <t>http://statistics.gov.scot/id/statistical-geography/S12000038</t>
  </si>
  <si>
    <t>http://statistics.gov.scot/id/statistical-geography/S12000048</t>
  </si>
  <si>
    <t>http://statistics.gov.scot/id/statistical-geography/S12000023</t>
  </si>
  <si>
    <t>http://statistics.gov.scot/id/statistical-geography/S12000050</t>
  </si>
  <si>
    <t>http://statistics.gov.scot/id/statistical-geography/S12000021</t>
  </si>
  <si>
    <t>http://statistics.gov.scot/id/statistical-geography/S12000013</t>
  </si>
  <si>
    <t>http://statistics.gov.scot/id/statistical-geography/S12000020</t>
  </si>
  <si>
    <t>http://statistics.gov.scot/id/statistical-geography/S12000019</t>
  </si>
  <si>
    <t>http://statistics.gov.scot/id/statistical-geography/S12000018</t>
  </si>
  <si>
    <t>http://statistics.gov.scot/id/statistical-geography/S12000017</t>
  </si>
  <si>
    <t>http://statistics.gov.scot/id/statistical-geography/S12000049</t>
  </si>
  <si>
    <t>http://statistics.gov.scot/id/statistical-geography/S12000047</t>
  </si>
  <si>
    <t>http://statistics.gov.scot/id/statistical-geography/S12000014</t>
  </si>
  <si>
    <t>http://statistics.gov.scot/id/statistical-geography/S12000011</t>
  </si>
  <si>
    <t>http://statistics.gov.scot/id/statistical-geography/S12000010</t>
  </si>
  <si>
    <t>http://statistics.gov.scot/id/statistical-geography/S12000045</t>
  </si>
  <si>
    <t>http://statistics.gov.scot/id/statistical-geography/S12000008</t>
  </si>
  <si>
    <t>http://statistics.gov.scot/id/statistical-geography/S12000042</t>
  </si>
  <si>
    <t>http://statistics.gov.scot/id/statistical-geography/S12000006</t>
  </si>
  <si>
    <t>http://statistics.gov.scot/id/statistical-geography/S12000005</t>
  </si>
  <si>
    <t>http://statistics.gov.scot/id/statistical-geography/S12000036</t>
  </si>
  <si>
    <t>http://statistics.gov.scot/id/statistical-geography/S12000035</t>
  </si>
  <si>
    <t>http://statistics.gov.scot/id/statistical-geography/S12000041</t>
  </si>
  <si>
    <t>http://statistics.gov.scot/id/statistical-geography/S12000034</t>
  </si>
  <si>
    <t>http://statistics.gov.scot/id/statistical-geography/S12000033</t>
  </si>
  <si>
    <t>http://statistics.gov.scot/id/statistical-geography/S92000003</t>
  </si>
  <si>
    <t>http://purl.org/linked-data/sdmx/2009/dimension#refArea</t>
  </si>
  <si>
    <t>Mean(Pounds (GBP))</t>
  </si>
  <si>
    <t xml:space="preserve">Measure (cell values): </t>
  </si>
  <si>
    <t>Sales</t>
  </si>
  <si>
    <t>Reference Period</t>
  </si>
  <si>
    <t>Residential Properties Sales and Price</t>
  </si>
  <si>
    <t>http://statistics.gov.scot/data/residential-properties-sales-and-price</t>
  </si>
  <si>
    <t>2023-02-21T09:07:11+00:00</t>
  </si>
  <si>
    <t>Generated by http://statistics.gov.scot</t>
  </si>
  <si>
    <t>Price - Median</t>
  </si>
  <si>
    <t>dumfries and Galloway</t>
  </si>
  <si>
    <t>East dunbartonshire</t>
  </si>
  <si>
    <t>West dunbartonshire</t>
  </si>
  <si>
    <t>Glasgow city Region</t>
  </si>
  <si>
    <t>Aberdeen city</t>
  </si>
  <si>
    <t>Edinburgh, city of</t>
  </si>
  <si>
    <t>dundee city</t>
  </si>
  <si>
    <t>Glasgow city</t>
  </si>
  <si>
    <t>clackmannanshire</t>
  </si>
  <si>
    <t>Benefit Combinations - Data from August 2021 for Scotland (I
II
III
VII)</t>
  </si>
  <si>
    <t>Counting: Benefit Combinations Scotland</t>
  </si>
  <si>
    <t>Filters:</t>
  </si>
  <si>
    <t>Default Summation</t>
  </si>
  <si>
    <t>Benefit Combinations Scotland</t>
  </si>
  <si>
    <t>Quarter</t>
  </si>
  <si>
    <t>INCAP</t>
  </si>
  <si>
    <t>Population/1000</t>
  </si>
  <si>
    <t>LA &amp; Year</t>
  </si>
  <si>
    <t>LA code</t>
  </si>
  <si>
    <t>Years</t>
  </si>
  <si>
    <t>2021/22</t>
  </si>
  <si>
    <t>[c]</t>
  </si>
  <si>
    <t>S</t>
  </si>
  <si>
    <t xml:space="preserve"> Cumulative Net Migration 20010/11 to 2020/21</t>
  </si>
  <si>
    <t>Low Pay (% of employees)</t>
  </si>
  <si>
    <t>Jan 2022-Dec 2022</t>
  </si>
  <si>
    <t>~</t>
  </si>
  <si>
    <t>!</t>
  </si>
  <si>
    <t>ONS Crown Copyright Reserved [from Nomis on 16 May 2023]</t>
  </si>
  <si>
    <t>local authority: district / unitary (as of April 2021)</t>
  </si>
  <si>
    <t>21/22</t>
  </si>
  <si>
    <t>Forth Valley Region</t>
  </si>
  <si>
    <t>Edinburgh and South East Scotland City Region</t>
  </si>
  <si>
    <t>National - Regional - LA - OAs by Quarter and INCAP</t>
  </si>
  <si>
    <t>Number of Incapacity-based benefits (per 1,000 16-64 pop)</t>
  </si>
  <si>
    <t>ONS Crown Copyright Reserved [from Nomis on 5 September 2023]</t>
  </si>
  <si>
    <t>20th Percentile Weekly Earnings (Residence-based, FT)</t>
  </si>
  <si>
    <t>ONS Business Demography</t>
  </si>
  <si>
    <t>Births</t>
  </si>
  <si>
    <t>Deaths</t>
  </si>
  <si>
    <t>Businesses Survived</t>
  </si>
  <si>
    <t>Businesses Births</t>
  </si>
  <si>
    <t>Area name</t>
  </si>
  <si>
    <t>Workless households
(thousands)</t>
  </si>
  <si>
    <t>Workless households
(per cent)</t>
  </si>
  <si>
    <t>Country</t>
  </si>
  <si>
    <t>Area type</t>
  </si>
  <si>
    <t>Area code</t>
  </si>
  <si>
    <t>Sex_code</t>
  </si>
  <si>
    <t>Ageband</t>
  </si>
  <si>
    <t>Age group</t>
  </si>
  <si>
    <t>Healthy life expectancy (HLE)</t>
  </si>
  <si>
    <t>&lt;1</t>
  </si>
  <si>
    <t>Local Areas</t>
  </si>
  <si>
    <t>#</t>
  </si>
  <si>
    <t>Employees</t>
  </si>
  <si>
    <t>Flags</t>
  </si>
  <si>
    <t>2023 Volume</t>
  </si>
  <si>
    <t>2019 Volume</t>
  </si>
  <si>
    <t>Argyll AND Bute</t>
  </si>
  <si>
    <t>Dumfries AND Galloway</t>
  </si>
  <si>
    <t>Perth AND Kinross</t>
  </si>
  <si>
    <t>Orkney ISLANDS</t>
  </si>
  <si>
    <t>Shetland ISLANDS</t>
  </si>
  <si>
    <t>Unable 10Mb 2023</t>
  </si>
  <si>
    <t>SCottish Borders</t>
  </si>
  <si>
    <t>UFBB availability 2023</t>
  </si>
  <si>
    <t>Fibre availability 2023</t>
  </si>
  <si>
    <t>Number of leavers</t>
  </si>
  <si>
    <t>2022-23</t>
  </si>
  <si>
    <t>2021-22</t>
  </si>
  <si>
    <t>2009-10</t>
  </si>
  <si>
    <t>2022/23</t>
  </si>
  <si>
    <t>2022/23 Volume</t>
  </si>
  <si>
    <t>Jan 2023-Dec 2023</t>
  </si>
  <si>
    <t>RQF Level 4+ Qualifications (%)</t>
  </si>
  <si>
    <t>Annual Population Survey 2023</t>
  </si>
  <si>
    <t>High Qualifications Rate (%)</t>
  </si>
  <si>
    <t>2019</t>
  </si>
  <si>
    <t>2020</t>
  </si>
  <si>
    <t>2021</t>
  </si>
  <si>
    <t>2022</t>
  </si>
  <si>
    <t>Note:</t>
  </si>
  <si>
    <t>September 2021</t>
  </si>
  <si>
    <t>September 2022</t>
  </si>
  <si>
    <t>September 2023</t>
  </si>
  <si>
    <t>September 2024</t>
  </si>
  <si>
    <t>ONS Crown Copyright Reserved [from Nomis on 29 October 2024]</t>
  </si>
  <si>
    <t>Sep-24 Volume</t>
  </si>
  <si>
    <t>Table 5: Total Derelict and Urban Vacant Land by Planning Authority, 2017-2023</t>
  </si>
  <si>
    <t>Table 11: Derelict and Urban Vacant Land located within the 15% most deprived datazones, 2017-2023</t>
  </si>
  <si>
    <t>Feb-21</t>
  </si>
  <si>
    <t>Feb-22</t>
  </si>
  <si>
    <t>Feb-23</t>
  </si>
  <si>
    <t>Feb-24</t>
  </si>
  <si>
    <t>Aug 2024 Volume</t>
  </si>
  <si>
    <t>2024 Volume</t>
  </si>
  <si>
    <t>ONS Crown Copyright Reserved [from Nomis on 5 November 2024]</t>
  </si>
  <si>
    <t>"Low Pay Sectors"</t>
  </si>
  <si>
    <t>Industry percentage</t>
  </si>
  <si>
    <t>(Broad industries: G, I, N)</t>
  </si>
  <si>
    <t>Any queries should be directed to Finn Clasen:</t>
  </si>
  <si>
    <t>Finn.Clasen@glasgow.gov.uk</t>
  </si>
  <si>
    <t>Indiactor Update since last publication (May 24)</t>
  </si>
  <si>
    <t>Scottish Government confirmed that survey sampling was disrupted due to COVID. The intention is to produce new local authority estimates in early 2026.</t>
  </si>
  <si>
    <t>Removed</t>
  </si>
  <si>
    <t>Scottish estimates not published due to delayed Scottish Census publication</t>
  </si>
  <si>
    <t>Awaiting publication - contacted Scottish Government for update</t>
  </si>
  <si>
    <t>Awaiting publication - contacted Office for National Statistics for update</t>
  </si>
  <si>
    <t>No longer published in VDL release</t>
  </si>
  <si>
    <t>Net migration by age breakdown no longer published by National Records of Scotland</t>
  </si>
  <si>
    <t>GDHI updated only</t>
  </si>
  <si>
    <t>Multiple attempts have been made to contact the Social Value Lab to confirm if there is any intention on future publications. No response has been received to date</t>
  </si>
  <si>
    <t>Scottish Government has confimred that subnational estimates of BERD have been discontinued</t>
  </si>
  <si>
    <t>Indicator Updates</t>
  </si>
  <si>
    <t>Net Zero</t>
  </si>
  <si>
    <t>22/23</t>
  </si>
  <si>
    <t>! Data cannot be disclosed</t>
  </si>
  <si>
    <t xml:space="preserve">% premises unable to access 10Mb connection </t>
  </si>
  <si>
    <t xml:space="preserve">% premises with available Ultra-fast broadband connection </t>
  </si>
  <si>
    <t xml:space="preserve">% premises with available Fibre broadband connection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</si>
</sst>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
    <numFmt numFmtId="167" formatCode="0.0"/>
    <numFmt numFmtId="168" formatCode="mmmm\ yyyy"/>
    <numFmt numFmtId="169" formatCode="[=0]&quot;- &quot;;[&lt;0.5]&quot;* &quot;;#,##0&quot; &quot;"/>
    <numFmt numFmtId="170" formatCode="##0&quot; &quot;"/>
    <numFmt numFmtId="171" formatCode="_-* #,##0_-;\-* #,##0_-;_-* &quot;-&quot;??_-;_-@_-"/>
    <numFmt numFmtId="172" formatCode="[=0]&quot;-&quot;;[&lt;0.5]&quot;*&quot;;#,##0&quot;&quot;"/>
    <numFmt numFmtId="173" formatCode="[=0]&quot;   -  &quot;;[&lt;0.5]&quot;  *  &quot;;#,##0&quot;     &quot;"/>
    <numFmt numFmtId="174" formatCode="#,##0;[Red]#,##0"/>
    <numFmt numFmtId="175" formatCode="General_)"/>
    <numFmt numFmtId="176" formatCode="&quot;£&quot;#,##0.0"/>
    <numFmt numFmtId="177" formatCode="#\ \ ##0"/>
    <numFmt numFmtId="178" formatCode="#,##0_ ;\-#,##0\ "/>
    <numFmt numFmtId="179" formatCode="#,##0,"/>
    <numFmt numFmtId="180" formatCode="_-* #,##0.0_-;\-* #,##0.0_-;_-* &quot;-&quot;??_-;_-@_-"/>
  </numFmts>
  <fonts count="136">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0"/>
      <name val="Arial"/>
      <family val="2"/>
    </font>
    <font>
      <b/>
      <sz val="10"/>
      <name val="Arial"/>
      <family val="2"/>
    </font>
    <font>
      <sz val="10"/>
      <name val="Arial"/>
      <family val="2"/>
    </font>
    <font>
      <sz val="10"/>
      <name val="Arial"/>
      <family val="2"/>
    </font>
    <font>
      <sz val="10"/>
      <name val="Arial"/>
      <family val="2"/>
    </font>
    <font>
      <sz val="10"/>
      <name val="Arial"/>
      <family val="2"/>
    </font>
    <font>
      <u/>
      <sz val="11"/>
      <color theme="10"/>
      <name val="Calibri"/>
      <family val="2"/>
      <scheme val="minor"/>
    </font>
    <font>
      <b/>
      <sz val="10"/>
      <name val="Calibri"/>
      <family val="2"/>
      <scheme val="minor"/>
    </font>
    <font>
      <sz val="10"/>
      <color indexed="8"/>
      <name val="Calibri"/>
      <family val="2"/>
      <scheme val="minor"/>
    </font>
    <font>
      <u/>
      <sz val="10"/>
      <color theme="10"/>
      <name val="Calibri"/>
      <family val="2"/>
      <scheme val="minor"/>
    </font>
    <font>
      <sz val="10"/>
      <name val="Calibri"/>
      <family val="2"/>
      <scheme val="minor"/>
    </font>
    <font>
      <b/>
      <sz val="9"/>
      <name val="Calibri"/>
      <family val="2"/>
      <scheme val="minor"/>
    </font>
    <font>
      <sz val="10"/>
      <name val="Arial"/>
      <family val="2"/>
    </font>
    <font>
      <sz val="11"/>
      <name val="Calibri"/>
      <family val="2"/>
    </font>
    <font>
      <b/>
      <sz val="11"/>
      <color theme="1"/>
      <name val="Calibri"/>
      <family val="2"/>
      <scheme val="minor"/>
    </font>
    <font>
      <sz val="10"/>
      <color theme="1"/>
      <name val="Calibri"/>
      <family val="2"/>
      <scheme val="minor"/>
    </font>
    <font>
      <b/>
      <sz val="10"/>
      <name val="Arial"/>
      <family val="2"/>
    </font>
    <font>
      <b/>
      <sz val="12"/>
      <name val="Arial"/>
      <family val="2"/>
    </font>
    <font>
      <b/>
      <sz val="20"/>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name val="Calibri"/>
      <family val="2"/>
      <scheme val="minor"/>
    </font>
    <font>
      <sz val="11"/>
      <color indexed="8"/>
      <name val="Calibri"/>
      <family val="2"/>
      <scheme val="minor"/>
    </font>
    <font>
      <sz val="10"/>
      <name val="Arial"/>
      <family val="2"/>
    </font>
    <font>
      <b/>
      <sz val="12"/>
      <name val="Arial"/>
      <family val="2"/>
    </font>
    <font>
      <sz val="11"/>
      <name val="Arial"/>
      <family val="2"/>
    </font>
    <font>
      <b/>
      <sz val="11"/>
      <name val="Arial"/>
      <family val="2"/>
    </font>
    <font>
      <sz val="10"/>
      <name val="Geneva"/>
    </font>
    <font>
      <sz val="11"/>
      <color theme="1"/>
      <name val="Arial"/>
      <family val="2"/>
    </font>
    <font>
      <i/>
      <sz val="11"/>
      <name val="Arial"/>
      <family val="2"/>
    </font>
    <font>
      <b/>
      <i/>
      <sz val="11"/>
      <color theme="0"/>
      <name val="Arial"/>
      <family val="2"/>
    </font>
    <font>
      <b/>
      <sz val="14"/>
      <color theme="0"/>
      <name val="Arial"/>
      <family val="2"/>
    </font>
    <font>
      <u/>
      <sz val="10"/>
      <color indexed="12"/>
      <name val="Arial"/>
      <family val="2"/>
    </font>
    <font>
      <u/>
      <sz val="11"/>
      <color indexed="12"/>
      <name val="Arial"/>
      <family val="2"/>
    </font>
    <font>
      <b/>
      <sz val="10"/>
      <color theme="1"/>
      <name val="Calibri"/>
      <family val="2"/>
      <scheme val="minor"/>
    </font>
    <font>
      <sz val="10"/>
      <color rgb="FF00B050"/>
      <name val="Arial"/>
      <family val="2"/>
    </font>
    <font>
      <sz val="10"/>
      <color rgb="FF7030A0"/>
      <name val="Arial"/>
      <family val="2"/>
    </font>
    <font>
      <sz val="8"/>
      <color rgb="FFFF0000"/>
      <name val="Arial"/>
      <family val="2"/>
    </font>
    <font>
      <sz val="10"/>
      <color rgb="FFFF0000"/>
      <name val="Arial"/>
      <family val="2"/>
    </font>
    <font>
      <sz val="10"/>
      <color theme="0" tint="-0.499984740745262"/>
      <name val="Arial"/>
      <family val="2"/>
    </font>
    <font>
      <sz val="8"/>
      <name val="Arial"/>
      <family val="2"/>
    </font>
    <font>
      <sz val="10"/>
      <color rgb="FF000000"/>
      <name val="Arial"/>
      <family val="2"/>
    </font>
    <font>
      <b/>
      <vertAlign val="superscript"/>
      <sz val="10"/>
      <name val="Arial"/>
      <family val="2"/>
    </font>
    <font>
      <sz val="10"/>
      <color indexed="10"/>
      <name val="Arial"/>
      <family val="2"/>
    </font>
    <font>
      <b/>
      <sz val="8"/>
      <name val="Arial"/>
      <family val="2"/>
    </font>
    <font>
      <b/>
      <vertAlign val="superscript"/>
      <sz val="12"/>
      <name val="Arial"/>
      <family val="2"/>
    </font>
    <font>
      <sz val="10"/>
      <color theme="3"/>
      <name val="Arial"/>
      <family val="2"/>
    </font>
    <font>
      <b/>
      <sz val="10"/>
      <color theme="3"/>
      <name val="Arial"/>
      <family val="2"/>
    </font>
    <font>
      <i/>
      <sz val="10"/>
      <color theme="3"/>
      <name val="Arial"/>
      <family val="2"/>
    </font>
    <font>
      <b/>
      <i/>
      <sz val="10"/>
      <color theme="3"/>
      <name val="Arial"/>
      <family val="2"/>
    </font>
    <font>
      <u/>
      <sz val="11"/>
      <color theme="1"/>
      <name val="Calibri"/>
      <family val="2"/>
      <scheme val="minor"/>
    </font>
    <font>
      <b/>
      <sz val="14"/>
      <color rgb="FFFF0000"/>
      <name val="Calibri"/>
      <family val="2"/>
      <scheme val="minor"/>
    </font>
    <font>
      <sz val="12"/>
      <color theme="1"/>
      <name val="Arial"/>
      <family val="2"/>
    </font>
    <font>
      <b/>
      <sz val="12"/>
      <color theme="1"/>
      <name val="Arial"/>
      <family val="2"/>
    </font>
    <font>
      <sz val="12"/>
      <name val="Arial"/>
      <family val="2"/>
    </font>
    <font>
      <sz val="10"/>
      <color theme="1"/>
      <name val="Arial"/>
      <family val="2"/>
    </font>
    <font>
      <sz val="10"/>
      <color theme="9"/>
      <name val="Arial"/>
      <family val="2"/>
    </font>
    <font>
      <sz val="8"/>
      <color indexed="62"/>
      <name val="Arial"/>
      <family val="2"/>
    </font>
    <font>
      <b/>
      <sz val="8"/>
      <color indexed="62"/>
      <name val="Arial"/>
      <family val="2"/>
    </font>
    <font>
      <sz val="10"/>
      <color indexed="62"/>
      <name val="Arial"/>
      <family val="2"/>
    </font>
    <font>
      <b/>
      <sz val="10"/>
      <color indexed="62"/>
      <name val="Arial"/>
      <family val="2"/>
    </font>
    <font>
      <b/>
      <vertAlign val="superscript"/>
      <sz val="12"/>
      <color indexed="8"/>
      <name val="Arial"/>
      <family val="2"/>
    </font>
    <font>
      <b/>
      <sz val="12"/>
      <color indexed="8"/>
      <name val="Arial"/>
      <family val="2"/>
    </font>
    <font>
      <sz val="12"/>
      <name val="Helv"/>
    </font>
    <font>
      <i/>
      <sz val="10"/>
      <name val="Arial"/>
      <family val="2"/>
    </font>
    <font>
      <b/>
      <sz val="9"/>
      <name val="Arial"/>
      <family val="2"/>
    </font>
    <font>
      <sz val="11"/>
      <color rgb="FF000000"/>
      <name val="Calibri"/>
      <family val="2"/>
    </font>
    <font>
      <b/>
      <sz val="10"/>
      <color rgb="FF000000"/>
      <name val="Arial"/>
      <family val="2"/>
    </font>
    <font>
      <u/>
      <sz val="11"/>
      <color rgb="FF0563C1"/>
      <name val="Calibri"/>
      <family val="2"/>
    </font>
    <font>
      <sz val="12"/>
      <color rgb="FF000000"/>
      <name val="Arial"/>
      <family val="2"/>
    </font>
    <font>
      <b/>
      <sz val="10"/>
      <color theme="1"/>
      <name val="Arial"/>
      <family val="2"/>
    </font>
    <font>
      <sz val="9"/>
      <name val="Calibri"/>
      <family val="2"/>
      <scheme val="minor"/>
    </font>
    <font>
      <b/>
      <sz val="9"/>
      <color theme="1"/>
      <name val="Calibri"/>
      <family val="2"/>
      <scheme val="minor"/>
    </font>
    <font>
      <sz val="9"/>
      <color theme="1"/>
      <name val="Calibri"/>
      <family val="2"/>
      <scheme val="minor"/>
    </font>
    <font>
      <u/>
      <sz val="9"/>
      <color theme="10"/>
      <name val="Calibri"/>
      <family val="2"/>
      <scheme val="minor"/>
    </font>
    <font>
      <sz val="9"/>
      <color indexed="8"/>
      <name val="Calibri"/>
      <family val="2"/>
      <scheme val="minor"/>
    </font>
    <font>
      <b/>
      <sz val="9"/>
      <color indexed="8"/>
      <name val="Calibri"/>
      <family val="2"/>
      <scheme val="minor"/>
    </font>
    <font>
      <b/>
      <sz val="9"/>
      <color theme="0"/>
      <name val="Calibri"/>
      <family val="2"/>
      <scheme val="minor"/>
    </font>
    <font>
      <b/>
      <i/>
      <sz val="9"/>
      <color indexed="8"/>
      <name val="Calibri"/>
      <family val="2"/>
      <scheme val="minor"/>
    </font>
    <font>
      <b/>
      <i/>
      <sz val="10"/>
      <color rgb="FFFF0000"/>
      <name val="Calibri"/>
      <family val="2"/>
      <scheme val="minor"/>
    </font>
    <font>
      <sz val="9"/>
      <color theme="0"/>
      <name val="Calibri"/>
      <family val="2"/>
      <scheme val="minor"/>
    </font>
    <font>
      <sz val="11"/>
      <color theme="0"/>
      <name val="Calibri"/>
      <family val="2"/>
      <scheme val="minor"/>
    </font>
    <font>
      <u/>
      <sz val="11"/>
      <color theme="0"/>
      <name val="Calibri"/>
      <family val="2"/>
      <scheme val="minor"/>
    </font>
    <font>
      <sz val="11"/>
      <name val="Calibri"/>
      <family val="2"/>
      <scheme val="minor"/>
    </font>
    <font>
      <sz val="10"/>
      <name val="Arial"/>
      <family val="2"/>
    </font>
    <font>
      <b/>
      <sz val="14"/>
      <color theme="3"/>
      <name val="Calibri"/>
      <family val="2"/>
    </font>
    <font>
      <b/>
      <sz val="8"/>
      <color theme="0"/>
      <name val="Calibri"/>
      <family val="2"/>
      <scheme val="minor"/>
    </font>
    <font>
      <b/>
      <sz val="14"/>
      <color theme="1"/>
      <name val="Calibri"/>
      <family val="2"/>
      <scheme val="minor"/>
    </font>
    <font>
      <sz val="8"/>
      <name val="Calibri"/>
      <family val="2"/>
      <scheme val="minor"/>
    </font>
    <font>
      <sz val="7"/>
      <color rgb="FF283D3B"/>
      <name val="Arial"/>
      <family val="2"/>
    </font>
    <font>
      <u/>
      <sz val="11"/>
      <color theme="10"/>
      <name val="Arial"/>
      <family val="2"/>
    </font>
    <font>
      <sz val="10"/>
      <name val="Arial"/>
      <family val="2"/>
    </font>
    <font>
      <b/>
      <sz val="10"/>
      <name val="Arial"/>
      <family val="2"/>
    </font>
    <font>
      <u/>
      <sz val="10"/>
      <color theme="10"/>
      <name val="Arial"/>
      <family val="2"/>
    </font>
    <font>
      <b/>
      <sz val="12"/>
      <name val="Arial"/>
      <family val="2"/>
    </font>
    <font>
      <sz val="10"/>
      <name val="Arial"/>
      <family val="2"/>
    </font>
    <font>
      <b/>
      <sz val="10"/>
      <name val="Arial"/>
      <family val="2"/>
    </font>
    <font>
      <b/>
      <sz val="10"/>
      <name val="Arial"/>
      <family val="2"/>
    </font>
    <font>
      <sz val="10"/>
      <name val="Arial"/>
      <family val="2"/>
    </font>
    <font>
      <b/>
      <sz val="10"/>
      <name val="Arial"/>
      <family val="2"/>
    </font>
    <font>
      <b/>
      <sz val="10"/>
      <name val="Arial"/>
      <family val="2"/>
    </font>
    <font>
      <sz val="10"/>
      <name val="Arial"/>
      <family val="2"/>
    </font>
    <font>
      <b/>
      <sz val="14"/>
      <name val="Arial"/>
      <family val="2"/>
    </font>
    <font>
      <sz val="9"/>
      <name val="Arial"/>
      <family val="2"/>
    </font>
    <font>
      <b/>
      <sz val="12"/>
      <name val="Arial"/>
      <family val="2"/>
    </font>
    <font>
      <b/>
      <sz val="10"/>
      <name val="Arial"/>
      <family val="2"/>
    </font>
    <font>
      <sz val="10"/>
      <name val="Arial"/>
      <family val="2"/>
    </font>
    <font>
      <b/>
      <sz val="12"/>
      <name val="Arial"/>
      <family val="2"/>
    </font>
    <font>
      <b/>
      <sz val="12"/>
      <color theme="0"/>
      <name val="Arial"/>
      <family val="2"/>
    </font>
    <font>
      <b/>
      <sz val="12"/>
      <color indexed="62"/>
      <name val="Arial"/>
      <family val="2"/>
    </font>
    <font>
      <b/>
      <sz val="12"/>
      <color theme="3"/>
      <name val="Arial"/>
      <family val="2"/>
    </font>
    <font>
      <sz val="10"/>
      <name val="Arial"/>
      <family val="2"/>
    </font>
    <font>
      <b/>
      <sz val="12"/>
      <name val="arial"/>
    </font>
    <font>
      <sz val="10"/>
      <name val="arial"/>
    </font>
    <font>
      <b/>
      <sz val="10"/>
      <name val="arial"/>
    </font>
  </fonts>
  <fills count="25">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indexed="9"/>
        <bgColor indexed="64"/>
      </patternFill>
    </fill>
    <fill>
      <patternFill patternType="solid">
        <fgColor rgb="FF82358C"/>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FF"/>
        <bgColor rgb="FF000000"/>
      </patternFill>
    </fill>
    <fill>
      <patternFill patternType="solid">
        <fgColor indexed="44"/>
        <bgColor indexed="64"/>
      </patternFill>
    </fill>
    <fill>
      <patternFill patternType="solid">
        <fgColor rgb="FFC0C0C0"/>
        <bgColor rgb="FFC0C0C0"/>
      </patternFill>
    </fill>
    <fill>
      <patternFill patternType="solid">
        <fgColor indexed="22"/>
        <bgColor indexed="64"/>
      </patternFill>
    </fill>
    <fill>
      <patternFill patternType="solid">
        <fgColor theme="7" tint="0.39997558519241921"/>
        <bgColor indexed="64"/>
      </patternFill>
    </fill>
    <fill>
      <patternFill patternType="solid">
        <fgColor theme="3"/>
        <bgColor indexed="64"/>
      </patternFill>
    </fill>
    <fill>
      <patternFill patternType="solid">
        <fgColor rgb="FFFFFF00"/>
        <bgColor indexed="64"/>
      </patternFill>
    </fill>
    <fill>
      <patternFill patternType="solid">
        <fgColor theme="9"/>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indexed="43"/>
        <bgColor indexed="64"/>
      </patternFill>
    </fill>
    <fill>
      <patternFill patternType="solid">
        <fgColor rgb="FF2F75B5"/>
        <bgColor indexed="64"/>
      </patternFill>
    </fill>
    <fill>
      <patternFill patternType="solid">
        <fgColor theme="4"/>
        <bgColor theme="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theme="0" tint="-0.499984740745262"/>
      </bottom>
      <diagonal/>
    </border>
    <border>
      <left/>
      <right/>
      <top style="thin">
        <color indexed="64"/>
      </top>
      <bottom style="thin">
        <color indexed="64"/>
      </bottom>
      <diagonal/>
    </border>
    <border>
      <left/>
      <right/>
      <top style="thin">
        <color indexed="64"/>
      </top>
      <bottom/>
      <diagonal/>
    </border>
    <border>
      <left style="hair">
        <color theme="3"/>
      </left>
      <right style="hair">
        <color theme="3"/>
      </right>
      <top style="hair">
        <color theme="3"/>
      </top>
      <bottom/>
      <diagonal/>
    </border>
    <border>
      <left style="hair">
        <color theme="3"/>
      </left>
      <right style="hair">
        <color theme="3"/>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rgb="FFFFFFFF"/>
      </left>
      <right style="medium">
        <color rgb="FFFFFFFF"/>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medium">
        <color rgb="FFF1F1F1"/>
      </left>
      <right style="medium">
        <color rgb="FFF1F1F1"/>
      </right>
      <top style="medium">
        <color rgb="FFF1F1F1"/>
      </top>
      <bottom style="medium">
        <color rgb="FFF1F1F1"/>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rgb="FFF1F1F1"/>
      </left>
      <right/>
      <top/>
      <bottom/>
      <diagonal/>
    </border>
    <border>
      <left style="medium">
        <color indexed="64"/>
      </left>
      <right style="medium">
        <color indexed="64"/>
      </right>
      <top style="medium">
        <color indexed="64"/>
      </top>
      <bottom/>
      <diagonal/>
    </border>
  </borders>
  <cellStyleXfs count="42">
    <xf numFmtId="0" fontId="0" fillId="0" borderId="0"/>
    <xf numFmtId="0" fontId="26" fillId="0" borderId="0" applyNumberFormat="0" applyFill="0" applyBorder="0" applyAlignment="0" applyProtection="0"/>
    <xf numFmtId="0" fontId="19" fillId="0" borderId="0"/>
    <xf numFmtId="9" fontId="32" fillId="0" borderId="0" applyFont="0" applyFill="0" applyBorder="0" applyAlignment="0" applyProtection="0"/>
    <xf numFmtId="0" fontId="33" fillId="0" borderId="0"/>
    <xf numFmtId="0" fontId="17" fillId="0" borderId="0"/>
    <xf numFmtId="0" fontId="16" fillId="0" borderId="0"/>
    <xf numFmtId="0" fontId="15" fillId="0" borderId="0"/>
    <xf numFmtId="0" fontId="43" fillId="0" borderId="0"/>
    <xf numFmtId="0" fontId="14" fillId="0" borderId="0"/>
    <xf numFmtId="0" fontId="44" fillId="0" borderId="0"/>
    <xf numFmtId="0" fontId="48" fillId="0" borderId="0"/>
    <xf numFmtId="0" fontId="53" fillId="0" borderId="0" applyNumberFormat="0" applyFill="0" applyBorder="0" applyAlignment="0" applyProtection="0">
      <alignment vertical="top"/>
      <protection locked="0"/>
    </xf>
    <xf numFmtId="0" fontId="13" fillId="0" borderId="0"/>
    <xf numFmtId="0" fontId="12" fillId="0" borderId="0"/>
    <xf numFmtId="9" fontId="19" fillId="0" borderId="0" applyFont="0" applyFill="0" applyBorder="0" applyAlignment="0" applyProtection="0"/>
    <xf numFmtId="164" fontId="19" fillId="0" borderId="0" applyFont="0" applyFill="0" applyBorder="0" applyAlignment="0" applyProtection="0"/>
    <xf numFmtId="0" fontId="11" fillId="0" borderId="0"/>
    <xf numFmtId="164" fontId="11" fillId="0" borderId="0" applyFont="0" applyFill="0" applyBorder="0" applyAlignment="0" applyProtection="0"/>
    <xf numFmtId="0" fontId="76" fillId="0" borderId="0"/>
    <xf numFmtId="0" fontId="19" fillId="0" borderId="0"/>
    <xf numFmtId="0" fontId="61" fillId="0" borderId="0"/>
    <xf numFmtId="9" fontId="61" fillId="0" borderId="0" applyFont="0" applyFill="0" applyBorder="0" applyAlignment="0" applyProtection="0"/>
    <xf numFmtId="0" fontId="10" fillId="0" borderId="0"/>
    <xf numFmtId="0" fontId="19" fillId="0" borderId="0">
      <alignment vertical="top"/>
    </xf>
    <xf numFmtId="0" fontId="61" fillId="0" borderId="0"/>
    <xf numFmtId="175" fontId="84" fillId="0" borderId="0"/>
    <xf numFmtId="0" fontId="61" fillId="0" borderId="0"/>
    <xf numFmtId="0" fontId="19" fillId="12" borderId="12">
      <alignment horizontal="center" vertical="center"/>
      <protection locked="0"/>
    </xf>
    <xf numFmtId="0" fontId="87" fillId="0" borderId="0"/>
    <xf numFmtId="0" fontId="89" fillId="0" borderId="0" applyNumberFormat="0" applyFill="0" applyBorder="0" applyAlignment="0" applyProtection="0"/>
    <xf numFmtId="0" fontId="9" fillId="0" borderId="0"/>
    <xf numFmtId="0" fontId="43" fillId="0" borderId="0"/>
    <xf numFmtId="0" fontId="105" fillId="0" borderId="0"/>
    <xf numFmtId="0" fontId="7" fillId="0" borderId="0"/>
    <xf numFmtId="0" fontId="111" fillId="0" borderId="0" applyNumberFormat="0" applyFill="0" applyBorder="0" applyAlignment="0" applyProtection="0"/>
    <xf numFmtId="0" fontId="114" fillId="0" borderId="0" applyNumberFormat="0" applyFill="0" applyBorder="0" applyAlignment="0" applyProtection="0"/>
    <xf numFmtId="0" fontId="19" fillId="0" borderId="0"/>
    <xf numFmtId="164" fontId="43" fillId="0" borderId="0" applyFont="0" applyFill="0" applyBorder="0" applyAlignment="0" applyProtection="0"/>
    <xf numFmtId="0" fontId="123" fillId="0" borderId="0">
      <protection locked="0"/>
    </xf>
    <xf numFmtId="0" fontId="19" fillId="22" borderId="0">
      <protection locked="0"/>
    </xf>
    <xf numFmtId="0" fontId="132" fillId="0" borderId="0"/>
  </cellStyleXfs>
  <cellXfs count="641">
    <xf numFmtId="0" fontId="0" fillId="0" borderId="0" xfId="0"/>
    <xf numFmtId="0" fontId="18" fillId="0" borderId="0" xfId="0" applyFont="1" applyAlignment="1">
      <alignment horizontal="left" vertical="center"/>
    </xf>
    <xf numFmtId="0" fontId="19" fillId="0" borderId="0" xfId="0" applyFont="1"/>
    <xf numFmtId="0" fontId="22" fillId="0" borderId="0" xfId="0" applyFont="1" applyAlignment="1">
      <alignment horizontal="left" vertical="top"/>
    </xf>
    <xf numFmtId="165" fontId="24" fillId="0" borderId="0" xfId="0" applyNumberFormat="1" applyFont="1" applyAlignment="1">
      <alignment horizontal="right" vertical="top"/>
    </xf>
    <xf numFmtId="0" fontId="30" fillId="0" borderId="1" xfId="0" applyFont="1" applyBorder="1" applyAlignment="1">
      <alignment horizontal="left" vertical="center"/>
    </xf>
    <xf numFmtId="0" fontId="19" fillId="0" borderId="0" xfId="0" applyFont="1" applyAlignment="1">
      <alignment horizontal="left" vertical="top"/>
    </xf>
    <xf numFmtId="0" fontId="26" fillId="0" borderId="0" xfId="1"/>
    <xf numFmtId="167" fontId="0" fillId="0" borderId="0" xfId="0" applyNumberFormat="1"/>
    <xf numFmtId="165" fontId="19" fillId="0" borderId="0" xfId="0" applyNumberFormat="1" applyFont="1" applyAlignment="1">
      <alignment horizontal="right" vertical="top"/>
    </xf>
    <xf numFmtId="3" fontId="19" fillId="0" borderId="0" xfId="0" applyNumberFormat="1" applyFont="1" applyAlignment="1">
      <alignment horizontal="right" vertical="top"/>
    </xf>
    <xf numFmtId="0" fontId="21" fillId="0" borderId="0" xfId="0" applyFont="1" applyAlignment="1">
      <alignment horizontal="right" vertical="center"/>
    </xf>
    <xf numFmtId="0" fontId="21" fillId="0" borderId="0" xfId="0" applyFont="1" applyAlignment="1">
      <alignment horizontal="left" vertical="center" wrapText="1"/>
    </xf>
    <xf numFmtId="0" fontId="32" fillId="0" borderId="0" xfId="0" applyFont="1"/>
    <xf numFmtId="3" fontId="32" fillId="0" borderId="0" xfId="0" applyNumberFormat="1" applyFont="1" applyAlignment="1">
      <alignment horizontal="right" vertical="top"/>
    </xf>
    <xf numFmtId="165" fontId="32" fillId="0" borderId="0" xfId="0" applyNumberFormat="1" applyFont="1" applyAlignment="1">
      <alignment horizontal="right" vertical="top"/>
    </xf>
    <xf numFmtId="0" fontId="32" fillId="0" borderId="0" xfId="0" applyFont="1" applyAlignment="1">
      <alignment horizontal="left" vertical="top"/>
    </xf>
    <xf numFmtId="0" fontId="36" fillId="0" borderId="0" xfId="0" applyFont="1" applyAlignment="1">
      <alignment horizontal="left" vertical="center" wrapText="1"/>
    </xf>
    <xf numFmtId="0" fontId="37" fillId="0" borderId="0" xfId="0" applyFont="1" applyAlignment="1">
      <alignment horizontal="left" vertical="center"/>
    </xf>
    <xf numFmtId="0" fontId="16" fillId="0" borderId="0" xfId="6"/>
    <xf numFmtId="0" fontId="16" fillId="2" borderId="0" xfId="6" applyFill="1" applyAlignment="1">
      <alignment horizontal="left"/>
    </xf>
    <xf numFmtId="0" fontId="34" fillId="0" borderId="0" xfId="6" applyFont="1" applyAlignment="1">
      <alignment horizontal="left"/>
    </xf>
    <xf numFmtId="0" fontId="34" fillId="0" borderId="0" xfId="6" applyFont="1" applyAlignment="1">
      <alignment horizontal="left" vertical="top"/>
    </xf>
    <xf numFmtId="0" fontId="38" fillId="0" borderId="0" xfId="6" applyFont="1"/>
    <xf numFmtId="0" fontId="15" fillId="0" borderId="0" xfId="7"/>
    <xf numFmtId="0" fontId="15" fillId="0" borderId="0" xfId="7" applyAlignment="1">
      <alignment vertical="center"/>
    </xf>
    <xf numFmtId="167" fontId="30" fillId="0" borderId="0" xfId="7" applyNumberFormat="1" applyFont="1" applyAlignment="1">
      <alignment vertical="center"/>
    </xf>
    <xf numFmtId="0" fontId="35" fillId="0" borderId="0" xfId="7" applyFont="1"/>
    <xf numFmtId="0" fontId="39" fillId="0" borderId="0" xfId="7" applyFont="1" applyAlignment="1">
      <alignment vertical="center"/>
    </xf>
    <xf numFmtId="0" fontId="40" fillId="0" borderId="0" xfId="7" applyFont="1" applyAlignment="1">
      <alignment horizontal="right" vertical="center"/>
    </xf>
    <xf numFmtId="0" fontId="40" fillId="0" borderId="0" xfId="7" applyFont="1" applyAlignment="1">
      <alignment vertical="center"/>
    </xf>
    <xf numFmtId="0" fontId="41" fillId="0" borderId="0" xfId="7" applyFont="1" applyAlignment="1">
      <alignment vertical="center"/>
    </xf>
    <xf numFmtId="0" fontId="42" fillId="0" borderId="0" xfId="7" applyFont="1" applyAlignment="1">
      <alignment vertical="center"/>
    </xf>
    <xf numFmtId="0" fontId="14" fillId="0" borderId="0" xfId="9"/>
    <xf numFmtId="0" fontId="44" fillId="0" borderId="0" xfId="0" applyFont="1" applyAlignment="1">
      <alignment horizontal="left" vertical="top"/>
    </xf>
    <xf numFmtId="0" fontId="44" fillId="0" borderId="0" xfId="0" applyFont="1"/>
    <xf numFmtId="0" fontId="45" fillId="0" borderId="0" xfId="0" applyFont="1" applyAlignment="1">
      <alignment horizontal="left" vertical="center"/>
    </xf>
    <xf numFmtId="0" fontId="46" fillId="0" borderId="0" xfId="10" applyFont="1"/>
    <xf numFmtId="0" fontId="47" fillId="0" borderId="0" xfId="10" applyFont="1"/>
    <xf numFmtId="1" fontId="46" fillId="0" borderId="0" xfId="11" applyNumberFormat="1" applyFont="1" applyAlignment="1">
      <alignment vertical="top"/>
    </xf>
    <xf numFmtId="0" fontId="47" fillId="0" borderId="0" xfId="10" applyFont="1" applyAlignment="1">
      <alignment horizontal="left" vertical="top" wrapText="1" indent="1"/>
    </xf>
    <xf numFmtId="0" fontId="49" fillId="4" borderId="0" xfId="10" applyFont="1" applyFill="1"/>
    <xf numFmtId="0" fontId="47" fillId="4" borderId="4" xfId="10" applyFont="1" applyFill="1" applyBorder="1" applyAlignment="1">
      <alignment horizontal="left" vertical="top" wrapText="1" indent="1"/>
    </xf>
    <xf numFmtId="3" fontId="46" fillId="4" borderId="0" xfId="11" applyNumberFormat="1" applyFont="1" applyFill="1" applyAlignment="1">
      <alignment horizontal="right"/>
    </xf>
    <xf numFmtId="167" fontId="46" fillId="4" borderId="0" xfId="11" applyNumberFormat="1" applyFont="1" applyFill="1" applyAlignment="1">
      <alignment horizontal="right"/>
    </xf>
    <xf numFmtId="0" fontId="47" fillId="4" borderId="0" xfId="10" applyFont="1" applyFill="1" applyAlignment="1">
      <alignment horizontal="left" vertical="top" wrapText="1" indent="1"/>
    </xf>
    <xf numFmtId="0" fontId="50" fillId="3" borderId="0" xfId="10" applyFont="1" applyFill="1" applyAlignment="1">
      <alignment horizontal="left" vertical="top" wrapText="1"/>
    </xf>
    <xf numFmtId="0" fontId="47" fillId="4" borderId="5" xfId="10" applyFont="1" applyFill="1" applyBorder="1" applyAlignment="1">
      <alignment horizontal="right" wrapText="1"/>
    </xf>
    <xf numFmtId="0" fontId="47" fillId="0" borderId="4" xfId="10" applyFont="1" applyBorder="1" applyAlignment="1">
      <alignment wrapText="1"/>
    </xf>
    <xf numFmtId="0" fontId="46" fillId="4" borderId="0" xfId="10" applyFont="1" applyFill="1"/>
    <xf numFmtId="0" fontId="54" fillId="0" borderId="0" xfId="12" applyFont="1" applyFill="1" applyAlignment="1" applyProtection="1"/>
    <xf numFmtId="0" fontId="53" fillId="0" borderId="0" xfId="12" applyFill="1" applyAlignment="1" applyProtection="1"/>
    <xf numFmtId="0" fontId="47" fillId="0" borderId="0" xfId="10" applyFont="1" applyAlignment="1">
      <alignment horizontal="left"/>
    </xf>
    <xf numFmtId="0" fontId="46" fillId="0" borderId="0" xfId="10" applyFont="1" applyAlignment="1">
      <alignment horizontal="left"/>
    </xf>
    <xf numFmtId="0" fontId="46" fillId="0" borderId="0" xfId="10" quotePrefix="1" applyFont="1" applyAlignment="1">
      <alignment horizontal="left" indent="3"/>
    </xf>
    <xf numFmtId="0" fontId="47" fillId="4" borderId="0" xfId="10" applyFont="1" applyFill="1" applyAlignment="1">
      <alignment wrapText="1"/>
    </xf>
    <xf numFmtId="0" fontId="52" fillId="5" borderId="0" xfId="10" applyFont="1" applyFill="1" applyAlignment="1">
      <alignment vertical="top"/>
    </xf>
    <xf numFmtId="0" fontId="51" fillId="5" borderId="0" xfId="10" applyFont="1" applyFill="1"/>
    <xf numFmtId="0" fontId="35" fillId="0" borderId="0" xfId="14" applyFont="1"/>
    <xf numFmtId="167" fontId="35" fillId="0" borderId="0" xfId="14" applyNumberFormat="1" applyFont="1"/>
    <xf numFmtId="0" fontId="12" fillId="0" borderId="0" xfId="14"/>
    <xf numFmtId="0" fontId="55" fillId="0" borderId="0" xfId="14" applyFont="1"/>
    <xf numFmtId="0" fontId="55" fillId="0" borderId="0" xfId="14" applyFont="1" applyAlignment="1">
      <alignment horizontal="center" vertical="center" wrapText="1"/>
    </xf>
    <xf numFmtId="0" fontId="55" fillId="0" borderId="0" xfId="14" applyFont="1" applyAlignment="1">
      <alignment horizontal="left" vertical="center" wrapText="1"/>
    </xf>
    <xf numFmtId="0" fontId="35" fillId="0" borderId="0" xfId="14" applyFont="1" applyAlignment="1">
      <alignment horizontal="left" vertical="center" wrapText="1"/>
    </xf>
    <xf numFmtId="0" fontId="21" fillId="0" borderId="0" xfId="0" applyFont="1" applyAlignment="1">
      <alignment horizontal="center" vertical="center" wrapText="1"/>
    </xf>
    <xf numFmtId="0" fontId="19" fillId="0" borderId="0" xfId="2"/>
    <xf numFmtId="9" fontId="0" fillId="0" borderId="0" xfId="15" applyFont="1" applyFill="1" applyBorder="1"/>
    <xf numFmtId="9" fontId="60" fillId="0" borderId="0" xfId="15" applyFont="1" applyFill="1" applyBorder="1"/>
    <xf numFmtId="166" fontId="0" fillId="0" borderId="0" xfId="15" applyNumberFormat="1" applyFont="1" applyFill="1"/>
    <xf numFmtId="9" fontId="56" fillId="0" borderId="0" xfId="15" applyFont="1" applyFill="1"/>
    <xf numFmtId="9" fontId="0" fillId="0" borderId="0" xfId="15" applyFont="1" applyFill="1"/>
    <xf numFmtId="0" fontId="55" fillId="0" borderId="0" xfId="0" applyFont="1" applyAlignment="1">
      <alignment horizontal="left" vertical="center"/>
    </xf>
    <xf numFmtId="0" fontId="55" fillId="0" borderId="0" xfId="0" applyFont="1" applyAlignment="1">
      <alignment horizontal="center" vertical="center"/>
    </xf>
    <xf numFmtId="0" fontId="35" fillId="0" borderId="0" xfId="0" applyFont="1"/>
    <xf numFmtId="0" fontId="35" fillId="6" borderId="0" xfId="0" applyFont="1" applyFill="1"/>
    <xf numFmtId="167" fontId="35" fillId="6" borderId="0" xfId="0" applyNumberFormat="1" applyFont="1" applyFill="1" applyAlignment="1">
      <alignment horizontal="center"/>
    </xf>
    <xf numFmtId="0" fontId="35" fillId="7" borderId="0" xfId="0" applyFont="1" applyFill="1"/>
    <xf numFmtId="0" fontId="35" fillId="8" borderId="0" xfId="0" applyFont="1" applyFill="1"/>
    <xf numFmtId="0" fontId="35" fillId="9" borderId="0" xfId="0" applyFont="1" applyFill="1"/>
    <xf numFmtId="0" fontId="44" fillId="0" borderId="0" xfId="10"/>
    <xf numFmtId="0" fontId="21" fillId="0" borderId="0" xfId="10" applyFont="1"/>
    <xf numFmtId="3" fontId="21" fillId="0" borderId="0" xfId="10" applyNumberFormat="1" applyFont="1"/>
    <xf numFmtId="0" fontId="61" fillId="0" borderId="0" xfId="10" applyFont="1"/>
    <xf numFmtId="0" fontId="65" fillId="0" borderId="0" xfId="10" applyFont="1"/>
    <xf numFmtId="0" fontId="61" fillId="0" borderId="0" xfId="10" applyFont="1" applyAlignment="1">
      <alignment wrapText="1"/>
    </xf>
    <xf numFmtId="174" fontId="44" fillId="0" borderId="4" xfId="10" applyNumberFormat="1" applyBorder="1"/>
    <xf numFmtId="0" fontId="21" fillId="0" borderId="4" xfId="10" applyFont="1" applyBorder="1"/>
    <xf numFmtId="174" fontId="44" fillId="0" borderId="0" xfId="10" applyNumberFormat="1"/>
    <xf numFmtId="174" fontId="21" fillId="0" borderId="0" xfId="10" applyNumberFormat="1" applyFont="1"/>
    <xf numFmtId="0" fontId="18" fillId="0" borderId="0" xfId="10" applyFont="1"/>
    <xf numFmtId="0" fontId="67" fillId="0" borderId="0" xfId="0" applyFont="1"/>
    <xf numFmtId="0" fontId="68" fillId="0" borderId="0" xfId="0" applyFont="1"/>
    <xf numFmtId="0" fontId="68" fillId="0" borderId="0" xfId="0" applyFont="1" applyAlignment="1">
      <alignment horizontal="left"/>
    </xf>
    <xf numFmtId="0" fontId="68" fillId="0" borderId="8" xfId="0" applyFont="1" applyBorder="1" applyAlignment="1">
      <alignment horizontal="center" vertical="center" wrapText="1"/>
    </xf>
    <xf numFmtId="0" fontId="69" fillId="0" borderId="0" xfId="0" applyFont="1"/>
    <xf numFmtId="9" fontId="69" fillId="0" borderId="9" xfId="0" applyNumberFormat="1" applyFont="1" applyBorder="1" applyAlignment="1">
      <alignment horizontal="center"/>
    </xf>
    <xf numFmtId="0" fontId="70" fillId="0" borderId="0" xfId="0" applyFont="1"/>
    <xf numFmtId="3" fontId="44" fillId="0" borderId="0" xfId="10" applyNumberFormat="1"/>
    <xf numFmtId="166" fontId="44" fillId="0" borderId="0" xfId="10" applyNumberFormat="1"/>
    <xf numFmtId="0" fontId="11" fillId="0" borderId="0" xfId="17"/>
    <xf numFmtId="0" fontId="11" fillId="3" borderId="11" xfId="17" applyFill="1" applyBorder="1"/>
    <xf numFmtId="0" fontId="11" fillId="10" borderId="13" xfId="17" applyFill="1" applyBorder="1"/>
    <xf numFmtId="164" fontId="34" fillId="3" borderId="14" xfId="18" applyFont="1" applyFill="1" applyBorder="1" applyAlignment="1">
      <alignment horizontal="right"/>
    </xf>
    <xf numFmtId="0" fontId="11" fillId="0" borderId="0" xfId="17" applyAlignment="1">
      <alignment vertical="center"/>
    </xf>
    <xf numFmtId="0" fontId="72" fillId="3" borderId="0" xfId="1" applyFont="1" applyFill="1"/>
    <xf numFmtId="2" fontId="34" fillId="3" borderId="14" xfId="17" applyNumberFormat="1" applyFont="1" applyFill="1" applyBorder="1" applyAlignment="1">
      <alignment horizontal="center" vertical="center" wrapText="1"/>
    </xf>
    <xf numFmtId="2" fontId="34" fillId="3" borderId="15" xfId="17" applyNumberFormat="1" applyFont="1" applyFill="1" applyBorder="1" applyAlignment="1">
      <alignment horizontal="center" vertical="center" wrapText="1"/>
    </xf>
    <xf numFmtId="167" fontId="14" fillId="0" borderId="0" xfId="9" applyNumberFormat="1"/>
    <xf numFmtId="0" fontId="76" fillId="3" borderId="0" xfId="19" applyFill="1"/>
    <xf numFmtId="0" fontId="59" fillId="3" borderId="0" xfId="19" applyFont="1" applyFill="1"/>
    <xf numFmtId="0" fontId="59" fillId="3" borderId="0" xfId="19" applyFont="1" applyFill="1" applyAlignment="1">
      <alignment horizontal="right"/>
    </xf>
    <xf numFmtId="3" fontId="0" fillId="3" borderId="0" xfId="20" applyNumberFormat="1" applyFont="1" applyFill="1"/>
    <xf numFmtId="0" fontId="19" fillId="3" borderId="0" xfId="2" applyFill="1"/>
    <xf numFmtId="0" fontId="61" fillId="11" borderId="0" xfId="2" applyFont="1" applyFill="1" applyAlignment="1">
      <alignment vertical="center"/>
    </xf>
    <xf numFmtId="0" fontId="61" fillId="3" borderId="0" xfId="20" applyFont="1" applyFill="1"/>
    <xf numFmtId="0" fontId="21" fillId="3" borderId="0" xfId="20" applyFont="1" applyFill="1"/>
    <xf numFmtId="0" fontId="53" fillId="3" borderId="0" xfId="12" applyFill="1" applyAlignment="1" applyProtection="1"/>
    <xf numFmtId="0" fontId="77" fillId="3" borderId="0" xfId="19" applyFont="1" applyFill="1"/>
    <xf numFmtId="0" fontId="76" fillId="0" borderId="0" xfId="17" applyFont="1"/>
    <xf numFmtId="0" fontId="76" fillId="0" borderId="0" xfId="17" applyFont="1" applyAlignment="1">
      <alignment horizontal="right"/>
    </xf>
    <xf numFmtId="3" fontId="76" fillId="0" borderId="0" xfId="17" applyNumberFormat="1" applyFont="1" applyAlignment="1">
      <alignment horizontal="right"/>
    </xf>
    <xf numFmtId="165" fontId="76" fillId="0" borderId="0" xfId="17" applyNumberFormat="1" applyFont="1" applyAlignment="1">
      <alignment horizontal="right"/>
    </xf>
    <xf numFmtId="0" fontId="78" fillId="4" borderId="0" xfId="21" applyFont="1" applyFill="1"/>
    <xf numFmtId="0" fontId="79" fillId="4" borderId="0" xfId="21" applyFont="1" applyFill="1"/>
    <xf numFmtId="0" fontId="80" fillId="4" borderId="0" xfId="21" applyFont="1" applyFill="1"/>
    <xf numFmtId="0" fontId="81" fillId="4" borderId="0" xfId="21" applyFont="1" applyFill="1"/>
    <xf numFmtId="3" fontId="79" fillId="4" borderId="0" xfId="21" applyNumberFormat="1" applyFont="1" applyFill="1"/>
    <xf numFmtId="0" fontId="79" fillId="4" borderId="0" xfId="21" applyFont="1" applyFill="1" applyAlignment="1">
      <alignment horizontal="right"/>
    </xf>
    <xf numFmtId="0" fontId="10" fillId="0" borderId="0" xfId="23"/>
    <xf numFmtId="167" fontId="10" fillId="0" borderId="0" xfId="23" applyNumberFormat="1"/>
    <xf numFmtId="3" fontId="10" fillId="0" borderId="0" xfId="23" applyNumberFormat="1"/>
    <xf numFmtId="0" fontId="74" fillId="0" borderId="7" xfId="23" applyFont="1" applyBorder="1"/>
    <xf numFmtId="0" fontId="55" fillId="0" borderId="1" xfId="5" applyFont="1" applyBorder="1" applyAlignment="1">
      <alignment horizontal="center" vertical="center" wrapText="1"/>
    </xf>
    <xf numFmtId="0" fontId="87" fillId="0" borderId="0" xfId="29"/>
    <xf numFmtId="0" fontId="87" fillId="0" borderId="0" xfId="29" applyAlignment="1">
      <alignment horizontal="left"/>
    </xf>
    <xf numFmtId="0" fontId="62" fillId="0" borderId="0" xfId="29" applyFont="1"/>
    <xf numFmtId="9" fontId="62" fillId="0" borderId="0" xfId="29" applyNumberFormat="1" applyFont="1" applyAlignment="1">
      <alignment horizontal="right"/>
    </xf>
    <xf numFmtId="0" fontId="62" fillId="0" borderId="0" xfId="29" applyFont="1" applyAlignment="1">
      <alignment horizontal="left"/>
    </xf>
    <xf numFmtId="0" fontId="62" fillId="0" borderId="0" xfId="29" applyFont="1" applyAlignment="1">
      <alignment horizontal="right"/>
    </xf>
    <xf numFmtId="0" fontId="88" fillId="13" borderId="18" xfId="29" applyFont="1" applyFill="1" applyBorder="1" applyAlignment="1">
      <alignment horizontal="right"/>
    </xf>
    <xf numFmtId="0" fontId="88" fillId="0" borderId="0" xfId="29" applyFont="1"/>
    <xf numFmtId="0" fontId="88" fillId="0" borderId="0" xfId="29" applyFont="1" applyAlignment="1">
      <alignment horizontal="left"/>
    </xf>
    <xf numFmtId="0" fontId="89" fillId="0" borderId="0" xfId="30" applyAlignment="1">
      <alignment horizontal="left"/>
    </xf>
    <xf numFmtId="0" fontId="90" fillId="0" borderId="0" xfId="29" applyFont="1"/>
    <xf numFmtId="0" fontId="90" fillId="0" borderId="0" xfId="29" applyFont="1" applyAlignment="1">
      <alignment horizontal="left"/>
    </xf>
    <xf numFmtId="0" fontId="76" fillId="0" borderId="0" xfId="0" quotePrefix="1" applyFont="1" applyAlignment="1">
      <alignment horizontal="left"/>
    </xf>
    <xf numFmtId="0" fontId="76" fillId="0" borderId="0" xfId="0" applyFont="1"/>
    <xf numFmtId="0" fontId="73" fillId="0" borderId="0" xfId="0" applyFont="1" applyAlignment="1">
      <alignment horizontal="left"/>
    </xf>
    <xf numFmtId="0" fontId="73" fillId="0" borderId="0" xfId="0" applyFont="1"/>
    <xf numFmtId="0" fontId="26" fillId="0" borderId="0" xfId="1" applyAlignment="1">
      <alignment horizontal="left"/>
    </xf>
    <xf numFmtId="0" fontId="76" fillId="0" borderId="0" xfId="0" applyFont="1" applyAlignment="1">
      <alignment horizontal="left"/>
    </xf>
    <xf numFmtId="0" fontId="91" fillId="0" borderId="0" xfId="0" applyFont="1" applyAlignment="1">
      <alignment horizontal="left"/>
    </xf>
    <xf numFmtId="0" fontId="91" fillId="0" borderId="0" xfId="0" applyFont="1"/>
    <xf numFmtId="0" fontId="91" fillId="14" borderId="1" xfId="0" applyFont="1" applyFill="1" applyBorder="1" applyAlignment="1">
      <alignment horizontal="right"/>
    </xf>
    <xf numFmtId="0" fontId="91" fillId="14" borderId="1" xfId="0" quotePrefix="1" applyFont="1" applyFill="1" applyBorder="1" applyAlignment="1">
      <alignment horizontal="right"/>
    </xf>
    <xf numFmtId="0" fontId="76" fillId="0" borderId="0" xfId="0" applyFont="1" applyAlignment="1">
      <alignment horizontal="right"/>
    </xf>
    <xf numFmtId="9" fontId="76" fillId="0" borderId="0" xfId="0" applyNumberFormat="1" applyFont="1" applyAlignment="1">
      <alignment horizontal="right"/>
    </xf>
    <xf numFmtId="0" fontId="0" fillId="0" borderId="0" xfId="0" applyAlignment="1">
      <alignment horizontal="left"/>
    </xf>
    <xf numFmtId="0" fontId="9" fillId="0" borderId="0" xfId="31"/>
    <xf numFmtId="0" fontId="9" fillId="0" borderId="0" xfId="31" applyAlignment="1">
      <alignment horizontal="left"/>
    </xf>
    <xf numFmtId="0" fontId="76" fillId="0" borderId="0" xfId="31" applyFont="1"/>
    <xf numFmtId="0" fontId="76" fillId="0" borderId="0" xfId="31" applyFont="1" applyAlignment="1">
      <alignment horizontal="right"/>
    </xf>
    <xf numFmtId="0" fontId="76" fillId="0" borderId="0" xfId="31" applyFont="1" applyAlignment="1">
      <alignment horizontal="left"/>
    </xf>
    <xf numFmtId="0" fontId="91" fillId="14" borderId="1" xfId="31" applyFont="1" applyFill="1" applyBorder="1" applyAlignment="1">
      <alignment horizontal="right"/>
    </xf>
    <xf numFmtId="0" fontId="91" fillId="14" borderId="1" xfId="31" quotePrefix="1" applyFont="1" applyFill="1" applyBorder="1" applyAlignment="1">
      <alignment horizontal="right"/>
    </xf>
    <xf numFmtId="0" fontId="91" fillId="0" borderId="0" xfId="31" applyFont="1"/>
    <xf numFmtId="0" fontId="91" fillId="0" borderId="0" xfId="31" applyFont="1" applyAlignment="1">
      <alignment horizontal="left"/>
    </xf>
    <xf numFmtId="0" fontId="73" fillId="0" borderId="0" xfId="31" applyFont="1"/>
    <xf numFmtId="0" fontId="73" fillId="0" borderId="0" xfId="31" applyFont="1" applyAlignment="1">
      <alignment horizontal="left"/>
    </xf>
    <xf numFmtId="0" fontId="96" fillId="0" borderId="0" xfId="0" applyFont="1"/>
    <xf numFmtId="0" fontId="98" fillId="16" borderId="1" xfId="0" applyFont="1" applyFill="1" applyBorder="1" applyAlignment="1">
      <alignment horizontal="center" vertical="center"/>
    </xf>
    <xf numFmtId="3" fontId="75" fillId="3" borderId="0" xfId="33" applyNumberFormat="1" applyFont="1" applyFill="1" applyAlignment="1">
      <alignment horizontal="center" vertical="center"/>
    </xf>
    <xf numFmtId="3" fontId="19" fillId="3" borderId="0" xfId="33" applyNumberFormat="1" applyFont="1" applyFill="1" applyAlignment="1">
      <alignment horizontal="center" vertical="center"/>
    </xf>
    <xf numFmtId="3" fontId="19" fillId="3" borderId="1" xfId="33" applyNumberFormat="1" applyFont="1" applyFill="1" applyBorder="1" applyAlignment="1">
      <alignment horizontal="center" vertical="center"/>
    </xf>
    <xf numFmtId="3" fontId="19" fillId="3" borderId="4" xfId="33" applyNumberFormat="1" applyFont="1" applyFill="1" applyBorder="1" applyAlignment="1">
      <alignment horizontal="left" vertical="center"/>
    </xf>
    <xf numFmtId="0" fontId="105" fillId="3" borderId="4" xfId="33" applyFill="1" applyBorder="1"/>
    <xf numFmtId="3" fontId="19" fillId="3" borderId="0" xfId="33" applyNumberFormat="1" applyFont="1" applyFill="1" applyAlignment="1">
      <alignment horizontal="left" vertical="center"/>
    </xf>
    <xf numFmtId="0" fontId="105" fillId="3" borderId="0" xfId="33" applyFill="1"/>
    <xf numFmtId="3" fontId="21" fillId="3" borderId="20" xfId="33" applyNumberFormat="1" applyFont="1" applyFill="1" applyBorder="1" applyAlignment="1">
      <alignment horizontal="left" vertical="center"/>
    </xf>
    <xf numFmtId="0" fontId="21" fillId="3" borderId="0" xfId="33" applyFont="1" applyFill="1"/>
    <xf numFmtId="3" fontId="19" fillId="3" borderId="20" xfId="33" applyNumberFormat="1" applyFont="1" applyFill="1" applyBorder="1" applyAlignment="1">
      <alignment horizontal="left" vertical="center"/>
    </xf>
    <xf numFmtId="3" fontId="21" fillId="3" borderId="0" xfId="33" applyNumberFormat="1" applyFont="1" applyFill="1" applyAlignment="1">
      <alignment horizontal="center" vertical="center"/>
    </xf>
    <xf numFmtId="3" fontId="19" fillId="17" borderId="1" xfId="33" applyNumberFormat="1" applyFont="1" applyFill="1" applyBorder="1" applyAlignment="1">
      <alignment horizontal="center" vertical="center"/>
    </xf>
    <xf numFmtId="3" fontId="21" fillId="3" borderId="22" xfId="33" applyNumberFormat="1" applyFont="1" applyFill="1" applyBorder="1" applyAlignment="1">
      <alignment vertical="center"/>
    </xf>
    <xf numFmtId="3" fontId="21" fillId="3" borderId="11" xfId="33" applyNumberFormat="1" applyFont="1" applyFill="1" applyBorder="1" applyAlignment="1">
      <alignment vertical="center"/>
    </xf>
    <xf numFmtId="3" fontId="18" fillId="3" borderId="4" xfId="33" applyNumberFormat="1" applyFont="1" applyFill="1" applyBorder="1" applyAlignment="1">
      <alignment horizontal="center" vertical="center"/>
    </xf>
    <xf numFmtId="3" fontId="18" fillId="3" borderId="0" xfId="33" applyNumberFormat="1" applyFont="1" applyFill="1"/>
    <xf numFmtId="3" fontId="21" fillId="3" borderId="7" xfId="33" applyNumberFormat="1" applyFont="1" applyFill="1" applyBorder="1" applyAlignment="1">
      <alignment horizontal="center" vertical="center"/>
    </xf>
    <xf numFmtId="0" fontId="8" fillId="19" borderId="0" xfId="32" applyFont="1" applyFill="1"/>
    <xf numFmtId="0" fontId="34" fillId="19" borderId="0" xfId="32" applyFont="1" applyFill="1"/>
    <xf numFmtId="15" fontId="34" fillId="19" borderId="0" xfId="32" applyNumberFormat="1" applyFont="1" applyFill="1"/>
    <xf numFmtId="0" fontId="102" fillId="19" borderId="0" xfId="32" applyFont="1" applyFill="1"/>
    <xf numFmtId="0" fontId="104" fillId="19" borderId="0" xfId="1" applyFont="1" applyFill="1" applyAlignment="1">
      <alignment vertical="top" wrapText="1"/>
    </xf>
    <xf numFmtId="0" fontId="104" fillId="19" borderId="0" xfId="1" applyFont="1" applyFill="1" applyAlignment="1">
      <alignment vertical="top"/>
    </xf>
    <xf numFmtId="0" fontId="18" fillId="0" borderId="0" xfId="32" applyFont="1" applyAlignment="1">
      <alignment horizontal="left" vertical="center"/>
    </xf>
    <xf numFmtId="0" fontId="43" fillId="0" borderId="0" xfId="32"/>
    <xf numFmtId="0" fontId="19" fillId="0" borderId="0" xfId="32" applyFont="1"/>
    <xf numFmtId="0" fontId="19" fillId="0" borderId="0" xfId="32" applyFont="1" applyAlignment="1">
      <alignment horizontal="left" vertical="top"/>
    </xf>
    <xf numFmtId="0" fontId="21" fillId="0" borderId="0" xfId="32" applyFont="1" applyAlignment="1">
      <alignment horizontal="left" vertical="center" wrapText="1"/>
    </xf>
    <xf numFmtId="3" fontId="19" fillId="0" borderId="0" xfId="32" applyNumberFormat="1" applyFont="1" applyAlignment="1">
      <alignment horizontal="right" vertical="top"/>
    </xf>
    <xf numFmtId="9" fontId="0" fillId="0" borderId="0" xfId="0" applyNumberFormat="1"/>
    <xf numFmtId="165" fontId="79" fillId="4" borderId="0" xfId="21" applyNumberFormat="1" applyFont="1" applyFill="1"/>
    <xf numFmtId="0" fontId="55" fillId="0" borderId="12" xfId="5" applyFont="1" applyBorder="1" applyAlignment="1">
      <alignment horizontal="center" vertical="center" wrapText="1"/>
    </xf>
    <xf numFmtId="0" fontId="96" fillId="0" borderId="1" xfId="0" applyFont="1" applyBorder="1"/>
    <xf numFmtId="0" fontId="98" fillId="16" borderId="1" xfId="0" applyFont="1" applyFill="1" applyBorder="1" applyAlignment="1">
      <alignment vertical="center"/>
    </xf>
    <xf numFmtId="0" fontId="97" fillId="0" borderId="0" xfId="0" applyFont="1" applyAlignment="1">
      <alignment vertical="center"/>
    </xf>
    <xf numFmtId="0" fontId="96" fillId="0" borderId="0" xfId="0" applyFont="1" applyAlignment="1">
      <alignment vertical="center"/>
    </xf>
    <xf numFmtId="0" fontId="98" fillId="16" borderId="1" xfId="0" applyFont="1" applyFill="1" applyBorder="1" applyAlignment="1">
      <alignment horizontal="right" vertical="center"/>
    </xf>
    <xf numFmtId="0" fontId="98" fillId="16" borderId="1" xfId="0" applyFont="1" applyFill="1" applyBorder="1" applyAlignment="1">
      <alignment horizontal="right" vertical="center" wrapText="1"/>
    </xf>
    <xf numFmtId="0" fontId="96" fillId="0" borderId="2" xfId="0" applyFont="1" applyBorder="1"/>
    <xf numFmtId="0" fontId="110" fillId="0" borderId="0" xfId="0" applyFont="1"/>
    <xf numFmtId="0" fontId="30" fillId="0" borderId="0" xfId="0" applyFont="1" applyAlignment="1">
      <alignment horizontal="left" vertical="center"/>
    </xf>
    <xf numFmtId="167" fontId="32" fillId="0" borderId="0" xfId="0" applyNumberFormat="1" applyFont="1"/>
    <xf numFmtId="0" fontId="0" fillId="17" borderId="0" xfId="0" applyFill="1"/>
    <xf numFmtId="49" fontId="0" fillId="0" borderId="0" xfId="0" applyNumberFormat="1"/>
    <xf numFmtId="3" fontId="55" fillId="0" borderId="0" xfId="14" applyNumberFormat="1" applyFont="1"/>
    <xf numFmtId="3" fontId="30" fillId="0" borderId="1" xfId="0" applyNumberFormat="1" applyFont="1" applyBorder="1" applyAlignment="1">
      <alignment horizontal="center" vertical="center"/>
    </xf>
    <xf numFmtId="0" fontId="97" fillId="0" borderId="1" xfId="0" applyFont="1" applyBorder="1" applyAlignment="1">
      <alignment horizontal="center" vertical="center"/>
    </xf>
    <xf numFmtId="0" fontId="96" fillId="0" borderId="1" xfId="0" applyFont="1" applyBorder="1" applyAlignment="1">
      <alignment vertical="center"/>
    </xf>
    <xf numFmtId="0" fontId="104" fillId="19" borderId="0" xfId="1" applyFont="1" applyFill="1" applyBorder="1" applyAlignment="1">
      <alignment vertical="top" wrapText="1"/>
    </xf>
    <xf numFmtId="3" fontId="19" fillId="0" borderId="0" xfId="10" applyNumberFormat="1" applyFont="1"/>
    <xf numFmtId="0" fontId="19" fillId="0" borderId="0" xfId="10" applyFont="1"/>
    <xf numFmtId="3" fontId="49" fillId="4" borderId="0" xfId="10" applyNumberFormat="1" applyFont="1" applyFill="1"/>
    <xf numFmtId="165" fontId="46" fillId="4" borderId="0" xfId="11" applyNumberFormat="1" applyFont="1" applyFill="1" applyAlignment="1">
      <alignment horizontal="right"/>
    </xf>
    <xf numFmtId="3" fontId="112" fillId="0" borderId="0" xfId="0" applyNumberFormat="1" applyFont="1" applyAlignment="1">
      <alignment horizontal="right" vertical="top"/>
    </xf>
    <xf numFmtId="0" fontId="113" fillId="0" borderId="0" xfId="0" applyFont="1" applyAlignment="1">
      <alignment horizontal="center" vertical="center" wrapText="1"/>
    </xf>
    <xf numFmtId="0" fontId="112" fillId="0" borderId="0" xfId="0" applyFont="1" applyAlignment="1">
      <alignment horizontal="left" vertical="top"/>
    </xf>
    <xf numFmtId="165" fontId="0" fillId="0" borderId="0" xfId="0" applyNumberFormat="1"/>
    <xf numFmtId="0" fontId="115" fillId="0" borderId="0" xfId="0" applyFont="1" applyAlignment="1">
      <alignment horizontal="left" vertical="center"/>
    </xf>
    <xf numFmtId="0" fontId="116" fillId="0" borderId="0" xfId="0" applyFont="1"/>
    <xf numFmtId="0" fontId="116" fillId="0" borderId="0" xfId="0" applyFont="1" applyAlignment="1">
      <alignment horizontal="left"/>
    </xf>
    <xf numFmtId="0" fontId="117" fillId="0" borderId="0" xfId="0" applyFont="1" applyAlignment="1">
      <alignment horizontal="left" vertical="center" wrapText="1"/>
    </xf>
    <xf numFmtId="167" fontId="19" fillId="0" borderId="0" xfId="0" applyNumberFormat="1" applyFont="1" applyAlignment="1">
      <alignment horizontal="right" vertical="top"/>
    </xf>
    <xf numFmtId="2" fontId="34" fillId="3" borderId="1" xfId="0" applyNumberFormat="1" applyFont="1" applyFill="1" applyBorder="1" applyAlignment="1">
      <alignment horizontal="center" vertical="center" wrapText="1"/>
    </xf>
    <xf numFmtId="2" fontId="34" fillId="3" borderId="6" xfId="0" applyNumberFormat="1" applyFont="1" applyFill="1" applyBorder="1" applyAlignment="1">
      <alignment horizontal="center" vertical="center" wrapText="1"/>
    </xf>
    <xf numFmtId="0" fontId="118" fillId="0" borderId="0" xfId="0" applyFont="1" applyAlignment="1">
      <alignment horizontal="left" vertical="center" wrapText="1"/>
    </xf>
    <xf numFmtId="0" fontId="118" fillId="0" borderId="0" xfId="0" applyFont="1" applyAlignment="1">
      <alignment horizontal="center" vertical="center" wrapText="1"/>
    </xf>
    <xf numFmtId="0" fontId="119" fillId="0" borderId="0" xfId="0" applyFont="1" applyAlignment="1">
      <alignment horizontal="left"/>
    </xf>
    <xf numFmtId="3" fontId="119" fillId="0" borderId="0" xfId="0" applyNumberFormat="1" applyFont="1" applyAlignment="1">
      <alignment horizontal="right"/>
    </xf>
    <xf numFmtId="168" fontId="21" fillId="0" borderId="0" xfId="32" applyNumberFormat="1" applyFont="1" applyAlignment="1">
      <alignment horizontal="center" vertical="center" wrapText="1"/>
    </xf>
    <xf numFmtId="165" fontId="19" fillId="0" borderId="0" xfId="32" applyNumberFormat="1" applyFont="1" applyAlignment="1">
      <alignment horizontal="right" vertical="top"/>
    </xf>
    <xf numFmtId="0" fontId="19" fillId="0" borderId="0" xfId="0" applyFont="1" applyAlignment="1">
      <alignment horizontal="left"/>
    </xf>
    <xf numFmtId="3" fontId="19" fillId="0" borderId="0" xfId="0" applyNumberFormat="1" applyFont="1" applyAlignment="1">
      <alignment horizontal="right"/>
    </xf>
    <xf numFmtId="165" fontId="19" fillId="0" borderId="0" xfId="0" applyNumberFormat="1" applyFont="1" applyAlignment="1">
      <alignment horizontal="right"/>
    </xf>
    <xf numFmtId="0" fontId="0" fillId="0" borderId="0" xfId="9" applyFont="1"/>
    <xf numFmtId="0" fontId="21" fillId="0" borderId="0" xfId="32" applyFont="1" applyAlignment="1">
      <alignment horizontal="right" vertical="center"/>
    </xf>
    <xf numFmtId="0" fontId="81" fillId="4" borderId="0" xfId="0" applyFont="1" applyFill="1"/>
    <xf numFmtId="0" fontId="94" fillId="3" borderId="0" xfId="5" applyFont="1" applyFill="1" applyProtection="1">
      <protection locked="0" hidden="1"/>
    </xf>
    <xf numFmtId="0" fontId="93" fillId="3" borderId="0" xfId="5" applyFont="1" applyFill="1" applyAlignment="1" applyProtection="1">
      <alignment vertical="center"/>
      <protection locked="0" hidden="1"/>
    </xf>
    <xf numFmtId="0" fontId="94" fillId="3" borderId="0" xfId="5" applyFont="1" applyFill="1" applyAlignment="1" applyProtection="1">
      <alignment vertical="center"/>
      <protection locked="0" hidden="1"/>
    </xf>
    <xf numFmtId="0" fontId="96" fillId="3" borderId="0" xfId="0" applyFont="1" applyFill="1" applyProtection="1">
      <protection locked="0" hidden="1"/>
    </xf>
    <xf numFmtId="0" fontId="94" fillId="3" borderId="0" xfId="5" applyFont="1" applyFill="1" applyAlignment="1" applyProtection="1">
      <alignment horizontal="center" vertical="center"/>
      <protection locked="0" hidden="1"/>
    </xf>
    <xf numFmtId="0" fontId="93" fillId="3" borderId="0" xfId="5" applyFont="1" applyFill="1" applyAlignment="1" applyProtection="1">
      <alignment horizontal="right" vertical="center"/>
      <protection locked="0" hidden="1"/>
    </xf>
    <xf numFmtId="0" fontId="93" fillId="3" borderId="1" xfId="5" applyFont="1" applyFill="1" applyBorder="1" applyAlignment="1" applyProtection="1">
      <alignment horizontal="center" vertical="center"/>
      <protection locked="0" hidden="1"/>
    </xf>
    <xf numFmtId="166" fontId="94" fillId="3" borderId="0" xfId="5" applyNumberFormat="1" applyFont="1" applyFill="1" applyAlignment="1" applyProtection="1">
      <alignment horizontal="center" vertical="center"/>
      <protection locked="0" hidden="1"/>
    </xf>
    <xf numFmtId="9" fontId="98" fillId="20" borderId="1" xfId="5" applyNumberFormat="1" applyFont="1" applyFill="1" applyBorder="1" applyAlignment="1" applyProtection="1">
      <alignment horizontal="center" vertical="center"/>
      <protection locked="0" hidden="1"/>
    </xf>
    <xf numFmtId="0" fontId="108" fillId="3" borderId="0" xfId="5" applyFont="1" applyFill="1" applyAlignment="1" applyProtection="1">
      <alignment vertical="center"/>
      <protection locked="0" hidden="1"/>
    </xf>
    <xf numFmtId="0" fontId="94" fillId="0" borderId="0" xfId="5" applyFont="1" applyProtection="1">
      <protection locked="0" hidden="1"/>
    </xf>
    <xf numFmtId="0" fontId="94" fillId="3" borderId="0" xfId="5" applyFont="1" applyFill="1" applyAlignment="1" applyProtection="1">
      <alignment horizontal="center" vertical="center" wrapText="1"/>
      <protection locked="0" hidden="1"/>
    </xf>
    <xf numFmtId="0" fontId="98" fillId="16" borderId="21" xfId="5" applyFont="1" applyFill="1" applyBorder="1" applyAlignment="1" applyProtection="1">
      <alignment horizontal="left" vertical="center" wrapText="1"/>
      <protection locked="0" hidden="1"/>
    </xf>
    <xf numFmtId="0" fontId="98" fillId="16" borderId="21" xfId="5" applyFont="1" applyFill="1" applyBorder="1" applyAlignment="1" applyProtection="1">
      <alignment horizontal="center" vertical="center" wrapText="1"/>
      <protection locked="0" hidden="1"/>
    </xf>
    <xf numFmtId="0" fontId="31" fillId="17" borderId="21" xfId="5" applyFont="1" applyFill="1" applyBorder="1" applyAlignment="1" applyProtection="1">
      <alignment horizontal="center" vertical="center" wrapText="1"/>
      <protection locked="0" hidden="1"/>
    </xf>
    <xf numFmtId="0" fontId="107" fillId="16" borderId="21" xfId="5" applyFont="1" applyFill="1" applyBorder="1" applyAlignment="1" applyProtection="1">
      <alignment horizontal="center" vertical="center" wrapText="1"/>
      <protection locked="0" hidden="1"/>
    </xf>
    <xf numFmtId="0" fontId="98" fillId="16" borderId="27" xfId="5" applyFont="1" applyFill="1" applyBorder="1" applyAlignment="1" applyProtection="1">
      <alignment horizontal="left" vertical="center" wrapText="1"/>
      <protection locked="0" hidden="1"/>
    </xf>
    <xf numFmtId="0" fontId="94" fillId="0" borderId="0" xfId="5" applyFont="1" applyAlignment="1" applyProtection="1">
      <alignment horizontal="center" vertical="center" wrapText="1"/>
      <protection locked="0" hidden="1"/>
    </xf>
    <xf numFmtId="0" fontId="92" fillId="0" borderId="22" xfId="1" applyFont="1" applyFill="1" applyBorder="1" applyAlignment="1" applyProtection="1">
      <alignment vertical="center" wrapText="1"/>
      <protection locked="0" hidden="1"/>
    </xf>
    <xf numFmtId="0" fontId="94" fillId="0" borderId="10" xfId="5" applyFont="1" applyBorder="1" applyAlignment="1" applyProtection="1">
      <alignment horizontal="center" vertical="center"/>
      <protection locked="0" hidden="1"/>
    </xf>
    <xf numFmtId="167" fontId="94" fillId="0" borderId="10" xfId="5" applyNumberFormat="1" applyFont="1" applyBorder="1" applyAlignment="1" applyProtection="1">
      <alignment horizontal="center" vertical="center"/>
      <protection locked="0" hidden="1"/>
    </xf>
    <xf numFmtId="0" fontId="106" fillId="0" borderId="10" xfId="5" applyFont="1" applyBorder="1" applyAlignment="1" applyProtection="1">
      <alignment horizontal="center" vertical="center"/>
      <protection locked="0" hidden="1"/>
    </xf>
    <xf numFmtId="0" fontId="109" fillId="0" borderId="1" xfId="0" applyFont="1" applyBorder="1" applyAlignment="1" applyProtection="1">
      <alignment vertical="center" wrapText="1"/>
      <protection locked="0" hidden="1"/>
    </xf>
    <xf numFmtId="0" fontId="92" fillId="0" borderId="3" xfId="1" applyFont="1" applyFill="1" applyBorder="1" applyAlignment="1" applyProtection="1">
      <alignment vertical="center" wrapText="1"/>
      <protection locked="0" hidden="1"/>
    </xf>
    <xf numFmtId="0" fontId="94" fillId="0" borderId="1" xfId="5" applyFont="1" applyBorder="1" applyAlignment="1" applyProtection="1">
      <alignment horizontal="center" vertical="center"/>
      <protection locked="0" hidden="1"/>
    </xf>
    <xf numFmtId="167" fontId="94" fillId="0" borderId="1" xfId="5" applyNumberFormat="1" applyFont="1" applyBorder="1" applyAlignment="1" applyProtection="1">
      <alignment horizontal="center" vertical="center"/>
      <protection locked="0" hidden="1"/>
    </xf>
    <xf numFmtId="17" fontId="94" fillId="0" borderId="1" xfId="5" applyNumberFormat="1" applyFont="1" applyBorder="1" applyAlignment="1" applyProtection="1">
      <alignment horizontal="center" vertical="center"/>
      <protection locked="0" hidden="1"/>
    </xf>
    <xf numFmtId="165" fontId="94" fillId="0" borderId="1" xfId="5" applyNumberFormat="1" applyFont="1" applyBorder="1" applyAlignment="1" applyProtection="1">
      <alignment horizontal="center" vertical="center"/>
      <protection locked="0" hidden="1"/>
    </xf>
    <xf numFmtId="0" fontId="106" fillId="0" borderId="1" xfId="5" applyFont="1" applyBorder="1" applyAlignment="1" applyProtection="1">
      <alignment horizontal="center" vertical="center"/>
      <protection locked="0" hidden="1"/>
    </xf>
    <xf numFmtId="0" fontId="109" fillId="0" borderId="1" xfId="1" applyFont="1" applyFill="1" applyBorder="1" applyAlignment="1" applyProtection="1">
      <alignment vertical="center" wrapText="1"/>
      <protection locked="0" hidden="1"/>
    </xf>
    <xf numFmtId="0" fontId="93" fillId="3" borderId="0" xfId="5" applyFont="1" applyFill="1" applyAlignment="1" applyProtection="1">
      <alignment horizontal="left" vertical="center" wrapText="1"/>
      <protection locked="0" hidden="1"/>
    </xf>
    <xf numFmtId="3" fontId="94" fillId="0" borderId="1" xfId="5" applyNumberFormat="1" applyFont="1" applyBorder="1" applyAlignment="1" applyProtection="1">
      <alignment horizontal="center" vertical="center"/>
      <protection locked="0" hidden="1"/>
    </xf>
    <xf numFmtId="0" fontId="92" fillId="0" borderId="3" xfId="1" quotePrefix="1" applyFont="1" applyFill="1" applyBorder="1" applyAlignment="1" applyProtection="1">
      <alignment vertical="center" wrapText="1"/>
      <protection locked="0" hidden="1"/>
    </xf>
    <xf numFmtId="0" fontId="92" fillId="3" borderId="0" xfId="5" applyFont="1" applyFill="1" applyProtection="1">
      <protection locked="0" hidden="1"/>
    </xf>
    <xf numFmtId="0" fontId="93" fillId="0" borderId="0" xfId="5" applyFont="1" applyAlignment="1" applyProtection="1">
      <alignment vertical="center"/>
      <protection locked="0" hidden="1"/>
    </xf>
    <xf numFmtId="0" fontId="94" fillId="0" borderId="0" xfId="5" applyFont="1" applyAlignment="1" applyProtection="1">
      <alignment vertical="center"/>
      <protection locked="0" hidden="1"/>
    </xf>
    <xf numFmtId="0" fontId="96" fillId="0" borderId="0" xfId="0" applyFont="1" applyProtection="1">
      <protection locked="0" hidden="1"/>
    </xf>
    <xf numFmtId="0" fontId="94" fillId="0" borderId="0" xfId="5" applyFont="1" applyAlignment="1" applyProtection="1">
      <alignment horizontal="center" vertical="center"/>
      <protection locked="0" hidden="1"/>
    </xf>
    <xf numFmtId="0" fontId="27" fillId="3" borderId="0" xfId="0" applyFont="1" applyFill="1" applyAlignment="1" applyProtection="1">
      <alignment horizontal="left" vertical="top"/>
      <protection locked="0" hidden="1"/>
    </xf>
    <xf numFmtId="0" fontId="28" fillId="3" borderId="0" xfId="0" applyFont="1" applyFill="1" applyProtection="1">
      <protection locked="0" hidden="1"/>
    </xf>
    <xf numFmtId="0" fontId="29" fillId="3" borderId="0" xfId="1" applyFont="1" applyFill="1" applyProtection="1">
      <protection locked="0" hidden="1"/>
    </xf>
    <xf numFmtId="0" fontId="100" fillId="3" borderId="0" xfId="0" applyFont="1" applyFill="1" applyAlignment="1" applyProtection="1">
      <alignment horizontal="left" vertical="top"/>
      <protection locked="0" hidden="1"/>
    </xf>
    <xf numFmtId="0" fontId="95" fillId="3" borderId="0" xfId="1" applyFont="1" applyFill="1" applyProtection="1">
      <protection locked="0" hidden="1"/>
    </xf>
    <xf numFmtId="0" fontId="31" fillId="3" borderId="0" xfId="0" applyFont="1" applyFill="1" applyAlignment="1" applyProtection="1">
      <alignment horizontal="left" vertical="center" wrapText="1"/>
      <protection locked="0" hidden="1"/>
    </xf>
    <xf numFmtId="0" fontId="31" fillId="3" borderId="0" xfId="0" applyFont="1" applyFill="1" applyAlignment="1" applyProtection="1">
      <alignment horizontal="center" vertical="center" wrapText="1"/>
      <protection locked="0" hidden="1"/>
    </xf>
    <xf numFmtId="0" fontId="98" fillId="16" borderId="1" xfId="0" applyFont="1" applyFill="1" applyBorder="1" applyAlignment="1" applyProtection="1">
      <alignment horizontal="left" vertical="center"/>
      <protection locked="0" hidden="1"/>
    </xf>
    <xf numFmtId="0" fontId="98" fillId="16" borderId="1" xfId="0" applyFont="1" applyFill="1" applyBorder="1" applyAlignment="1" applyProtection="1">
      <alignment horizontal="center" vertical="center"/>
      <protection locked="0" hidden="1"/>
    </xf>
    <xf numFmtId="0" fontId="98" fillId="16" borderId="1" xfId="0" applyFont="1" applyFill="1" applyBorder="1" applyAlignment="1" applyProtection="1">
      <alignment horizontal="center" vertical="center" wrapText="1"/>
      <protection locked="0" hidden="1"/>
    </xf>
    <xf numFmtId="0" fontId="92" fillId="3" borderId="1" xfId="0" applyFont="1" applyFill="1" applyBorder="1" applyAlignment="1" applyProtection="1">
      <alignment horizontal="left" vertical="center"/>
      <protection locked="0" hidden="1"/>
    </xf>
    <xf numFmtId="167" fontId="92" fillId="3" borderId="1" xfId="0" applyNumberFormat="1" applyFont="1" applyFill="1" applyBorder="1" applyAlignment="1" applyProtection="1">
      <alignment horizontal="center" vertical="center"/>
      <protection locked="0" hidden="1"/>
    </xf>
    <xf numFmtId="165" fontId="92" fillId="3" borderId="1" xfId="0" applyNumberFormat="1" applyFont="1" applyFill="1" applyBorder="1" applyAlignment="1" applyProtection="1">
      <alignment horizontal="center" vertical="center"/>
      <protection locked="0" hidden="1"/>
    </xf>
    <xf numFmtId="167" fontId="92" fillId="10" borderId="1" xfId="0" applyNumberFormat="1" applyFont="1" applyFill="1" applyBorder="1" applyAlignment="1" applyProtection="1">
      <alignment horizontal="center" vertical="center"/>
      <protection locked="0" hidden="1"/>
    </xf>
    <xf numFmtId="3" fontId="92" fillId="10" borderId="1" xfId="0" applyNumberFormat="1" applyFont="1" applyFill="1" applyBorder="1" applyAlignment="1" applyProtection="1">
      <alignment horizontal="center" vertical="center"/>
      <protection locked="0" hidden="1"/>
    </xf>
    <xf numFmtId="167" fontId="92" fillId="15" borderId="1" xfId="0" applyNumberFormat="1" applyFont="1" applyFill="1" applyBorder="1" applyAlignment="1" applyProtection="1">
      <alignment horizontal="center" vertical="center"/>
      <protection locked="0" hidden="1"/>
    </xf>
    <xf numFmtId="3" fontId="92" fillId="15" borderId="1" xfId="0" applyNumberFormat="1" applyFont="1" applyFill="1" applyBorder="1" applyAlignment="1" applyProtection="1">
      <alignment horizontal="center" vertical="center"/>
      <protection locked="0" hidden="1"/>
    </xf>
    <xf numFmtId="0" fontId="92" fillId="3" borderId="0" xfId="0" applyFont="1" applyFill="1" applyAlignment="1" applyProtection="1">
      <alignment horizontal="left" vertical="center"/>
      <protection locked="0" hidden="1"/>
    </xf>
    <xf numFmtId="3" fontId="92" fillId="3" borderId="0" xfId="0" applyNumberFormat="1" applyFont="1" applyFill="1" applyAlignment="1" applyProtection="1">
      <alignment horizontal="center" vertical="center"/>
      <protection locked="0" hidden="1"/>
    </xf>
    <xf numFmtId="165" fontId="92" fillId="3" borderId="0" xfId="0" applyNumberFormat="1" applyFont="1" applyFill="1" applyAlignment="1" applyProtection="1">
      <alignment horizontal="center" vertical="center"/>
      <protection locked="0" hidden="1"/>
    </xf>
    <xf numFmtId="166" fontId="92" fillId="3" borderId="0" xfId="0" applyNumberFormat="1" applyFont="1" applyFill="1" applyAlignment="1" applyProtection="1">
      <alignment horizontal="center" vertical="center"/>
      <protection locked="0" hidden="1"/>
    </xf>
    <xf numFmtId="0" fontId="31" fillId="3" borderId="1" xfId="0" applyFont="1" applyFill="1" applyBorder="1" applyAlignment="1" applyProtection="1">
      <alignment horizontal="left" vertical="center"/>
      <protection locked="0" hidden="1"/>
    </xf>
    <xf numFmtId="49" fontId="92" fillId="3" borderId="1" xfId="0" applyNumberFormat="1" applyFont="1" applyFill="1" applyBorder="1" applyAlignment="1" applyProtection="1">
      <alignment horizontal="left" vertical="center"/>
      <protection locked="0" hidden="1"/>
    </xf>
    <xf numFmtId="0" fontId="92" fillId="3" borderId="0" xfId="0" applyFont="1" applyFill="1" applyAlignment="1" applyProtection="1">
      <alignment horizontal="left" vertical="top"/>
      <protection locked="0" hidden="1"/>
    </xf>
    <xf numFmtId="165" fontId="92" fillId="3" borderId="0" xfId="0" applyNumberFormat="1" applyFont="1" applyFill="1" applyAlignment="1" applyProtection="1">
      <alignment horizontal="center" vertical="top"/>
      <protection locked="0" hidden="1"/>
    </xf>
    <xf numFmtId="3" fontId="96" fillId="3" borderId="0" xfId="0" applyNumberFormat="1" applyFont="1" applyFill="1" applyProtection="1">
      <protection locked="0" hidden="1"/>
    </xf>
    <xf numFmtId="3" fontId="101" fillId="3" borderId="0" xfId="0" applyNumberFormat="1" applyFont="1" applyFill="1" applyProtection="1">
      <protection locked="0" hidden="1"/>
    </xf>
    <xf numFmtId="0" fontId="99" fillId="3" borderId="0" xfId="0" applyFont="1" applyFill="1" applyProtection="1">
      <protection locked="0" hidden="1"/>
    </xf>
    <xf numFmtId="166" fontId="96" fillId="3" borderId="0" xfId="0" applyNumberFormat="1" applyFont="1" applyFill="1" applyProtection="1">
      <protection locked="0" hidden="1"/>
    </xf>
    <xf numFmtId="167" fontId="92" fillId="3" borderId="0" xfId="0" applyNumberFormat="1" applyFont="1" applyFill="1" applyAlignment="1" applyProtection="1">
      <alignment horizontal="center" vertical="center"/>
      <protection locked="0" hidden="1"/>
    </xf>
    <xf numFmtId="0" fontId="31" fillId="3" borderId="0" xfId="1" applyFont="1" applyFill="1" applyBorder="1" applyAlignment="1" applyProtection="1">
      <alignment vertical="center"/>
      <protection locked="0" hidden="1"/>
    </xf>
    <xf numFmtId="3" fontId="31" fillId="10" borderId="1" xfId="0" applyNumberFormat="1" applyFont="1" applyFill="1" applyBorder="1" applyAlignment="1" applyProtection="1">
      <alignment horizontal="center" vertical="center" wrapText="1"/>
      <protection locked="0" hidden="1"/>
    </xf>
    <xf numFmtId="3" fontId="92" fillId="3" borderId="1" xfId="0" applyNumberFormat="1" applyFont="1" applyFill="1" applyBorder="1" applyAlignment="1" applyProtection="1">
      <alignment horizontal="center" vertical="center"/>
      <protection locked="0" hidden="1"/>
    </xf>
    <xf numFmtId="0" fontId="29" fillId="0" borderId="0" xfId="1" applyFont="1" applyFill="1" applyProtection="1">
      <protection locked="0" hidden="1"/>
    </xf>
    <xf numFmtId="166" fontId="92" fillId="10" borderId="1" xfId="0" applyNumberFormat="1" applyFont="1" applyFill="1" applyBorder="1" applyAlignment="1" applyProtection="1">
      <alignment horizontal="center" vertical="center"/>
      <protection locked="0" hidden="1"/>
    </xf>
    <xf numFmtId="165" fontId="92" fillId="10" borderId="1" xfId="0" applyNumberFormat="1" applyFont="1" applyFill="1" applyBorder="1" applyAlignment="1" applyProtection="1">
      <alignment horizontal="center" vertical="center"/>
      <protection locked="0" hidden="1"/>
    </xf>
    <xf numFmtId="166" fontId="92" fillId="15" borderId="1" xfId="0" applyNumberFormat="1" applyFont="1" applyFill="1" applyBorder="1" applyAlignment="1" applyProtection="1">
      <alignment horizontal="center" vertical="center"/>
      <protection locked="0" hidden="1"/>
    </xf>
    <xf numFmtId="0" fontId="97" fillId="3" borderId="1" xfId="0" applyFont="1" applyFill="1" applyBorder="1" applyAlignment="1" applyProtection="1">
      <alignment horizontal="center"/>
      <protection locked="0" hidden="1"/>
    </xf>
    <xf numFmtId="0" fontId="31" fillId="15" borderId="1" xfId="0" applyFont="1" applyFill="1" applyBorder="1" applyAlignment="1" applyProtection="1">
      <alignment horizontal="center" vertical="center" wrapText="1"/>
      <protection locked="0" hidden="1"/>
    </xf>
    <xf numFmtId="0" fontId="101" fillId="3" borderId="0" xfId="0" applyFont="1" applyFill="1" applyProtection="1">
      <protection locked="0" hidden="1"/>
    </xf>
    <xf numFmtId="0" fontId="97" fillId="17" borderId="1" xfId="0" applyFont="1" applyFill="1" applyBorder="1" applyProtection="1">
      <protection locked="0" hidden="1"/>
    </xf>
    <xf numFmtId="0" fontId="31" fillId="0" borderId="0" xfId="1" applyFont="1" applyFill="1" applyBorder="1" applyAlignment="1" applyProtection="1">
      <alignment horizontal="center" vertical="center"/>
      <protection locked="0" hidden="1"/>
    </xf>
    <xf numFmtId="166" fontId="92" fillId="3" borderId="1" xfId="0" applyNumberFormat="1" applyFont="1" applyFill="1" applyBorder="1" applyAlignment="1" applyProtection="1">
      <alignment horizontal="center" vertical="center"/>
      <protection locked="0" hidden="1"/>
    </xf>
    <xf numFmtId="0" fontId="28" fillId="3" borderId="0" xfId="0" applyFont="1" applyFill="1" applyAlignment="1" applyProtection="1">
      <alignment vertical="center"/>
      <protection locked="0" hidden="1"/>
    </xf>
    <xf numFmtId="0" fontId="92" fillId="3" borderId="1" xfId="0" applyFont="1" applyFill="1" applyBorder="1" applyAlignment="1" applyProtection="1">
      <alignment horizontal="center" vertical="center"/>
      <protection locked="0" hidden="1"/>
    </xf>
    <xf numFmtId="17" fontId="98" fillId="16" borderId="1" xfId="0" applyNumberFormat="1" applyFont="1" applyFill="1" applyBorder="1" applyAlignment="1" applyProtection="1">
      <alignment horizontal="center" vertical="center"/>
      <protection locked="0" hidden="1"/>
    </xf>
    <xf numFmtId="0" fontId="31" fillId="0" borderId="1" xfId="0" applyFont="1" applyBorder="1" applyAlignment="1" applyProtection="1">
      <alignment horizontal="left" vertical="center"/>
      <protection locked="0" hidden="1"/>
    </xf>
    <xf numFmtId="49" fontId="92" fillId="0" borderId="1" xfId="0" applyNumberFormat="1" applyFont="1" applyBorder="1" applyAlignment="1" applyProtection="1">
      <alignment horizontal="left" vertical="center"/>
      <protection locked="0" hidden="1"/>
    </xf>
    <xf numFmtId="0" fontId="31" fillId="0" borderId="0" xfId="1" applyFont="1" applyFill="1" applyBorder="1" applyAlignment="1" applyProtection="1">
      <alignment vertical="center"/>
      <protection locked="0" hidden="1"/>
    </xf>
    <xf numFmtId="0" fontId="96" fillId="3" borderId="0" xfId="0" applyFont="1" applyFill="1" applyAlignment="1" applyProtection="1">
      <alignment vertical="center"/>
      <protection locked="0" hidden="1"/>
    </xf>
    <xf numFmtId="0" fontId="98" fillId="16" borderId="1" xfId="0" applyFont="1" applyFill="1" applyBorder="1" applyAlignment="1" applyProtection="1">
      <alignment vertical="center"/>
      <protection locked="0" hidden="1"/>
    </xf>
    <xf numFmtId="0" fontId="97" fillId="3" borderId="0" xfId="0" applyFont="1" applyFill="1" applyAlignment="1" applyProtection="1">
      <alignment vertical="center"/>
      <protection locked="0" hidden="1"/>
    </xf>
    <xf numFmtId="0" fontId="96" fillId="0" borderId="0" xfId="0" applyFont="1" applyAlignment="1" applyProtection="1">
      <alignment vertical="center"/>
      <protection locked="0" hidden="1"/>
    </xf>
    <xf numFmtId="0" fontId="93" fillId="17" borderId="1" xfId="0" applyFont="1" applyFill="1" applyBorder="1" applyAlignment="1" applyProtection="1">
      <alignment horizontal="right" vertical="center" wrapText="1"/>
      <protection locked="0" hidden="1"/>
    </xf>
    <xf numFmtId="0" fontId="98" fillId="16" borderId="1" xfId="0" applyFont="1" applyFill="1" applyBorder="1" applyAlignment="1" applyProtection="1">
      <alignment horizontal="right" vertical="center" wrapText="1"/>
      <protection locked="0" hidden="1"/>
    </xf>
    <xf numFmtId="0" fontId="98" fillId="16" borderId="1" xfId="0" applyFont="1" applyFill="1" applyBorder="1" applyAlignment="1" applyProtection="1">
      <alignment horizontal="right" vertical="center"/>
      <protection locked="0" hidden="1"/>
    </xf>
    <xf numFmtId="0" fontId="31" fillId="21" borderId="1" xfId="0" applyFont="1" applyFill="1" applyBorder="1" applyAlignment="1" applyProtection="1">
      <alignment horizontal="right" vertical="center"/>
      <protection locked="0" hidden="1"/>
    </xf>
    <xf numFmtId="0" fontId="96" fillId="0" borderId="1" xfId="0" applyFont="1" applyBorder="1" applyProtection="1">
      <protection locked="0" hidden="1"/>
    </xf>
    <xf numFmtId="167" fontId="96" fillId="0" borderId="1" xfId="0" applyNumberFormat="1" applyFont="1" applyBorder="1" applyProtection="1">
      <protection locked="0" hidden="1"/>
    </xf>
    <xf numFmtId="167" fontId="92" fillId="3" borderId="1" xfId="0" applyNumberFormat="1" applyFont="1" applyFill="1" applyBorder="1" applyAlignment="1" applyProtection="1">
      <alignment horizontal="right" vertical="center"/>
      <protection locked="0" hidden="1"/>
    </xf>
    <xf numFmtId="167" fontId="92" fillId="0" borderId="1" xfId="0" applyNumberFormat="1" applyFont="1" applyBorder="1" applyAlignment="1" applyProtection="1">
      <alignment horizontal="right" vertical="center"/>
      <protection locked="0" hidden="1"/>
    </xf>
    <xf numFmtId="3" fontId="92" fillId="0" borderId="1" xfId="0" applyNumberFormat="1" applyFont="1" applyBorder="1" applyAlignment="1" applyProtection="1">
      <alignment horizontal="right" vertical="center"/>
      <protection locked="0" hidden="1"/>
    </xf>
    <xf numFmtId="167" fontId="96" fillId="0" borderId="1" xfId="0" applyNumberFormat="1" applyFont="1" applyBorder="1" applyAlignment="1" applyProtection="1">
      <alignment horizontal="right"/>
      <protection locked="0" hidden="1"/>
    </xf>
    <xf numFmtId="165" fontId="92" fillId="3" borderId="1" xfId="0" applyNumberFormat="1" applyFont="1" applyFill="1" applyBorder="1" applyAlignment="1" applyProtection="1">
      <alignment horizontal="right" vertical="center"/>
      <protection locked="0" hidden="1"/>
    </xf>
    <xf numFmtId="0" fontId="96" fillId="0" borderId="2" xfId="0" applyFont="1" applyBorder="1" applyProtection="1">
      <protection locked="0" hidden="1"/>
    </xf>
    <xf numFmtId="0" fontId="96" fillId="0" borderId="6" xfId="0" applyFont="1" applyBorder="1" applyProtection="1">
      <protection locked="0" hidden="1"/>
    </xf>
    <xf numFmtId="0" fontId="96" fillId="0" borderId="3" xfId="0" applyFont="1" applyBorder="1" applyProtection="1">
      <protection locked="0" hidden="1"/>
    </xf>
    <xf numFmtId="165" fontId="96" fillId="0" borderId="1" xfId="0" applyNumberFormat="1" applyFont="1" applyBorder="1" applyProtection="1">
      <protection locked="0" hidden="1"/>
    </xf>
    <xf numFmtId="166" fontId="92" fillId="0" borderId="1" xfId="0" applyNumberFormat="1" applyFont="1" applyBorder="1" applyAlignment="1" applyProtection="1">
      <alignment horizontal="right" vertical="center"/>
      <protection locked="0" hidden="1"/>
    </xf>
    <xf numFmtId="49" fontId="96" fillId="3" borderId="0" xfId="0" applyNumberFormat="1" applyFont="1" applyFill="1" applyProtection="1">
      <protection locked="0" hidden="1"/>
    </xf>
    <xf numFmtId="0" fontId="98" fillId="16" borderId="1" xfId="0" applyFont="1" applyFill="1" applyBorder="1" applyAlignment="1" applyProtection="1">
      <alignment horizontal="center" vertical="center"/>
      <protection locked="0"/>
    </xf>
    <xf numFmtId="0" fontId="120" fillId="0" borderId="0" xfId="0" applyFont="1" applyAlignment="1">
      <alignment horizontal="left" vertical="center" wrapText="1"/>
    </xf>
    <xf numFmtId="0" fontId="120" fillId="0" borderId="0" xfId="0" applyFont="1" applyAlignment="1">
      <alignment horizontal="center" vertical="center" wrapText="1"/>
    </xf>
    <xf numFmtId="176" fontId="92" fillId="3" borderId="1" xfId="0" applyNumberFormat="1" applyFont="1" applyFill="1" applyBorder="1" applyAlignment="1" applyProtection="1">
      <alignment horizontal="center" vertical="center"/>
      <protection locked="0" hidden="1"/>
    </xf>
    <xf numFmtId="176" fontId="92" fillId="10" borderId="1" xfId="0" applyNumberFormat="1" applyFont="1" applyFill="1" applyBorder="1" applyAlignment="1" applyProtection="1">
      <alignment horizontal="center" vertical="center"/>
      <protection locked="0" hidden="1"/>
    </xf>
    <xf numFmtId="176" fontId="92" fillId="15" borderId="1" xfId="0" applyNumberFormat="1" applyFont="1" applyFill="1" applyBorder="1" applyAlignment="1" applyProtection="1">
      <alignment horizontal="center" vertical="center"/>
      <protection locked="0" hidden="1"/>
    </xf>
    <xf numFmtId="0" fontId="6" fillId="19" borderId="0" xfId="32" applyFont="1" applyFill="1"/>
    <xf numFmtId="0" fontId="5" fillId="0" borderId="0" xfId="23" applyFont="1"/>
    <xf numFmtId="2" fontId="35" fillId="0" borderId="0" xfId="14" applyNumberFormat="1" applyFont="1" applyAlignment="1">
      <alignment horizontal="left" vertical="center" wrapText="1"/>
    </xf>
    <xf numFmtId="0" fontId="19" fillId="0" borderId="0" xfId="0" applyFont="1" applyAlignment="1">
      <alignment vertical="top"/>
    </xf>
    <xf numFmtId="3" fontId="19" fillId="0" borderId="0" xfId="0" applyNumberFormat="1" applyFont="1" applyAlignment="1">
      <alignment vertical="top"/>
    </xf>
    <xf numFmtId="3" fontId="19" fillId="0" borderId="0" xfId="0" applyNumberFormat="1" applyFont="1" applyAlignment="1">
      <alignment horizontal="left"/>
    </xf>
    <xf numFmtId="165" fontId="19" fillId="0" borderId="0" xfId="0" applyNumberFormat="1" applyFont="1" applyAlignment="1">
      <alignment vertical="top"/>
    </xf>
    <xf numFmtId="3" fontId="19" fillId="0" borderId="0" xfId="32" applyNumberFormat="1" applyFont="1" applyAlignment="1">
      <alignment vertical="top"/>
    </xf>
    <xf numFmtId="3" fontId="19" fillId="0" borderId="0" xfId="37" applyNumberFormat="1"/>
    <xf numFmtId="0" fontId="29" fillId="3" borderId="0" xfId="1" applyFont="1" applyFill="1"/>
    <xf numFmtId="0" fontId="28" fillId="3" borderId="0" xfId="0" applyFont="1" applyFill="1" applyProtection="1">
      <protection locked="0"/>
    </xf>
    <xf numFmtId="177" fontId="21" fillId="0" borderId="0" xfId="0" applyNumberFormat="1" applyFont="1" applyAlignment="1">
      <alignment horizontal="left"/>
    </xf>
    <xf numFmtId="0" fontId="49" fillId="0" borderId="0" xfId="0" applyFont="1" applyAlignment="1">
      <alignment horizontal="right"/>
    </xf>
    <xf numFmtId="0" fontId="73" fillId="0" borderId="0" xfId="0" applyFont="1" applyAlignment="1">
      <alignment horizontal="right"/>
    </xf>
    <xf numFmtId="0" fontId="49" fillId="0" borderId="0" xfId="0" applyFont="1"/>
    <xf numFmtId="0" fontId="18" fillId="0" borderId="0" xfId="0" applyFont="1" applyAlignment="1">
      <alignment wrapText="1"/>
    </xf>
    <xf numFmtId="178" fontId="75" fillId="0" borderId="0" xfId="38" applyNumberFormat="1" applyFont="1" applyFill="1" applyAlignment="1">
      <alignment vertical="center"/>
    </xf>
    <xf numFmtId="3" fontId="4" fillId="0" borderId="0" xfId="23" applyNumberFormat="1" applyFont="1"/>
    <xf numFmtId="167" fontId="4" fillId="0" borderId="0" xfId="23" applyNumberFormat="1" applyFont="1"/>
    <xf numFmtId="0" fontId="29" fillId="3" borderId="0" xfId="1" applyFont="1" applyFill="1" applyBorder="1" applyAlignment="1" applyProtection="1">
      <alignment horizontal="left" vertical="center"/>
      <protection locked="0" hidden="1"/>
    </xf>
    <xf numFmtId="168" fontId="21" fillId="17" borderId="0" xfId="32" applyNumberFormat="1" applyFont="1" applyFill="1" applyAlignment="1">
      <alignment horizontal="center" vertical="center" wrapText="1"/>
    </xf>
    <xf numFmtId="3" fontId="19" fillId="17" borderId="0" xfId="32" applyNumberFormat="1" applyFont="1" applyFill="1" applyAlignment="1">
      <alignment horizontal="right" vertical="top"/>
    </xf>
    <xf numFmtId="165" fontId="19" fillId="17" borderId="0" xfId="32" applyNumberFormat="1" applyFont="1" applyFill="1" applyAlignment="1">
      <alignment horizontal="right" vertical="top"/>
    </xf>
    <xf numFmtId="3" fontId="44" fillId="17" borderId="0" xfId="10" applyNumberFormat="1" applyFill="1"/>
    <xf numFmtId="167" fontId="19" fillId="17" borderId="0" xfId="32" applyNumberFormat="1" applyFont="1" applyFill="1" applyAlignment="1">
      <alignment horizontal="right" vertical="top"/>
    </xf>
    <xf numFmtId="3" fontId="122" fillId="0" borderId="0" xfId="0" applyNumberFormat="1" applyFont="1" applyAlignment="1">
      <alignment horizontal="right"/>
    </xf>
    <xf numFmtId="165" fontId="19" fillId="17" borderId="0" xfId="0" applyNumberFormat="1" applyFont="1" applyFill="1" applyAlignment="1">
      <alignment horizontal="right" vertical="top"/>
    </xf>
    <xf numFmtId="167" fontId="19" fillId="17" borderId="0" xfId="0" applyNumberFormat="1" applyFont="1" applyFill="1" applyAlignment="1">
      <alignment horizontal="right" vertical="top"/>
    </xf>
    <xf numFmtId="167" fontId="23" fillId="17" borderId="0" xfId="0" applyNumberFormat="1" applyFont="1" applyFill="1" applyAlignment="1">
      <alignment horizontal="right" vertical="top"/>
    </xf>
    <xf numFmtId="0" fontId="44" fillId="17" borderId="0" xfId="10" applyFill="1"/>
    <xf numFmtId="9" fontId="69" fillId="17" borderId="9" xfId="0" applyNumberFormat="1" applyFont="1" applyFill="1" applyBorder="1" applyAlignment="1">
      <alignment horizontal="center"/>
    </xf>
    <xf numFmtId="3" fontId="19" fillId="17" borderId="0" xfId="37" applyNumberFormat="1" applyFill="1"/>
    <xf numFmtId="167" fontId="10" fillId="17" borderId="0" xfId="23" applyNumberFormat="1" applyFill="1"/>
    <xf numFmtId="0" fontId="14" fillId="17" borderId="0" xfId="9" applyFill="1"/>
    <xf numFmtId="4" fontId="44" fillId="17" borderId="0" xfId="10" applyNumberFormat="1" applyFill="1"/>
    <xf numFmtId="165" fontId="32" fillId="17" borderId="0" xfId="0" applyNumberFormat="1" applyFont="1" applyFill="1" applyAlignment="1">
      <alignment horizontal="right" vertical="top"/>
    </xf>
    <xf numFmtId="165" fontId="44" fillId="17" borderId="0" xfId="10" applyNumberFormat="1" applyFill="1"/>
    <xf numFmtId="167" fontId="46" fillId="17" borderId="0" xfId="11" applyNumberFormat="1" applyFont="1" applyFill="1" applyAlignment="1">
      <alignment horizontal="right"/>
    </xf>
    <xf numFmtId="3" fontId="46" fillId="17" borderId="0" xfId="11" applyNumberFormat="1" applyFont="1" applyFill="1" applyAlignment="1">
      <alignment horizontal="right"/>
    </xf>
    <xf numFmtId="0" fontId="43" fillId="17" borderId="0" xfId="32" applyFill="1"/>
    <xf numFmtId="0" fontId="35" fillId="17" borderId="0" xfId="14" applyFont="1" applyFill="1" applyAlignment="1">
      <alignment horizontal="left" vertical="center" wrapText="1"/>
    </xf>
    <xf numFmtId="0" fontId="35" fillId="17" borderId="0" xfId="14" applyFont="1" applyFill="1"/>
    <xf numFmtId="3" fontId="78" fillId="17" borderId="0" xfId="21" applyNumberFormat="1" applyFont="1" applyFill="1"/>
    <xf numFmtId="165" fontId="79" fillId="17" borderId="0" xfId="21" applyNumberFormat="1" applyFont="1" applyFill="1"/>
    <xf numFmtId="166" fontId="19" fillId="17" borderId="0" xfId="0" applyNumberFormat="1" applyFont="1" applyFill="1" applyAlignment="1">
      <alignment horizontal="right" vertical="top"/>
    </xf>
    <xf numFmtId="167" fontId="35" fillId="17" borderId="0" xfId="14" applyNumberFormat="1" applyFont="1" applyFill="1"/>
    <xf numFmtId="0" fontId="35" fillId="17" borderId="0" xfId="0" applyFont="1" applyFill="1"/>
    <xf numFmtId="167" fontId="35" fillId="17" borderId="0" xfId="0" applyNumberFormat="1" applyFont="1" applyFill="1" applyAlignment="1">
      <alignment horizontal="center"/>
    </xf>
    <xf numFmtId="0" fontId="19" fillId="17" borderId="0" xfId="0" applyFont="1" applyFill="1" applyAlignment="1">
      <alignment horizontal="left" vertical="top"/>
    </xf>
    <xf numFmtId="3" fontId="19" fillId="17" borderId="0" xfId="0" applyNumberFormat="1" applyFont="1" applyFill="1" applyAlignment="1">
      <alignment horizontal="right" vertical="top"/>
    </xf>
    <xf numFmtId="166" fontId="16" fillId="17" borderId="0" xfId="6" applyNumberFormat="1" applyFill="1"/>
    <xf numFmtId="0" fontId="76" fillId="17" borderId="0" xfId="19" applyFill="1"/>
    <xf numFmtId="0" fontId="76" fillId="17" borderId="0" xfId="17" applyFont="1" applyFill="1" applyAlignment="1">
      <alignment horizontal="right"/>
    </xf>
    <xf numFmtId="3" fontId="76" fillId="17" borderId="0" xfId="17" applyNumberFormat="1" applyFont="1" applyFill="1" applyAlignment="1">
      <alignment horizontal="right"/>
    </xf>
    <xf numFmtId="165" fontId="76" fillId="17" borderId="0" xfId="17" applyNumberFormat="1" applyFont="1" applyFill="1" applyAlignment="1">
      <alignment horizontal="right"/>
    </xf>
    <xf numFmtId="2" fontId="76" fillId="3" borderId="0" xfId="19" applyNumberFormat="1" applyFill="1"/>
    <xf numFmtId="0" fontId="29" fillId="0" borderId="0" xfId="1" applyFont="1" applyFill="1"/>
    <xf numFmtId="0" fontId="31" fillId="17" borderId="1" xfId="0" applyFont="1" applyFill="1" applyBorder="1" applyAlignment="1" applyProtection="1">
      <alignment horizontal="right" vertical="center" wrapText="1"/>
      <protection locked="0" hidden="1"/>
    </xf>
    <xf numFmtId="165" fontId="19" fillId="17" borderId="0" xfId="0" applyNumberFormat="1" applyFont="1" applyFill="1" applyAlignment="1">
      <alignment horizontal="right"/>
    </xf>
    <xf numFmtId="0" fontId="125" fillId="0" borderId="0" xfId="0" applyFont="1" applyAlignment="1">
      <alignment horizontal="left" vertical="center"/>
    </xf>
    <xf numFmtId="0" fontId="122" fillId="0" borderId="0" xfId="0" applyFont="1"/>
    <xf numFmtId="0" fontId="122" fillId="0" borderId="0" xfId="0" applyFont="1" applyAlignment="1">
      <alignment horizontal="left"/>
    </xf>
    <xf numFmtId="0" fontId="121" fillId="0" borderId="0" xfId="0" applyFont="1" applyAlignment="1">
      <alignment horizontal="left" vertical="center" wrapText="1"/>
    </xf>
    <xf numFmtId="0" fontId="75" fillId="23" borderId="0" xfId="0" applyFont="1" applyFill="1"/>
    <xf numFmtId="0" fontId="75" fillId="23" borderId="0" xfId="0" applyFont="1" applyFill="1" applyAlignment="1">
      <alignment horizontal="left" vertical="top"/>
    </xf>
    <xf numFmtId="3" fontId="75" fillId="23" borderId="0" xfId="0" applyNumberFormat="1" applyFont="1" applyFill="1"/>
    <xf numFmtId="3" fontId="0" fillId="0" borderId="0" xfId="0" applyNumberFormat="1"/>
    <xf numFmtId="0" fontId="3" fillId="3" borderId="15" xfId="17" applyFont="1" applyFill="1" applyBorder="1"/>
    <xf numFmtId="0" fontId="3" fillId="10" borderId="13" xfId="17" applyFont="1" applyFill="1" applyBorder="1"/>
    <xf numFmtId="0" fontId="3" fillId="3" borderId="13" xfId="17" applyFont="1" applyFill="1" applyBorder="1"/>
    <xf numFmtId="0" fontId="3" fillId="0" borderId="13" xfId="17" applyFont="1" applyBorder="1"/>
    <xf numFmtId="167" fontId="104" fillId="0" borderId="0" xfId="0" applyNumberFormat="1" applyFont="1" applyAlignment="1">
      <alignment vertical="center"/>
    </xf>
    <xf numFmtId="168" fontId="126" fillId="0" borderId="0" xfId="0" applyNumberFormat="1" applyFont="1" applyAlignment="1">
      <alignment horizontal="center" vertical="center" wrapText="1"/>
    </xf>
    <xf numFmtId="3" fontId="127" fillId="0" borderId="0" xfId="0" applyNumberFormat="1" applyFont="1" applyAlignment="1">
      <alignment horizontal="right"/>
    </xf>
    <xf numFmtId="165" fontId="127" fillId="0" borderId="0" xfId="0" applyNumberFormat="1" applyFont="1" applyAlignment="1">
      <alignment horizontal="right"/>
    </xf>
    <xf numFmtId="15" fontId="34" fillId="19" borderId="0" xfId="32" applyNumberFormat="1" applyFont="1" applyFill="1" applyAlignment="1">
      <alignment horizontal="right"/>
    </xf>
    <xf numFmtId="0" fontId="103" fillId="19" borderId="0" xfId="1" applyFont="1" applyFill="1" applyAlignment="1"/>
    <xf numFmtId="0" fontId="26" fillId="3" borderId="0" xfId="1" applyFill="1" applyProtection="1">
      <protection locked="0" hidden="1"/>
    </xf>
    <xf numFmtId="0" fontId="128" fillId="0" borderId="0" xfId="0" applyFont="1" applyAlignment="1">
      <alignment horizontal="left" vertical="center"/>
    </xf>
    <xf numFmtId="0" fontId="127" fillId="0" borderId="0" xfId="0" applyFont="1"/>
    <xf numFmtId="0" fontId="127" fillId="0" borderId="0" xfId="0" applyFont="1" applyAlignment="1">
      <alignment horizontal="left"/>
    </xf>
    <xf numFmtId="0" fontId="126" fillId="0" borderId="0" xfId="0" applyFont="1" applyAlignment="1">
      <alignment horizontal="left" vertical="center" wrapText="1"/>
    </xf>
    <xf numFmtId="0" fontId="126" fillId="0" borderId="0" xfId="0" applyFont="1" applyAlignment="1">
      <alignment horizontal="center" vertical="center" wrapText="1"/>
    </xf>
    <xf numFmtId="3" fontId="127" fillId="17" borderId="0" xfId="0" applyNumberFormat="1" applyFont="1" applyFill="1" applyAlignment="1">
      <alignment horizontal="right"/>
    </xf>
    <xf numFmtId="0" fontId="18" fillId="0" borderId="0" xfId="0" applyFont="1" applyAlignment="1">
      <alignment horizontal="left"/>
    </xf>
    <xf numFmtId="179" fontId="75" fillId="0" borderId="0" xfId="0" applyNumberFormat="1" applyFont="1" applyAlignment="1">
      <alignment horizontal="right"/>
    </xf>
    <xf numFmtId="167" fontId="75" fillId="0" borderId="0" xfId="0" applyNumberFormat="1" applyFont="1" applyAlignment="1">
      <alignment horizontal="right"/>
    </xf>
    <xf numFmtId="0" fontId="18" fillId="0" borderId="0" xfId="0" applyFont="1"/>
    <xf numFmtId="3" fontId="18" fillId="0" borderId="0" xfId="0" applyNumberFormat="1" applyFont="1"/>
    <xf numFmtId="0" fontId="75" fillId="0" borderId="0" xfId="0" applyFont="1" applyAlignment="1">
      <alignment horizontal="left"/>
    </xf>
    <xf numFmtId="179" fontId="18" fillId="0" borderId="0" xfId="0" applyNumberFormat="1" applyFont="1" applyAlignment="1" applyProtection="1">
      <alignment horizontal="center" wrapText="1"/>
      <protection locked="0"/>
    </xf>
    <xf numFmtId="180" fontId="18" fillId="0" borderId="0" xfId="0" applyNumberFormat="1" applyFont="1" applyAlignment="1" applyProtection="1">
      <alignment horizontal="center" wrapText="1"/>
      <protection locked="0"/>
    </xf>
    <xf numFmtId="0" fontId="126" fillId="0" borderId="0" xfId="0" applyFont="1" applyAlignment="1">
      <alignment horizontal="right" vertical="center"/>
    </xf>
    <xf numFmtId="0" fontId="129" fillId="24" borderId="34" xfId="0" applyFont="1" applyFill="1" applyBorder="1" applyAlignment="1">
      <alignment horizontal="left" vertical="center"/>
    </xf>
    <xf numFmtId="0" fontId="129" fillId="24" borderId="32" xfId="0" applyFont="1" applyFill="1" applyBorder="1" applyAlignment="1">
      <alignment horizontal="right" vertical="center"/>
    </xf>
    <xf numFmtId="0" fontId="130" fillId="0" borderId="34" xfId="0" applyFont="1" applyBorder="1" applyAlignment="1">
      <alignment vertical="top"/>
    </xf>
    <xf numFmtId="171" fontId="131" fillId="0" borderId="32" xfId="38" applyNumberFormat="1" applyFont="1" applyBorder="1" applyAlignment="1">
      <alignment horizontal="right" vertical="center" wrapText="1"/>
    </xf>
    <xf numFmtId="0" fontId="130" fillId="0" borderId="33" xfId="0" applyFont="1" applyBorder="1" applyAlignment="1">
      <alignment vertical="top"/>
    </xf>
    <xf numFmtId="3" fontId="35" fillId="17" borderId="0" xfId="14" applyNumberFormat="1" applyFont="1" applyFill="1"/>
    <xf numFmtId="2" fontId="35" fillId="17" borderId="0" xfId="14" applyNumberFormat="1" applyFont="1" applyFill="1" applyAlignment="1">
      <alignment horizontal="left" vertical="center" wrapText="1"/>
    </xf>
    <xf numFmtId="0" fontId="35" fillId="0" borderId="0" xfId="14" applyFont="1" applyAlignment="1">
      <alignment horizontal="center" vertical="center" wrapText="1"/>
    </xf>
    <xf numFmtId="167" fontId="35" fillId="0" borderId="0" xfId="14" applyNumberFormat="1" applyFont="1" applyAlignment="1">
      <alignment horizontal="center" vertical="center" wrapText="1"/>
    </xf>
    <xf numFmtId="0" fontId="75" fillId="0" borderId="0" xfId="20" applyFont="1" applyAlignment="1">
      <alignment horizontal="left" wrapText="1"/>
    </xf>
    <xf numFmtId="0" fontId="18" fillId="0" borderId="0" xfId="20" applyFont="1" applyAlignment="1">
      <alignment horizontal="left" wrapText="1"/>
    </xf>
    <xf numFmtId="0" fontId="18" fillId="0" borderId="0" xfId="0" applyFont="1" applyAlignment="1">
      <alignment vertical="center"/>
    </xf>
    <xf numFmtId="0" fontId="75" fillId="0" borderId="0" xfId="0" applyFont="1"/>
    <xf numFmtId="3" fontId="75" fillId="0" borderId="0" xfId="0" applyNumberFormat="1" applyFont="1" applyAlignment="1">
      <alignment horizontal="right"/>
    </xf>
    <xf numFmtId="3" fontId="18" fillId="0" borderId="0" xfId="0" applyNumberFormat="1" applyFont="1" applyAlignment="1">
      <alignment horizontal="right" vertical="center"/>
    </xf>
    <xf numFmtId="0" fontId="74" fillId="0" borderId="0" xfId="0" applyFont="1"/>
    <xf numFmtId="0" fontId="74" fillId="0" borderId="0" xfId="0" applyFont="1" applyAlignment="1">
      <alignment vertical="center"/>
    </xf>
    <xf numFmtId="0" fontId="18" fillId="0" borderId="4" xfId="20" applyFont="1" applyBorder="1" applyAlignment="1">
      <alignment horizontal="left" wrapText="1"/>
    </xf>
    <xf numFmtId="0" fontId="18" fillId="0" borderId="4" xfId="20" applyFont="1" applyBorder="1" applyAlignment="1">
      <alignment horizontal="right" wrapText="1"/>
    </xf>
    <xf numFmtId="3" fontId="75" fillId="0" borderId="0" xfId="20" applyNumberFormat="1" applyFont="1" applyAlignment="1">
      <alignment horizontal="right"/>
    </xf>
    <xf numFmtId="3" fontId="18" fillId="0" borderId="0" xfId="20" applyNumberFormat="1" applyFont="1" applyAlignment="1">
      <alignment horizontal="right" vertical="center"/>
    </xf>
    <xf numFmtId="0" fontId="74" fillId="0" borderId="0" xfId="0" applyFont="1" applyAlignment="1">
      <alignment horizontal="right" vertical="center"/>
    </xf>
    <xf numFmtId="3" fontId="16" fillId="0" borderId="0" xfId="6" applyNumberFormat="1"/>
    <xf numFmtId="171" fontId="62" fillId="0" borderId="4" xfId="16" applyNumberFormat="1" applyFont="1" applyFill="1" applyBorder="1" applyAlignment="1">
      <alignment horizontal="right"/>
    </xf>
    <xf numFmtId="0" fontId="21" fillId="0" borderId="0" xfId="2" applyFont="1"/>
    <xf numFmtId="0" fontId="59" fillId="0" borderId="0" xfId="2" applyFont="1"/>
    <xf numFmtId="0" fontId="58" fillId="0" borderId="0" xfId="2" applyFont="1"/>
    <xf numFmtId="0" fontId="56" fillId="0" borderId="0" xfId="2" applyFont="1"/>
    <xf numFmtId="0" fontId="57" fillId="0" borderId="0" xfId="2" applyFont="1"/>
    <xf numFmtId="0" fontId="61" fillId="0" borderId="0" xfId="2" applyFont="1"/>
    <xf numFmtId="170" fontId="21" fillId="0" borderId="4" xfId="2" applyNumberFormat="1" applyFont="1" applyBorder="1"/>
    <xf numFmtId="165" fontId="19" fillId="0" borderId="7" xfId="2" applyNumberFormat="1" applyBorder="1"/>
    <xf numFmtId="171" fontId="62" fillId="0" borderId="7" xfId="16" applyNumberFormat="1" applyFont="1" applyFill="1" applyBorder="1" applyAlignment="1">
      <alignment horizontal="right"/>
    </xf>
    <xf numFmtId="9" fontId="19" fillId="0" borderId="0" xfId="2" applyNumberFormat="1"/>
    <xf numFmtId="165" fontId="19" fillId="0" borderId="0" xfId="2" applyNumberFormat="1"/>
    <xf numFmtId="167" fontId="57" fillId="0" borderId="0" xfId="2" applyNumberFormat="1" applyFont="1"/>
    <xf numFmtId="9" fontId="19" fillId="0" borderId="0" xfId="2" applyNumberFormat="1" applyAlignment="1">
      <alignment horizontal="right"/>
    </xf>
    <xf numFmtId="0" fontId="21" fillId="0" borderId="6" xfId="2" applyFont="1" applyBorder="1"/>
    <xf numFmtId="1" fontId="21" fillId="0" borderId="0" xfId="2" applyNumberFormat="1" applyFont="1"/>
    <xf numFmtId="169" fontId="61" fillId="0" borderId="0" xfId="2" applyNumberFormat="1" applyFont="1"/>
    <xf numFmtId="0" fontId="19" fillId="0" borderId="0" xfId="2" quotePrefix="1" applyAlignment="1">
      <alignment horizontal="right"/>
    </xf>
    <xf numFmtId="0" fontId="19" fillId="0" borderId="0" xfId="2" applyAlignment="1">
      <alignment vertical="top"/>
    </xf>
    <xf numFmtId="169" fontId="19" fillId="0" borderId="0" xfId="2" applyNumberFormat="1" applyAlignment="1">
      <alignment vertical="top"/>
    </xf>
    <xf numFmtId="0" fontId="61" fillId="0" borderId="0" xfId="2" applyFont="1" applyAlignment="1">
      <alignment horizontal="left" vertical="top" indent="1"/>
    </xf>
    <xf numFmtId="0" fontId="19" fillId="0" borderId="0" xfId="2" applyAlignment="1">
      <alignment horizontal="left" vertical="top" wrapText="1" indent="1"/>
    </xf>
    <xf numFmtId="0" fontId="19" fillId="0" borderId="0" xfId="2" applyAlignment="1">
      <alignment horizontal="right"/>
    </xf>
    <xf numFmtId="169" fontId="19" fillId="0" borderId="0" xfId="2" applyNumberFormat="1"/>
    <xf numFmtId="0" fontId="19" fillId="0" borderId="0" xfId="2" applyAlignment="1">
      <alignment wrapText="1"/>
    </xf>
    <xf numFmtId="0" fontId="60" fillId="0" borderId="0" xfId="2" applyFont="1"/>
    <xf numFmtId="0" fontId="64" fillId="0" borderId="0" xfId="2" applyFont="1"/>
    <xf numFmtId="0" fontId="21" fillId="0" borderId="7" xfId="2" applyFont="1" applyBorder="1" applyAlignment="1">
      <alignment wrapText="1"/>
    </xf>
    <xf numFmtId="0" fontId="21" fillId="0" borderId="7" xfId="2" applyFont="1" applyBorder="1" applyAlignment="1">
      <alignment horizontal="center" wrapText="1"/>
    </xf>
    <xf numFmtId="170" fontId="21" fillId="0" borderId="4" xfId="2" applyNumberFormat="1" applyFont="1" applyBorder="1" applyAlignment="1">
      <alignment horizontal="right" wrapText="1"/>
    </xf>
    <xf numFmtId="167" fontId="19" fillId="0" borderId="7" xfId="2" applyNumberFormat="1" applyBorder="1" applyAlignment="1">
      <alignment horizontal="right"/>
    </xf>
    <xf numFmtId="165" fontId="19" fillId="0" borderId="4" xfId="2" applyNumberFormat="1" applyBorder="1"/>
    <xf numFmtId="173" fontId="19" fillId="0" borderId="0" xfId="2" applyNumberFormat="1"/>
    <xf numFmtId="0" fontId="19" fillId="0" borderId="0" xfId="2" quotePrefix="1"/>
    <xf numFmtId="0" fontId="19" fillId="0" borderId="0" xfId="2" applyAlignment="1">
      <alignment horizontal="left" vertical="center"/>
    </xf>
    <xf numFmtId="0" fontId="19" fillId="0" borderId="0" xfId="2" applyAlignment="1">
      <alignment vertical="center"/>
    </xf>
    <xf numFmtId="172" fontId="21" fillId="0" borderId="0" xfId="2" applyNumberFormat="1" applyFont="1" applyAlignment="1">
      <alignment horizontal="right"/>
    </xf>
    <xf numFmtId="0" fontId="56" fillId="0" borderId="0" xfId="2" applyFont="1" applyAlignment="1">
      <alignment vertical="center"/>
    </xf>
    <xf numFmtId="0" fontId="19" fillId="0" borderId="0" xfId="2" applyAlignment="1">
      <alignment horizontal="left"/>
    </xf>
    <xf numFmtId="1" fontId="19" fillId="0" borderId="0" xfId="2" applyNumberFormat="1" applyAlignment="1">
      <alignment horizontal="left" wrapText="1" indent="1"/>
    </xf>
    <xf numFmtId="167" fontId="23" fillId="0" borderId="0" xfId="0" applyNumberFormat="1" applyFont="1" applyAlignment="1">
      <alignment horizontal="right" vertical="top"/>
    </xf>
    <xf numFmtId="167" fontId="94" fillId="17" borderId="10" xfId="5" applyNumberFormat="1" applyFont="1" applyFill="1" applyBorder="1" applyAlignment="1" applyProtection="1">
      <alignment horizontal="center" vertical="center"/>
      <protection locked="0" hidden="1"/>
    </xf>
    <xf numFmtId="0" fontId="18" fillId="0" borderId="0" xfId="24" applyFont="1" applyAlignment="1"/>
    <xf numFmtId="0" fontId="75" fillId="0" borderId="0" xfId="24" applyFont="1" applyAlignment="1"/>
    <xf numFmtId="0" fontId="75" fillId="0" borderId="4" xfId="24" applyFont="1" applyBorder="1" applyAlignment="1"/>
    <xf numFmtId="0" fontId="19" fillId="0" borderId="7" xfId="24" applyBorder="1" applyAlignment="1"/>
    <xf numFmtId="0" fontId="21" fillId="0" borderId="6" xfId="24" applyFont="1" applyBorder="1" applyAlignment="1">
      <alignment horizontal="center" vertical="center"/>
    </xf>
    <xf numFmtId="0" fontId="85" fillId="0" borderId="7" xfId="24" applyFont="1" applyBorder="1" applyAlignment="1">
      <alignment horizontal="center" vertical="center" wrapText="1"/>
    </xf>
    <xf numFmtId="0" fontId="19" fillId="0" borderId="0" xfId="24" applyAlignment="1"/>
    <xf numFmtId="0" fontId="19" fillId="0" borderId="4" xfId="24" applyBorder="1" applyAlignment="1"/>
    <xf numFmtId="0" fontId="19" fillId="0" borderId="4" xfId="24" applyBorder="1" applyAlignment="1">
      <alignment horizontal="center" vertical="center"/>
    </xf>
    <xf numFmtId="0" fontId="85" fillId="0" borderId="4" xfId="24" applyFont="1" applyBorder="1" applyAlignment="1">
      <alignment horizontal="center" wrapText="1"/>
    </xf>
    <xf numFmtId="17" fontId="85" fillId="0" borderId="4" xfId="24" applyNumberFormat="1" applyFont="1" applyBorder="1" applyAlignment="1">
      <alignment horizontal="center" wrapText="1"/>
    </xf>
    <xf numFmtId="0" fontId="19" fillId="0" borderId="0" xfId="24" applyAlignment="1">
      <alignment wrapText="1"/>
    </xf>
    <xf numFmtId="0" fontId="85" fillId="0" borderId="0" xfId="24" applyFont="1" applyAlignment="1"/>
    <xf numFmtId="3" fontId="19" fillId="0" borderId="0" xfId="26" applyNumberFormat="1" applyFont="1" applyAlignment="1">
      <alignment horizontal="right" vertical="center"/>
    </xf>
    <xf numFmtId="165" fontId="19" fillId="0" borderId="0" xfId="26" applyNumberFormat="1" applyFont="1" applyAlignment="1">
      <alignment horizontal="right" vertical="center"/>
    </xf>
    <xf numFmtId="3" fontId="19" fillId="0" borderId="0" xfId="27" applyNumberFormat="1" applyFont="1"/>
    <xf numFmtId="1" fontId="85" fillId="0" borderId="0" xfId="24" applyNumberFormat="1" applyFont="1" applyAlignment="1"/>
    <xf numFmtId="3" fontId="21" fillId="0" borderId="0" xfId="25" applyNumberFormat="1" applyFont="1"/>
    <xf numFmtId="0" fontId="104" fillId="0" borderId="0" xfId="0" applyFont="1"/>
    <xf numFmtId="3" fontId="19" fillId="0" borderId="0" xfId="24" applyNumberFormat="1" applyAlignment="1"/>
    <xf numFmtId="0" fontId="21" fillId="0" borderId="28" xfId="39" applyFont="1" applyBorder="1" applyAlignment="1">
      <alignment vertical="center"/>
      <protection locked="0"/>
    </xf>
    <xf numFmtId="0" fontId="0" fillId="0" borderId="0" xfId="0" applyProtection="1">
      <protection locked="0"/>
    </xf>
    <xf numFmtId="0" fontId="124" fillId="0" borderId="29" xfId="0" applyFont="1" applyBorder="1" applyProtection="1">
      <protection locked="0"/>
    </xf>
    <xf numFmtId="0" fontId="0" fillId="0" borderId="30" xfId="0" applyBorder="1" applyProtection="1">
      <protection locked="0"/>
    </xf>
    <xf numFmtId="0" fontId="86" fillId="0" borderId="0" xfId="28" applyFont="1" applyFill="1" applyBorder="1" applyAlignment="1">
      <alignment horizontal="center" vertical="center" wrapText="1"/>
      <protection locked="0"/>
    </xf>
    <xf numFmtId="49" fontId="86" fillId="0" borderId="0" xfId="28" applyNumberFormat="1" applyFont="1" applyFill="1" applyBorder="1" applyAlignment="1">
      <alignment horizontal="left" vertical="center" wrapText="1"/>
      <protection locked="0"/>
    </xf>
    <xf numFmtId="0" fontId="124" fillId="0" borderId="31" xfId="40" applyFont="1" applyFill="1" applyBorder="1">
      <protection locked="0"/>
    </xf>
    <xf numFmtId="0" fontId="26" fillId="0" borderId="0" xfId="1" applyFill="1"/>
    <xf numFmtId="0" fontId="20" fillId="0" borderId="0" xfId="0" applyFont="1" applyAlignment="1">
      <alignment horizontal="left" vertical="top"/>
    </xf>
    <xf numFmtId="166" fontId="19" fillId="0" borderId="0" xfId="0" applyNumberFormat="1" applyFont="1" applyAlignment="1">
      <alignment horizontal="right" vertical="top"/>
    </xf>
    <xf numFmtId="3" fontId="23" fillId="0" borderId="0" xfId="0" applyNumberFormat="1" applyFont="1" applyAlignment="1">
      <alignment horizontal="right" vertical="top"/>
    </xf>
    <xf numFmtId="0" fontId="25" fillId="0" borderId="0" xfId="0" applyFont="1"/>
    <xf numFmtId="0" fontId="21" fillId="0" borderId="0" xfId="0" applyFont="1" applyAlignment="1">
      <alignment vertical="center" wrapText="1"/>
    </xf>
    <xf numFmtId="1" fontId="0" fillId="0" borderId="0" xfId="0" applyNumberFormat="1"/>
    <xf numFmtId="0" fontId="133" fillId="0" borderId="0" xfId="0" applyFont="1" applyAlignment="1">
      <alignment horizontal="left" vertical="center"/>
    </xf>
    <xf numFmtId="0" fontId="134" fillId="0" borderId="0" xfId="0" applyFont="1"/>
    <xf numFmtId="0" fontId="134" fillId="0" borderId="0" xfId="0" applyFont="1" applyAlignment="1">
      <alignment horizontal="left"/>
    </xf>
    <xf numFmtId="0" fontId="135" fillId="0" borderId="0" xfId="0" applyFont="1" applyAlignment="1">
      <alignment horizontal="left" vertical="center" wrapText="1"/>
    </xf>
    <xf numFmtId="0" fontId="135" fillId="0" borderId="0" xfId="0" applyFont="1" applyAlignment="1">
      <alignment horizontal="right" vertical="center"/>
    </xf>
    <xf numFmtId="3" fontId="134" fillId="0" borderId="0" xfId="0" applyNumberFormat="1" applyFont="1" applyAlignment="1">
      <alignment horizontal="right"/>
    </xf>
    <xf numFmtId="165" fontId="134" fillId="0" borderId="0" xfId="0" applyNumberFormat="1" applyFont="1" applyAlignment="1">
      <alignment horizontal="right"/>
    </xf>
    <xf numFmtId="0" fontId="98" fillId="16" borderId="36" xfId="5" applyFont="1" applyFill="1" applyBorder="1" applyAlignment="1" applyProtection="1">
      <alignment horizontal="left" vertical="center" wrapText="1"/>
      <protection locked="0" hidden="1"/>
    </xf>
    <xf numFmtId="0" fontId="96" fillId="0" borderId="1" xfId="0" quotePrefix="1" applyFont="1" applyBorder="1" applyAlignment="1">
      <alignment vertical="center"/>
    </xf>
    <xf numFmtId="0" fontId="31" fillId="10" borderId="1" xfId="5" applyFont="1" applyFill="1" applyBorder="1" applyAlignment="1" applyProtection="1">
      <alignment horizontal="center" vertical="center" textRotation="90" wrapText="1"/>
      <protection locked="0" hidden="1"/>
    </xf>
    <xf numFmtId="0" fontId="2" fillId="19" borderId="0" xfId="32" applyFont="1" applyFill="1"/>
    <xf numFmtId="0" fontId="94" fillId="3" borderId="0" xfId="5" applyFont="1" applyFill="1" applyAlignment="1" applyProtection="1">
      <alignment horizontal="left" vertical="center" wrapText="1" indent="1"/>
      <protection locked="0" hidden="1"/>
    </xf>
    <xf numFmtId="0" fontId="94" fillId="3" borderId="0" xfId="5" applyFont="1" applyFill="1" applyAlignment="1" applyProtection="1">
      <alignment horizontal="left" indent="1"/>
      <protection locked="0" hidden="1"/>
    </xf>
    <xf numFmtId="0" fontId="107" fillId="16" borderId="21" xfId="5" applyFont="1" applyFill="1" applyBorder="1" applyAlignment="1" applyProtection="1">
      <alignment horizontal="left" vertical="center" wrapText="1" indent="1"/>
      <protection locked="0" hidden="1"/>
    </xf>
    <xf numFmtId="0" fontId="98" fillId="16" borderId="27" xfId="5" applyFont="1" applyFill="1" applyBorder="1" applyAlignment="1" applyProtection="1">
      <alignment horizontal="left" vertical="center" wrapText="1" indent="1"/>
      <protection locked="0" hidden="1"/>
    </xf>
    <xf numFmtId="167" fontId="94" fillId="0" borderId="1" xfId="5" applyNumberFormat="1" applyFont="1" applyBorder="1" applyAlignment="1" applyProtection="1">
      <alignment horizontal="left" vertical="center" wrapText="1" indent="1"/>
      <protection locked="0" hidden="1"/>
    </xf>
    <xf numFmtId="0" fontId="109" fillId="0" borderId="1" xfId="0" applyFont="1" applyBorder="1" applyAlignment="1" applyProtection="1">
      <alignment horizontal="left" vertical="center" wrapText="1" indent="1"/>
      <protection locked="0" hidden="1"/>
    </xf>
    <xf numFmtId="0" fontId="109" fillId="0" borderId="1" xfId="1" applyFont="1" applyFill="1" applyBorder="1" applyAlignment="1" applyProtection="1">
      <alignment horizontal="left" vertical="center" wrapText="1" indent="1"/>
      <protection locked="0" hidden="1"/>
    </xf>
    <xf numFmtId="0" fontId="94" fillId="0" borderId="0" xfId="5" applyFont="1" applyAlignment="1" applyProtection="1">
      <alignment horizontal="left" vertical="center" wrapText="1" indent="1"/>
      <protection locked="0" hidden="1"/>
    </xf>
    <xf numFmtId="0" fontId="94" fillId="0" borderId="0" xfId="5" applyFont="1" applyAlignment="1" applyProtection="1">
      <alignment horizontal="left" indent="1"/>
      <protection locked="0" hidden="1"/>
    </xf>
    <xf numFmtId="165" fontId="75" fillId="0" borderId="0" xfId="0" applyNumberFormat="1" applyFont="1" applyAlignment="1">
      <alignment horizontal="right"/>
    </xf>
    <xf numFmtId="165" fontId="10" fillId="0" borderId="0" xfId="23" applyNumberFormat="1"/>
    <xf numFmtId="3" fontId="1" fillId="0" borderId="0" xfId="23" applyNumberFormat="1" applyFont="1"/>
    <xf numFmtId="165" fontId="1" fillId="0" borderId="0" xfId="23" applyNumberFormat="1" applyFont="1"/>
    <xf numFmtId="0" fontId="29" fillId="0" borderId="0" xfId="1" applyFont="1"/>
    <xf numFmtId="0" fontId="108" fillId="3" borderId="0" xfId="5" applyFont="1" applyFill="1" applyAlignment="1" applyProtection="1">
      <alignment horizontal="left" vertical="center"/>
      <protection locked="0" hidden="1"/>
    </xf>
    <xf numFmtId="0" fontId="93" fillId="10" borderId="1" xfId="5" applyFont="1" applyFill="1" applyBorder="1" applyAlignment="1" applyProtection="1">
      <alignment horizontal="center" vertical="center" textRotation="90" wrapText="1"/>
      <protection locked="0" hidden="1"/>
    </xf>
    <xf numFmtId="0" fontId="31" fillId="10" borderId="1" xfId="5" applyFont="1" applyFill="1" applyBorder="1" applyAlignment="1" applyProtection="1">
      <alignment horizontal="center" vertical="center" textRotation="90" wrapText="1"/>
      <protection locked="0" hidden="1"/>
    </xf>
    <xf numFmtId="0" fontId="98" fillId="16" borderId="24" xfId="5" applyFont="1" applyFill="1" applyBorder="1" applyAlignment="1" applyProtection="1">
      <alignment horizontal="center" vertical="center" wrapText="1"/>
      <protection locked="0" hidden="1"/>
    </xf>
    <xf numFmtId="0" fontId="98" fillId="16" borderId="23" xfId="5" applyFont="1" applyFill="1" applyBorder="1" applyAlignment="1" applyProtection="1">
      <alignment horizontal="center" vertical="center" wrapText="1"/>
      <protection locked="0" hidden="1"/>
    </xf>
    <xf numFmtId="0" fontId="93" fillId="10" borderId="1" xfId="5" applyFont="1" applyFill="1" applyBorder="1" applyAlignment="1" applyProtection="1">
      <alignment horizontal="center" vertical="center" textRotation="90"/>
      <protection locked="0" hidden="1"/>
    </xf>
    <xf numFmtId="0" fontId="31" fillId="10" borderId="10" xfId="5" applyFont="1" applyFill="1" applyBorder="1" applyAlignment="1" applyProtection="1">
      <alignment horizontal="center" vertical="center" textRotation="90" wrapText="1"/>
      <protection locked="0" hidden="1"/>
    </xf>
    <xf numFmtId="0" fontId="31" fillId="10" borderId="14" xfId="5" applyFont="1" applyFill="1" applyBorder="1" applyAlignment="1" applyProtection="1">
      <alignment horizontal="center" vertical="center" textRotation="90" wrapText="1"/>
      <protection locked="0" hidden="1"/>
    </xf>
    <xf numFmtId="0" fontId="31" fillId="10" borderId="12" xfId="5" applyFont="1" applyFill="1" applyBorder="1" applyAlignment="1" applyProtection="1">
      <alignment horizontal="center" vertical="center" textRotation="90" wrapText="1"/>
      <protection locked="0" hidden="1"/>
    </xf>
    <xf numFmtId="0" fontId="98" fillId="16" borderId="26" xfId="5" applyFont="1" applyFill="1" applyBorder="1" applyAlignment="1" applyProtection="1">
      <alignment horizontal="center" vertical="center" wrapText="1"/>
      <protection locked="0" hidden="1"/>
    </xf>
    <xf numFmtId="0" fontId="31" fillId="17" borderId="2" xfId="0" applyFont="1" applyFill="1" applyBorder="1" applyAlignment="1" applyProtection="1">
      <alignment horizontal="center" vertical="center" wrapText="1"/>
      <protection locked="0" hidden="1"/>
    </xf>
    <xf numFmtId="0" fontId="31" fillId="17" borderId="3" xfId="0" applyFont="1" applyFill="1" applyBorder="1" applyAlignment="1" applyProtection="1">
      <alignment horizontal="center" vertical="center" wrapText="1"/>
      <protection locked="0" hidden="1"/>
    </xf>
    <xf numFmtId="0" fontId="97" fillId="3" borderId="1" xfId="0" applyFont="1" applyFill="1" applyBorder="1" applyAlignment="1" applyProtection="1">
      <alignment horizontal="center"/>
      <protection locked="0" hidden="1"/>
    </xf>
    <xf numFmtId="3" fontId="31" fillId="10" borderId="1" xfId="0" applyNumberFormat="1" applyFont="1" applyFill="1" applyBorder="1" applyAlignment="1" applyProtection="1">
      <alignment horizontal="center" vertical="center" wrapText="1"/>
      <protection locked="0" hidden="1"/>
    </xf>
    <xf numFmtId="3" fontId="92" fillId="10" borderId="1" xfId="0" applyNumberFormat="1" applyFont="1" applyFill="1" applyBorder="1" applyAlignment="1" applyProtection="1">
      <alignment horizontal="center" vertical="center" wrapText="1"/>
      <protection locked="0" hidden="1"/>
    </xf>
    <xf numFmtId="0" fontId="31" fillId="15" borderId="1" xfId="0" applyFont="1" applyFill="1" applyBorder="1" applyAlignment="1" applyProtection="1">
      <alignment horizontal="center" vertical="center" wrapText="1"/>
      <protection locked="0" hidden="1"/>
    </xf>
    <xf numFmtId="0" fontId="31" fillId="18" borderId="2" xfId="1" applyFont="1" applyFill="1" applyBorder="1" applyAlignment="1" applyProtection="1">
      <alignment horizontal="center" vertical="center"/>
      <protection locked="0" hidden="1"/>
    </xf>
    <xf numFmtId="0" fontId="31" fillId="18" borderId="3" xfId="1" applyFont="1" applyFill="1" applyBorder="1" applyAlignment="1" applyProtection="1">
      <alignment horizontal="center" vertical="center"/>
      <protection locked="0" hidden="1"/>
    </xf>
    <xf numFmtId="3" fontId="31" fillId="10" borderId="2" xfId="0" applyNumberFormat="1" applyFont="1" applyFill="1" applyBorder="1" applyAlignment="1" applyProtection="1">
      <alignment horizontal="center" vertical="center" wrapText="1"/>
      <protection locked="0" hidden="1"/>
    </xf>
    <xf numFmtId="3" fontId="31" fillId="10" borderId="3" xfId="0" applyNumberFormat="1" applyFont="1" applyFill="1" applyBorder="1" applyAlignment="1" applyProtection="1">
      <alignment horizontal="center" vertical="center" wrapText="1"/>
      <protection locked="0" hidden="1"/>
    </xf>
    <xf numFmtId="0" fontId="61" fillId="0" borderId="0" xfId="10" applyFont="1" applyAlignment="1">
      <alignment wrapText="1"/>
    </xf>
    <xf numFmtId="0" fontId="21" fillId="0" borderId="7" xfId="10" applyFont="1" applyBorder="1" applyAlignment="1">
      <alignment horizontal="center" vertical="center"/>
    </xf>
    <xf numFmtId="0" fontId="21" fillId="0" borderId="4" xfId="10" applyFont="1" applyBorder="1" applyAlignment="1">
      <alignment horizontal="center" vertical="center"/>
    </xf>
    <xf numFmtId="0" fontId="61" fillId="0" borderId="0" xfId="10" applyFont="1"/>
    <xf numFmtId="0" fontId="21" fillId="0" borderId="0" xfId="0" applyFont="1" applyAlignment="1">
      <alignment horizontal="center" vertical="center" wrapText="1"/>
    </xf>
    <xf numFmtId="0" fontId="0" fillId="0" borderId="0" xfId="0"/>
    <xf numFmtId="0" fontId="86" fillId="0" borderId="35" xfId="28" applyFont="1" applyFill="1" applyBorder="1" applyAlignment="1">
      <alignment horizontal="left" vertical="center" wrapText="1"/>
      <protection locked="0"/>
    </xf>
    <xf numFmtId="0" fontId="86" fillId="0" borderId="0" xfId="28" applyFont="1" applyFill="1" applyBorder="1" applyAlignment="1">
      <alignment horizontal="left" vertical="center" wrapText="1"/>
      <protection locked="0"/>
    </xf>
    <xf numFmtId="0" fontId="126" fillId="0" borderId="0" xfId="0" applyFont="1" applyAlignment="1">
      <alignment horizontal="center" vertical="center" wrapText="1"/>
    </xf>
    <xf numFmtId="0" fontId="135" fillId="0" borderId="0" xfId="0" applyFont="1" applyAlignment="1">
      <alignment horizontal="center" vertical="center" wrapText="1"/>
    </xf>
    <xf numFmtId="0" fontId="19" fillId="0" borderId="0" xfId="2" applyAlignment="1">
      <alignment vertical="top" wrapText="1"/>
    </xf>
    <xf numFmtId="0" fontId="21" fillId="0" borderId="7" xfId="2" applyFont="1" applyBorder="1" applyAlignment="1">
      <alignment horizontal="left" vertical="center"/>
    </xf>
    <xf numFmtId="0" fontId="21" fillId="0" borderId="4" xfId="2" applyFont="1" applyBorder="1" applyAlignment="1">
      <alignment horizontal="left" vertical="center"/>
    </xf>
    <xf numFmtId="0" fontId="21" fillId="0" borderId="7" xfId="2" applyFont="1" applyBorder="1" applyAlignment="1">
      <alignment horizontal="center" vertical="center" wrapText="1"/>
    </xf>
    <xf numFmtId="0" fontId="19" fillId="0" borderId="0" xfId="2" applyAlignment="1">
      <alignment horizontal="left" vertical="center" wrapText="1"/>
    </xf>
    <xf numFmtId="0" fontId="21" fillId="0" borderId="7" xfId="2" applyFont="1" applyBorder="1" applyAlignment="1">
      <alignment horizontal="left" wrapText="1"/>
    </xf>
    <xf numFmtId="0" fontId="21" fillId="0" borderId="4" xfId="2" applyFont="1" applyBorder="1" applyAlignment="1">
      <alignment horizontal="left" wrapText="1"/>
    </xf>
    <xf numFmtId="3" fontId="75" fillId="3" borderId="15" xfId="33" applyNumberFormat="1" applyFont="1" applyFill="1" applyBorder="1" applyAlignment="1">
      <alignment horizontal="center" vertical="center"/>
    </xf>
    <xf numFmtId="3" fontId="75" fillId="3" borderId="7" xfId="33" applyNumberFormat="1" applyFont="1" applyFill="1" applyBorder="1" applyAlignment="1">
      <alignment horizontal="center" vertical="center"/>
    </xf>
    <xf numFmtId="3" fontId="75" fillId="3" borderId="25" xfId="33" applyNumberFormat="1" applyFont="1" applyFill="1" applyBorder="1" applyAlignment="1">
      <alignment horizontal="center" vertical="center"/>
    </xf>
    <xf numFmtId="3" fontId="75" fillId="3" borderId="11" xfId="33" applyNumberFormat="1" applyFont="1" applyFill="1" applyBorder="1" applyAlignment="1">
      <alignment horizontal="center" vertical="center"/>
    </xf>
    <xf numFmtId="3" fontId="75" fillId="3" borderId="4" xfId="33" applyNumberFormat="1" applyFont="1" applyFill="1" applyBorder="1" applyAlignment="1">
      <alignment horizontal="center" vertical="center"/>
    </xf>
    <xf numFmtId="3" fontId="75" fillId="3" borderId="22" xfId="33" applyNumberFormat="1" applyFont="1" applyFill="1" applyBorder="1" applyAlignment="1">
      <alignment horizontal="center" vertical="center"/>
    </xf>
    <xf numFmtId="3" fontId="21" fillId="3" borderId="15" xfId="33" applyNumberFormat="1" applyFont="1" applyFill="1" applyBorder="1" applyAlignment="1">
      <alignment horizontal="center" vertical="center"/>
    </xf>
    <xf numFmtId="3" fontId="21" fillId="3" borderId="25" xfId="33" applyNumberFormat="1" applyFont="1" applyFill="1" applyBorder="1" applyAlignment="1">
      <alignment horizontal="center" vertical="center"/>
    </xf>
    <xf numFmtId="3" fontId="21" fillId="3" borderId="13" xfId="33" applyNumberFormat="1" applyFont="1" applyFill="1" applyBorder="1" applyAlignment="1">
      <alignment horizontal="center" vertical="center"/>
    </xf>
    <xf numFmtId="3" fontId="21" fillId="3" borderId="20" xfId="33" applyNumberFormat="1" applyFont="1" applyFill="1" applyBorder="1" applyAlignment="1">
      <alignment horizontal="center" vertical="center"/>
    </xf>
    <xf numFmtId="0" fontId="71" fillId="0" borderId="17" xfId="17" applyFont="1" applyBorder="1" applyAlignment="1">
      <alignment horizontal="center" vertical="center" wrapText="1"/>
    </xf>
    <xf numFmtId="0" fontId="71" fillId="0" borderId="6" xfId="17" applyFont="1" applyBorder="1" applyAlignment="1">
      <alignment horizontal="center" vertical="center" wrapText="1"/>
    </xf>
    <xf numFmtId="0" fontId="71" fillId="0" borderId="16" xfId="17" applyFont="1" applyBorder="1" applyAlignment="1">
      <alignment horizontal="center" vertical="center" wrapText="1"/>
    </xf>
    <xf numFmtId="0" fontId="87" fillId="0" borderId="19" xfId="29" applyBorder="1"/>
    <xf numFmtId="0" fontId="88" fillId="13" borderId="18" xfId="29" applyFont="1" applyFill="1" applyBorder="1" applyAlignment="1">
      <alignment horizontal="center"/>
    </xf>
    <xf numFmtId="0" fontId="76" fillId="0" borderId="0" xfId="0" applyFont="1" applyAlignment="1">
      <alignment horizontal="center"/>
    </xf>
    <xf numFmtId="0" fontId="76" fillId="0" borderId="20" xfId="0" applyFont="1" applyBorder="1" applyAlignment="1">
      <alignment horizontal="center"/>
    </xf>
    <xf numFmtId="0" fontId="91" fillId="14" borderId="2" xfId="0" applyFont="1" applyFill="1" applyBorder="1" applyAlignment="1">
      <alignment horizontal="center"/>
    </xf>
    <xf numFmtId="0" fontId="91" fillId="14" borderId="6" xfId="0" applyFont="1" applyFill="1" applyBorder="1" applyAlignment="1">
      <alignment horizontal="center"/>
    </xf>
    <xf numFmtId="0" fontId="91" fillId="14" borderId="3" xfId="0" applyFont="1" applyFill="1" applyBorder="1" applyAlignment="1">
      <alignment horizontal="center"/>
    </xf>
    <xf numFmtId="0" fontId="76" fillId="0" borderId="0" xfId="31" applyFont="1" applyAlignment="1">
      <alignment horizontal="center"/>
    </xf>
    <xf numFmtId="0" fontId="76" fillId="0" borderId="20" xfId="31" applyFont="1" applyBorder="1" applyAlignment="1">
      <alignment horizontal="center"/>
    </xf>
    <xf numFmtId="0" fontId="91" fillId="14" borderId="2" xfId="31" applyFont="1" applyFill="1" applyBorder="1" applyAlignment="1">
      <alignment horizontal="center"/>
    </xf>
    <xf numFmtId="0" fontId="91" fillId="14" borderId="6" xfId="31" applyFont="1" applyFill="1" applyBorder="1" applyAlignment="1">
      <alignment horizontal="center"/>
    </xf>
    <xf numFmtId="0" fontId="91" fillId="14" borderId="3" xfId="31" applyFont="1" applyFill="1" applyBorder="1" applyAlignment="1">
      <alignment horizontal="center"/>
    </xf>
  </cellXfs>
  <cellStyles count="42">
    <cellStyle name="% 2" xfId="20" xr:uid="{00000000-0005-0000-0000-000000000000}"/>
    <cellStyle name="cells" xfId="40" xr:uid="{7E1F2B74-1A61-456D-B466-659EFAB6D23E}"/>
    <cellStyle name="column field" xfId="28" xr:uid="{00000000-0005-0000-0000-000001000000}"/>
    <cellStyle name="Comma" xfId="38" builtinId="3"/>
    <cellStyle name="Comma 2" xfId="16" xr:uid="{00000000-0005-0000-0000-000002000000}"/>
    <cellStyle name="Comma 3" xfId="18" xr:uid="{00000000-0005-0000-0000-000003000000}"/>
    <cellStyle name="heading" xfId="39" xr:uid="{1DA6E73A-4D10-4DD5-A9A9-DB98A9718B5C}"/>
    <cellStyle name="Hyperlink" xfId="1" builtinId="8"/>
    <cellStyle name="Hyperlink 2" xfId="12" xr:uid="{00000000-0005-0000-0000-000005000000}"/>
    <cellStyle name="Hyperlink 3" xfId="30" xr:uid="{00000000-0005-0000-0000-000006000000}"/>
    <cellStyle name="Hyperlink 4" xfId="35" xr:uid="{8BFF646D-A448-421D-AB2E-DADF422D97DC}"/>
    <cellStyle name="Hyperlink 5" xfId="36" xr:uid="{B2460254-0B69-403C-BA06-4644860E1BFC}"/>
    <cellStyle name="Normal" xfId="0" builtinId="0"/>
    <cellStyle name="Normal 10" xfId="21" xr:uid="{00000000-0005-0000-0000-000008000000}"/>
    <cellStyle name="Normal 11" xfId="23" xr:uid="{00000000-0005-0000-0000-000009000000}"/>
    <cellStyle name="Normal 12" xfId="24" xr:uid="{00000000-0005-0000-0000-00000A000000}"/>
    <cellStyle name="Normal 13" xfId="29" xr:uid="{00000000-0005-0000-0000-00000B000000}"/>
    <cellStyle name="Normal 14" xfId="31" xr:uid="{00000000-0005-0000-0000-00000C000000}"/>
    <cellStyle name="Normal 15" xfId="33" xr:uid="{00000000-0005-0000-0000-00000D000000}"/>
    <cellStyle name="Normal 16" xfId="34" xr:uid="{83BEA8F9-4C2D-42CA-8024-B0467AF9F388}"/>
    <cellStyle name="Normal 17" xfId="14" xr:uid="{00000000-0005-0000-0000-00000E000000}"/>
    <cellStyle name="Normal 18" xfId="41" xr:uid="{B40EDDC1-88F9-472F-ADDD-79BC34229B1D}"/>
    <cellStyle name="Normal 2" xfId="2" xr:uid="{00000000-0005-0000-0000-00000F000000}"/>
    <cellStyle name="Normal 2 2" xfId="4" xr:uid="{00000000-0005-0000-0000-000010000000}"/>
    <cellStyle name="Normal 2 3" xfId="32" xr:uid="{00000000-0005-0000-0000-000011000000}"/>
    <cellStyle name="Normal 3" xfId="5" xr:uid="{00000000-0005-0000-0000-000012000000}"/>
    <cellStyle name="Normal 3 3" xfId="8" xr:uid="{00000000-0005-0000-0000-000013000000}"/>
    <cellStyle name="Normal 4" xfId="6" xr:uid="{00000000-0005-0000-0000-000014000000}"/>
    <cellStyle name="Normal 4 2" xfId="7" xr:uid="{00000000-0005-0000-0000-000015000000}"/>
    <cellStyle name="Normal 5" xfId="9" xr:uid="{00000000-0005-0000-0000-000016000000}"/>
    <cellStyle name="Normal 6" xfId="10" xr:uid="{00000000-0005-0000-0000-000017000000}"/>
    <cellStyle name="Normal 6 2" xfId="37" xr:uid="{B6652742-C7B6-4D2F-8863-1847D0F434FD}"/>
    <cellStyle name="Normal 7" xfId="13" xr:uid="{00000000-0005-0000-0000-000018000000}"/>
    <cellStyle name="Normal 8" xfId="17" xr:uid="{00000000-0005-0000-0000-000019000000}"/>
    <cellStyle name="Normal 9" xfId="19" xr:uid="{00000000-0005-0000-0000-00001A000000}"/>
    <cellStyle name="Normal_T4" xfId="26" xr:uid="{00000000-0005-0000-0000-00001B000000}"/>
    <cellStyle name="Normal_Table 1" xfId="11" xr:uid="{00000000-0005-0000-0000-00001C000000}"/>
    <cellStyle name="Normal_TABLE2" xfId="25" xr:uid="{00000000-0005-0000-0000-00001D000000}"/>
    <cellStyle name="Normal_TABLE4" xfId="27" xr:uid="{00000000-0005-0000-0000-00001E000000}"/>
    <cellStyle name="Percent 2" xfId="3" xr:uid="{00000000-0005-0000-0000-00001F000000}"/>
    <cellStyle name="Percent 3" xfId="15" xr:uid="{00000000-0005-0000-0000-000020000000}"/>
    <cellStyle name="Percent 4" xfId="22" xr:uid="{00000000-0005-0000-0000-000021000000}"/>
  </cellStyles>
  <dxfs count="586">
    <dxf>
      <fill>
        <patternFill>
          <bgColor rgb="FFFFFF00"/>
        </patternFill>
      </fill>
    </dxf>
    <dxf>
      <fill>
        <patternFill>
          <bgColor rgb="FFFFFF00"/>
        </patternFill>
      </fill>
    </dxf>
    <dxf>
      <fill>
        <patternFill>
          <bgColor rgb="FFFFFF00"/>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theme="4" tint="0.79998168889431442"/>
        </patternFill>
      </fill>
    </dxf>
    <dxf>
      <fill>
        <patternFill>
          <bgColor rgb="FFFFFF00"/>
        </patternFill>
      </fill>
    </dxf>
    <dxf>
      <fill>
        <patternFill>
          <bgColor rgb="FFFFFF00"/>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ill>
        <patternFill>
          <bgColor rgb="FF00B0F0"/>
        </patternFill>
      </fill>
    </dxf>
    <dxf>
      <fill>
        <patternFill>
          <bgColor rgb="FFFFCCFF"/>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697B"/>
      <color rgb="FFFFCCFF"/>
      <color rgb="FFFFEBFF"/>
      <color rgb="FF8AE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Poverty'!$C$2</c:f>
          <c:strCache>
            <c:ptCount val="1"/>
            <c:pt idx="0">
              <c:v>% Children in Child Poverty after Housing Costs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 Poverty'!$G$6</c:f>
              <c:strCache>
                <c:ptCount val="1"/>
                <c:pt idx="0">
                  <c:v>2022/23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pt idx="13">
                  <c:v>United Kingdom</c:v>
                </c:pt>
              </c:strCache>
            </c:strRef>
          </c:cat>
          <c:val>
            <c:numRef>
              <c:f>'Child Poverty'!$G$7:$G$20</c:f>
              <c:numCache>
                <c:formatCode>0.0</c:formatCode>
                <c:ptCount val="14"/>
                <c:pt idx="0">
                  <c:v>15.7</c:v>
                </c:pt>
                <c:pt idx="1">
                  <c:v>14.000000000000002</c:v>
                </c:pt>
                <c:pt idx="2">
                  <c:v>32.9</c:v>
                </c:pt>
                <c:pt idx="3">
                  <c:v>26.1</c:v>
                </c:pt>
                <c:pt idx="4">
                  <c:v>26.900000000000002</c:v>
                </c:pt>
                <c:pt idx="5">
                  <c:v>24</c:v>
                </c:pt>
                <c:pt idx="6">
                  <c:v>23.599999999999998</c:v>
                </c:pt>
                <c:pt idx="7">
                  <c:v>28.000000000000004</c:v>
                </c:pt>
                <c:pt idx="9">
                  <c:v>14.000000000000002</c:v>
                </c:pt>
                <c:pt idx="10">
                  <c:v>29.492771052195422</c:v>
                </c:pt>
                <c:pt idx="11">
                  <c:v>26.399326302588388</c:v>
                </c:pt>
                <c:pt idx="12">
                  <c:v>24.473927977812586</c:v>
                </c:pt>
                <c:pt idx="13">
                  <c:v>28.936021126269207</c:v>
                </c:pt>
              </c:numCache>
            </c:numRef>
          </c:val>
          <c:extLst>
            <c:ext xmlns:c16="http://schemas.microsoft.com/office/drawing/2014/chart" uri="{C3380CC4-5D6E-409C-BE32-E72D297353CC}">
              <c16:uniqueId val="{00000000-B11D-4B9B-A172-BA3344E28ED2}"/>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 Poverty'!$L$6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'Child Poverty'!$C$7:$C$20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pt idx="13">
                        <c:v>United Kingdom</c:v>
                      </c:pt>
                    </c:strCache>
                  </c:strRef>
                </c:cat>
                <c:val>
                  <c:numRef>
                    <c:extLst>
                      <c:ext uri="{02D57815-91ED-43cb-92C2-25804820EDAC}">
                        <c15:formulaRef>
                          <c15:sqref>'Child Poverty'!$L$7:$L$20</c15:sqref>
                        </c15:formulaRef>
                      </c:ext>
                    </c:extLst>
                    <c:numCache>
                      <c:formatCode>#,##0</c:formatCode>
                      <c:ptCount val="14"/>
                      <c:pt idx="0">
                        <c:v>-300</c:v>
                      </c:pt>
                      <c:pt idx="1">
                        <c:v>0</c:v>
                      </c:pt>
                      <c:pt idx="2">
                        <c:v>-20800</c:v>
                      </c:pt>
                      <c:pt idx="3">
                        <c:v>-1700</c:v>
                      </c:pt>
                      <c:pt idx="4">
                        <c:v>-8800</c:v>
                      </c:pt>
                      <c:pt idx="5">
                        <c:v>-3300</c:v>
                      </c:pt>
                      <c:pt idx="6">
                        <c:v>-5900</c:v>
                      </c:pt>
                      <c:pt idx="7">
                        <c:v>-2300</c:v>
                      </c:pt>
                    </c:numCache>
                  </c:numRef>
                </c:val>
                <c:extLst>
                  <c:ext xmlns:c16="http://schemas.microsoft.com/office/drawing/2014/chart" uri="{C3380CC4-5D6E-409C-BE32-E72D297353CC}">
                    <c16:uniqueId val="{00000002-B11D-4B9B-A172-BA3344E28ED2}"/>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SLDR!$L$6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SLDR!$C$7:$C$20</c15:sqref>
                  </c15:fullRef>
                </c:ext>
              </c:extLst>
              <c:f>SLDR!$C$7:$C$14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SLDR!$L$7:$L$20</c15:sqref>
                  </c15:fullRef>
                </c:ext>
              </c:extLst>
              <c:f>SLDR!$L$7:$L$14</c:f>
              <c:numCache>
                <c:formatCode>#,##0</c:formatCode>
                <c:ptCount val="8"/>
                <c:pt idx="0">
                  <c:v>0</c:v>
                </c:pt>
                <c:pt idx="1">
                  <c:v>0</c:v>
                </c:pt>
                <c:pt idx="2">
                  <c:v>0</c:v>
                </c:pt>
                <c:pt idx="3">
                  <c:v>0</c:v>
                </c:pt>
                <c:pt idx="4">
                  <c:v>200</c:v>
                </c:pt>
                <c:pt idx="5">
                  <c:v>0</c:v>
                </c:pt>
                <c:pt idx="6">
                  <c:v>100</c:v>
                </c:pt>
                <c:pt idx="7">
                  <c:v>0</c:v>
                </c:pt>
              </c:numCache>
            </c:numRef>
          </c:val>
          <c:extLst>
            <c:ext xmlns:c16="http://schemas.microsoft.com/office/drawing/2014/chart" uri="{C3380CC4-5D6E-409C-BE32-E72D297353CC}">
              <c16:uniqueId val="{00000000-5291-440F-943B-479BBF4A05F3}"/>
            </c:ext>
          </c:extLst>
        </c:ser>
        <c:dLbls>
          <c:showLegendKey val="0"/>
          <c:showVal val="0"/>
          <c:showCatName val="0"/>
          <c:showSerName val="0"/>
          <c:showPercent val="0"/>
          <c:showBubbleSize val="0"/>
        </c:dLbls>
        <c:gapWidth val="219"/>
        <c:axId val="476722320"/>
        <c:axId val="476722712"/>
        <c:extLst>
          <c:ext xmlns:c15="http://schemas.microsoft.com/office/drawing/2012/chart" uri="{02D57815-91ED-43cb-92C2-25804820EDAC}">
            <c15:filteredBarSeries>
              <c15:ser>
                <c:idx val="3"/>
                <c:order val="0"/>
                <c:tx>
                  <c:strRef>
                    <c:extLst>
                      <c:ext uri="{02D57815-91ED-43cb-92C2-25804820EDAC}">
                        <c15:formulaRef>
                          <c15:sqref>SLDR!$G$6</c15:sqref>
                        </c15:formulaRef>
                      </c:ext>
                    </c:extLst>
                    <c:strCache>
                      <c:ptCount val="1"/>
                      <c:pt idx="0">
                        <c:v>2022/23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SLDR!$C$7:$C$20</c15:sqref>
                        </c15:fullRef>
                        <c15:formulaRef>
                          <c15:sqref>SLDR!$C$7:$C$14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SLDR!$G$7:$G$20</c15:sqref>
                        </c15:fullRef>
                        <c15:formulaRef>
                          <c15:sqref>SLDR!$G$7:$G$14</c15:sqref>
                        </c15:formulaRef>
                      </c:ext>
                    </c:extLst>
                    <c:numCache>
                      <c:formatCode>0.0</c:formatCode>
                      <c:ptCount val="8"/>
                      <c:pt idx="0">
                        <c:v>98.624904507257455</c:v>
                      </c:pt>
                      <c:pt idx="1">
                        <c:v>98.743532889874359</c:v>
                      </c:pt>
                      <c:pt idx="2">
                        <c:v>97.723187537447572</c:v>
                      </c:pt>
                      <c:pt idx="3">
                        <c:v>96.40198511166254</c:v>
                      </c:pt>
                      <c:pt idx="4">
                        <c:v>94.734215123533815</c:v>
                      </c:pt>
                      <c:pt idx="5">
                        <c:v>96.386164171399074</c:v>
                      </c:pt>
                      <c:pt idx="6">
                        <c:v>96.876712328767127</c:v>
                      </c:pt>
                      <c:pt idx="7">
                        <c:v>95.346534653465341</c:v>
                      </c:pt>
                    </c:numCache>
                  </c:numRef>
                </c:val>
                <c:extLst>
                  <c:ext xmlns:c16="http://schemas.microsoft.com/office/drawing/2014/chart" uri="{C3380CC4-5D6E-409C-BE32-E72D297353CC}">
                    <c16:uniqueId val="{00000001-5291-440F-943B-479BBF4A05F3}"/>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SLDR!$K$6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SLDR!$C$7:$C$20</c15:sqref>
                        </c15:fullRef>
                        <c15:formulaRef>
                          <c15:sqref>SLDR!$C$7:$C$14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SLDR!$K$7:$K$20</c15:sqref>
                        </c15:fullRef>
                        <c15:formulaRef>
                          <c15:sqref>SLDR!$K$7:$K$14</c15:sqref>
                        </c15:formulaRef>
                      </c:ext>
                    </c:extLst>
                    <c:numCache>
                      <c:formatCode>0.0</c:formatCode>
                      <c:ptCount val="8"/>
                      <c:pt idx="0">
                        <c:v>0.11862838261690456</c:v>
                      </c:pt>
                      <c:pt idx="1">
                        <c:v>0</c:v>
                      </c:pt>
                      <c:pt idx="2">
                        <c:v>1.0203453524267871</c:v>
                      </c:pt>
                      <c:pt idx="3">
                        <c:v>2.3415477782118188</c:v>
                      </c:pt>
                      <c:pt idx="4">
                        <c:v>4.0093177663405442</c:v>
                      </c:pt>
                      <c:pt idx="5">
                        <c:v>2.3573687184752856</c:v>
                      </c:pt>
                      <c:pt idx="6">
                        <c:v>1.8668205611072324</c:v>
                      </c:pt>
                      <c:pt idx="7">
                        <c:v>3.3969982364090185</c:v>
                      </c:pt>
                    </c:numCache>
                  </c:numRef>
                </c:val>
                <c:extLst xmlns:c15="http://schemas.microsoft.com/office/drawing/2012/chart">
                  <c:ext xmlns:c16="http://schemas.microsoft.com/office/drawing/2014/chart" uri="{C3380CC4-5D6E-409C-BE32-E72D297353CC}">
                    <c16:uniqueId val="{00000002-5291-440F-943B-479BBF4A05F3}"/>
                  </c:ext>
                </c:extLst>
              </c15:ser>
            </c15:filteredBarSeries>
          </c:ext>
        </c:extLst>
      </c:barChart>
      <c:catAx>
        <c:axId val="4767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712"/>
        <c:crosses val="autoZero"/>
        <c:auto val="1"/>
        <c:lblAlgn val="ctr"/>
        <c:lblOffset val="100"/>
        <c:noMultiLvlLbl val="0"/>
      </c:catAx>
      <c:valAx>
        <c:axId val="47672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 Qualifications'!$C$2</c:f>
          <c:strCache>
            <c:ptCount val="1"/>
            <c:pt idx="0">
              <c:v>RQF Level 4+ Qualifications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'High Qualifications'!$E$6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'High Qualifications'!$C$7:$C$20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pt idx="13">
                  <c:v>United Kingdom</c:v>
                </c:pt>
              </c:strCache>
            </c:strRef>
          </c:cat>
          <c:val>
            <c:numRef>
              <c:f>'High Qualifications'!$E$7:$E$20</c:f>
              <c:numCache>
                <c:formatCode>0.0</c:formatCode>
                <c:ptCount val="14"/>
                <c:pt idx="0">
                  <c:v>65.900000000000006</c:v>
                </c:pt>
                <c:pt idx="1">
                  <c:v>70.099999999999994</c:v>
                </c:pt>
                <c:pt idx="2">
                  <c:v>56.9</c:v>
                </c:pt>
                <c:pt idx="3">
                  <c:v>48.5</c:v>
                </c:pt>
                <c:pt idx="4">
                  <c:v>44.1</c:v>
                </c:pt>
                <c:pt idx="5">
                  <c:v>62.9</c:v>
                </c:pt>
                <c:pt idx="6">
                  <c:v>48.9</c:v>
                </c:pt>
                <c:pt idx="7">
                  <c:v>44.1</c:v>
                </c:pt>
                <c:pt idx="9">
                  <c:v>70.099999999999994</c:v>
                </c:pt>
                <c:pt idx="10">
                  <c:v>57.841140529531565</c:v>
                </c:pt>
                <c:pt idx="11">
                  <c:v>53.9</c:v>
                </c:pt>
                <c:pt idx="12">
                  <c:v>55.1</c:v>
                </c:pt>
                <c:pt idx="13">
                  <c:v>47.1</c:v>
                </c:pt>
              </c:numCache>
            </c:numRef>
          </c:val>
          <c:extLst>
            <c:ext xmlns:c16="http://schemas.microsoft.com/office/drawing/2014/chart" uri="{C3380CC4-5D6E-409C-BE32-E72D297353CC}">
              <c16:uniqueId val="{00000000-3D5E-42F8-94D6-6886453870B8}"/>
            </c:ext>
          </c:extLst>
        </c:ser>
        <c:dLbls>
          <c:showLegendKey val="0"/>
          <c:showVal val="0"/>
          <c:showCatName val="0"/>
          <c:showSerName val="0"/>
          <c:showPercent val="0"/>
          <c:showBubbleSize val="0"/>
        </c:dLbls>
        <c:gapWidth val="219"/>
        <c:overlap val="-27"/>
        <c:axId val="476723496"/>
        <c:axId val="47672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'High Qualifications'!$C$7:$C$20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3D5E-42F8-94D6-6886453870B8}"/>
                  </c:ext>
                </c:extLst>
              </c15:ser>
            </c15:filteredBarSeries>
          </c:ext>
        </c:extLst>
      </c:barChart>
      <c:catAx>
        <c:axId val="47672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888"/>
        <c:crosses val="autoZero"/>
        <c:auto val="1"/>
        <c:lblAlgn val="ctr"/>
        <c:lblOffset val="100"/>
        <c:noMultiLvlLbl val="0"/>
      </c:catAx>
      <c:valAx>
        <c:axId val="47672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 Qualifications'!$F$22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'High Qualifications'!$C$7:$C$14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'High Qualifications'!$J$7:$J$14</c:f>
              <c:numCache>
                <c:formatCode>#,##0</c:formatCode>
                <c:ptCount val="8"/>
                <c:pt idx="0">
                  <c:v>2400</c:v>
                </c:pt>
                <c:pt idx="1">
                  <c:v>0</c:v>
                </c:pt>
                <c:pt idx="2">
                  <c:v>53800</c:v>
                </c:pt>
                <c:pt idx="3">
                  <c:v>9600</c:v>
                </c:pt>
                <c:pt idx="4">
                  <c:v>54500</c:v>
                </c:pt>
                <c:pt idx="5">
                  <c:v>7700</c:v>
                </c:pt>
                <c:pt idx="6">
                  <c:v>39700</c:v>
                </c:pt>
                <c:pt idx="7">
                  <c:v>13200</c:v>
                </c:pt>
              </c:numCache>
            </c:numRef>
          </c:val>
          <c:extLst>
            <c:ext xmlns:c16="http://schemas.microsoft.com/office/drawing/2014/chart" uri="{C3380CC4-5D6E-409C-BE32-E72D297353CC}">
              <c16:uniqueId val="{00000005-84E7-4F7B-ABDF-5FD46F0F4999}"/>
            </c:ext>
          </c:extLst>
        </c:ser>
        <c:dLbls>
          <c:showLegendKey val="0"/>
          <c:showVal val="0"/>
          <c:showCatName val="0"/>
          <c:showSerName val="0"/>
          <c:showPercent val="0"/>
          <c:showBubbleSize val="0"/>
        </c:dLbls>
        <c:gapWidth val="219"/>
        <c:axId val="476724672"/>
        <c:axId val="469451024"/>
        <c:extLst/>
      </c:barChart>
      <c:catAx>
        <c:axId val="47672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1024"/>
        <c:crosses val="autoZero"/>
        <c:auto val="1"/>
        <c:lblAlgn val="ctr"/>
        <c:lblOffset val="100"/>
        <c:noMultiLvlLbl val="0"/>
      </c:catAx>
      <c:valAx>
        <c:axId val="46945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Qualifications'!$C$2</c:f>
          <c:strCache>
            <c:ptCount val="1"/>
            <c:pt idx="0">
              <c:v>No Qualifications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'No Qualifications'!$E$6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Qualifications'!$C$7:$C$20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 City</c:v>
                </c:pt>
                <c:pt idx="10">
                  <c:v>LGBF Family Group 4 Average</c:v>
                </c:pt>
                <c:pt idx="11">
                  <c:v>Glasgow City Region</c:v>
                </c:pt>
                <c:pt idx="12">
                  <c:v>Scotland</c:v>
                </c:pt>
                <c:pt idx="13">
                  <c:v>United Kingdom</c:v>
                </c:pt>
              </c:strCache>
            </c:strRef>
          </c:cat>
          <c:val>
            <c:numRef>
              <c:f>'No Qualifications'!$E$7:$E$20</c:f>
              <c:numCache>
                <c:formatCode>#,##0.0</c:formatCode>
                <c:ptCount val="14"/>
                <c:pt idx="0">
                  <c:v>5.3</c:v>
                </c:pt>
                <c:pt idx="1">
                  <c:v>4.4000000000000004</c:v>
                </c:pt>
                <c:pt idx="2">
                  <c:v>11.9</c:v>
                </c:pt>
                <c:pt idx="3">
                  <c:v>9.1999999999999993</c:v>
                </c:pt>
                <c:pt idx="4">
                  <c:v>14.3</c:v>
                </c:pt>
                <c:pt idx="5">
                  <c:v>7.3</c:v>
                </c:pt>
                <c:pt idx="6">
                  <c:v>10.6</c:v>
                </c:pt>
                <c:pt idx="7">
                  <c:v>8.5</c:v>
                </c:pt>
                <c:pt idx="9">
                  <c:v>2.1</c:v>
                </c:pt>
                <c:pt idx="10">
                  <c:v>8.7014537537748424</c:v>
                </c:pt>
                <c:pt idx="11">
                  <c:v>10.7</c:v>
                </c:pt>
                <c:pt idx="12">
                  <c:v>8.1999999999999993</c:v>
                </c:pt>
                <c:pt idx="13">
                  <c:v>6.6</c:v>
                </c:pt>
              </c:numCache>
            </c:numRef>
          </c:val>
          <c:extLst>
            <c:ext xmlns:c16="http://schemas.microsoft.com/office/drawing/2014/chart" uri="{C3380CC4-5D6E-409C-BE32-E72D297353CC}">
              <c16:uniqueId val="{00000003-71B7-4831-BA47-3D65FC5ABA9A}"/>
            </c:ext>
          </c:extLst>
        </c:ser>
        <c:dLbls>
          <c:showLegendKey val="0"/>
          <c:showVal val="0"/>
          <c:showCatName val="0"/>
          <c:showSerName val="0"/>
          <c:showPercent val="0"/>
          <c:showBubbleSize val="0"/>
        </c:dLbls>
        <c:gapWidth val="219"/>
        <c:overlap val="-27"/>
        <c:axId val="469450240"/>
        <c:axId val="469449848"/>
        <c:extLst>
          <c:ext xmlns:c15="http://schemas.microsoft.com/office/drawing/2012/chart" uri="{02D57815-91ED-43cb-92C2-25804820EDAC}">
            <c15:filteredBarSeries>
              <c15:ser>
                <c:idx val="8"/>
                <c:order val="1"/>
                <c:tx>
                  <c:strRef>
                    <c:extLst>
                      <c:ext uri="{02D57815-91ED-43cb-92C2-25804820EDAC}">
                        <c15:formulaRef>
                          <c15:sqref>'No Qualifications'!$J$6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'No Qualifications'!$C$7:$C$20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 City</c:v>
                      </c:pt>
                      <c:pt idx="10">
                        <c:v>LGBF Family Group 4 Average</c:v>
                      </c:pt>
                      <c:pt idx="11">
                        <c:v>Glasgow City Region</c:v>
                      </c:pt>
                      <c:pt idx="12">
                        <c:v>Scotland</c:v>
                      </c:pt>
                      <c:pt idx="13">
                        <c:v>United Kingdom</c:v>
                      </c:pt>
                    </c:strCache>
                  </c:strRef>
                </c:cat>
                <c:val>
                  <c:numRef>
                    <c:extLst>
                      <c:ext uri="{02D57815-91ED-43cb-92C2-25804820EDAC}">
                        <c15:formulaRef>
                          <c15:sqref>'No Qualifications'!$J$7:$J$20</c15:sqref>
                        </c15:formulaRef>
                      </c:ext>
                    </c:extLst>
                    <c:numCache>
                      <c:formatCode>#,##0</c:formatCode>
                      <c:ptCount val="14"/>
                      <c:pt idx="0">
                        <c:v>-1900</c:v>
                      </c:pt>
                      <c:pt idx="1">
                        <c:v>-1300</c:v>
                      </c:pt>
                      <c:pt idx="2">
                        <c:v>-39900</c:v>
                      </c:pt>
                      <c:pt idx="3">
                        <c:v>-3200</c:v>
                      </c:pt>
                      <c:pt idx="4">
                        <c:v>-25600</c:v>
                      </c:pt>
                      <c:pt idx="5">
                        <c:v>-5600</c:v>
                      </c:pt>
                      <c:pt idx="6">
                        <c:v>-16000</c:v>
                      </c:pt>
                      <c:pt idx="7">
                        <c:v>-3200</c:v>
                      </c:pt>
                    </c:numCache>
                  </c:numRef>
                </c:val>
                <c:extLst>
                  <c:ext xmlns:c16="http://schemas.microsoft.com/office/drawing/2014/chart" uri="{C3380CC4-5D6E-409C-BE32-E72D297353CC}">
                    <c16:uniqueId val="{00000008-71B7-4831-BA47-3D65FC5ABA9A}"/>
                  </c:ext>
                </c:extLst>
              </c15:ser>
            </c15:filteredBarSeries>
          </c:ext>
        </c:extLst>
      </c:barChart>
      <c:catAx>
        <c:axId val="469450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49848"/>
        <c:crosses val="autoZero"/>
        <c:auto val="1"/>
        <c:lblAlgn val="ctr"/>
        <c:lblOffset val="100"/>
        <c:noMultiLvlLbl val="0"/>
      </c:catAx>
      <c:valAx>
        <c:axId val="469449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Qualifications'!$C$7:$C$14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'No Qualifications'!$J$7:$J$14</c:f>
              <c:numCache>
                <c:formatCode>#,##0</c:formatCode>
                <c:ptCount val="8"/>
                <c:pt idx="0">
                  <c:v>-1900</c:v>
                </c:pt>
                <c:pt idx="1">
                  <c:v>-1300</c:v>
                </c:pt>
                <c:pt idx="2">
                  <c:v>-39900</c:v>
                </c:pt>
                <c:pt idx="3">
                  <c:v>-3200</c:v>
                </c:pt>
                <c:pt idx="4">
                  <c:v>-25600</c:v>
                </c:pt>
                <c:pt idx="5">
                  <c:v>-5600</c:v>
                </c:pt>
                <c:pt idx="6">
                  <c:v>-16000</c:v>
                </c:pt>
                <c:pt idx="7">
                  <c:v>-3200</c:v>
                </c:pt>
              </c:numCache>
            </c:numRef>
          </c:val>
          <c:extLst>
            <c:ext xmlns:c16="http://schemas.microsoft.com/office/drawing/2014/chart" uri="{C3380CC4-5D6E-409C-BE32-E72D297353CC}">
              <c16:uniqueId val="{00000005-0FE5-4271-AA9A-200AA21FE667}"/>
            </c:ext>
          </c:extLst>
        </c:ser>
        <c:dLbls>
          <c:showLegendKey val="0"/>
          <c:showVal val="0"/>
          <c:showCatName val="0"/>
          <c:showSerName val="0"/>
          <c:showPercent val="0"/>
          <c:showBubbleSize val="0"/>
        </c:dLbls>
        <c:gapWidth val="219"/>
        <c:axId val="531517224"/>
        <c:axId val="531517616"/>
        <c:extLst/>
      </c:barChart>
      <c:catAx>
        <c:axId val="531517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616"/>
        <c:crosses val="autoZero"/>
        <c:auto val="1"/>
        <c:lblAlgn val="ctr"/>
        <c:lblOffset val="100"/>
        <c:noMultiLvlLbl val="0"/>
      </c:catAx>
      <c:valAx>
        <c:axId val="53151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Incapacity!$C$2</c:f>
          <c:strCache>
            <c:ptCount val="1"/>
            <c:pt idx="0">
              <c:v>Number of Incapacity-based benefits (per 1,000 16-64 pop)</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Incapacity!$G$6</c:f>
              <c:strCache>
                <c:ptCount val="1"/>
                <c:pt idx="0">
                  <c:v>Feb-24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Incapacity!$C$7:$C$20</c15:sqref>
                  </c15:fullRef>
                </c:ext>
              </c:extLst>
              <c:f>Incapacity!$C$7:$C$19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Aberdeenshire</c:v>
                </c:pt>
                <c:pt idx="10">
                  <c:v>LGBF Family Group 4 Average</c:v>
                </c:pt>
                <c:pt idx="11">
                  <c:v>Glasgow City Region</c:v>
                </c:pt>
                <c:pt idx="12">
                  <c:v>Scotland</c:v>
                </c:pt>
              </c:strCache>
            </c:strRef>
          </c:cat>
          <c:val>
            <c:numRef>
              <c:extLst>
                <c:ext xmlns:c15="http://schemas.microsoft.com/office/drawing/2012/chart" uri="{02D57815-91ED-43cb-92C2-25804820EDAC}">
                  <c15:fullRef>
                    <c15:sqref>Incapacity!$G$7:$G$20</c15:sqref>
                  </c15:fullRef>
                </c:ext>
              </c:extLst>
              <c:f>Incapacity!$G$7:$G$19</c:f>
              <c:numCache>
                <c:formatCode>0.0</c:formatCode>
                <c:ptCount val="13"/>
                <c:pt idx="0">
                  <c:v>37.337688075721779</c:v>
                </c:pt>
                <c:pt idx="1">
                  <c:v>36.701570680628272</c:v>
                </c:pt>
                <c:pt idx="2">
                  <c:v>71.805950962774517</c:v>
                </c:pt>
                <c:pt idx="3">
                  <c:v>70.245031197057969</c:v>
                </c:pt>
                <c:pt idx="4">
                  <c:v>63.801383282151285</c:v>
                </c:pt>
                <c:pt idx="5">
                  <c:v>57.987411895842236</c:v>
                </c:pt>
                <c:pt idx="6">
                  <c:v>53.288772643611352</c:v>
                </c:pt>
                <c:pt idx="7">
                  <c:v>74.656930630744057</c:v>
                </c:pt>
                <c:pt idx="9">
                  <c:v>31.317882170718345</c:v>
                </c:pt>
                <c:pt idx="10">
                  <c:v>55.251851357662289</c:v>
                </c:pt>
                <c:pt idx="11">
                  <c:v>79.323809490914243</c:v>
                </c:pt>
                <c:pt idx="12">
                  <c:v>50.934394621051069</c:v>
                </c:pt>
              </c:numCache>
            </c:numRef>
          </c:val>
          <c:extLst>
            <c:ext xmlns:c16="http://schemas.microsoft.com/office/drawing/2014/chart" uri="{C3380CC4-5D6E-409C-BE32-E72D297353CC}">
              <c16:uniqueId val="{00000000-8776-4C50-B27B-788488B52626}"/>
            </c:ext>
          </c:extLst>
        </c:ser>
        <c:dLbls>
          <c:showLegendKey val="0"/>
          <c:showVal val="0"/>
          <c:showCatName val="0"/>
          <c:showSerName val="0"/>
          <c:showPercent val="0"/>
          <c:showBubbleSize val="0"/>
        </c:dLbls>
        <c:gapWidth val="219"/>
        <c:overlap val="-27"/>
        <c:axId val="531518400"/>
        <c:axId val="5315187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Incapacity!$C$7:$C$20</c15:sqref>
                        </c15:fullRef>
                        <c15:formulaRef>
                          <c15:sqref>Incapacity!$C$7:$C$19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Aberdeenshire</c:v>
                      </c:pt>
                      <c:pt idx="10">
                        <c:v>LGBF Family Group 4 Average</c:v>
                      </c:pt>
                      <c:pt idx="11">
                        <c:v>Glasgow City Region</c:v>
                      </c:pt>
                      <c:pt idx="12">
                        <c:v>Scotland</c:v>
                      </c:pt>
                    </c:strCache>
                  </c:strRef>
                </c:cat>
                <c:val>
                  <c:numRef>
                    <c:extLst>
                      <c:ext uri="{02D57815-91ED-43cb-92C2-25804820EDAC}">
                        <c15:fullRef>
                          <c15:sqref>Employment!$L$7:$L$20</c15:sqref>
                        </c15:fullRef>
                        <c15:formulaRef>
                          <c15:sqref>Employment!$L$7:$L$19</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8776-4C50-B27B-788488B52626}"/>
                  </c:ext>
                </c:extLst>
              </c15:ser>
            </c15:filteredBarSeries>
          </c:ext>
        </c:extLst>
      </c:barChart>
      <c:catAx>
        <c:axId val="531518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792"/>
        <c:crosses val="autoZero"/>
        <c:auto val="1"/>
        <c:lblAlgn val="ctr"/>
        <c:lblOffset val="100"/>
        <c:noMultiLvlLbl val="0"/>
      </c:catAx>
      <c:valAx>
        <c:axId val="531518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Incapacity!$L$6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ext>
              </c:extLst>
              <c:f>Incapacity!$C$7:$C$14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Incapacity!$L$7:$L$14</c15:sqref>
                  </c15:fullRef>
                </c:ext>
              </c:extLst>
              <c:f>Incapacity!$L$7:$L$14</c:f>
              <c:numCache>
                <c:formatCode>#,##0</c:formatCode>
                <c:ptCount val="8"/>
                <c:pt idx="0">
                  <c:v>-400</c:v>
                </c:pt>
                <c:pt idx="1">
                  <c:v>-300</c:v>
                </c:pt>
                <c:pt idx="2">
                  <c:v>-18000</c:v>
                </c:pt>
                <c:pt idx="3">
                  <c:v>-1900</c:v>
                </c:pt>
                <c:pt idx="4">
                  <c:v>-7100</c:v>
                </c:pt>
                <c:pt idx="5">
                  <c:v>-3200</c:v>
                </c:pt>
                <c:pt idx="6">
                  <c:v>-4500</c:v>
                </c:pt>
                <c:pt idx="7">
                  <c:v>-2500</c:v>
                </c:pt>
              </c:numCache>
            </c:numRef>
          </c:val>
          <c:extLst>
            <c:ext xmlns:c16="http://schemas.microsoft.com/office/drawing/2014/chart" uri="{C3380CC4-5D6E-409C-BE32-E72D297353CC}">
              <c16:uniqueId val="{00000000-82E6-4BCB-8B42-697874FC7FF8}"/>
            </c:ext>
          </c:extLst>
        </c:ser>
        <c:dLbls>
          <c:showLegendKey val="0"/>
          <c:showVal val="0"/>
          <c:showCatName val="0"/>
          <c:showSerName val="0"/>
          <c:showPercent val="0"/>
          <c:showBubbleSize val="0"/>
        </c:dLbls>
        <c:gapWidth val="219"/>
        <c:axId val="531519576"/>
        <c:axId val="53151996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Incapacity!$C$7:$C$14</c15:sqref>
                        </c15:fullRef>
                        <c15:formulaRef>
                          <c15:sqref>Incapacity!$C$7:$C$14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82E6-4BCB-8B42-697874FC7FF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15:formulaRef>
                          <c15:sqref>Incapacity!$C$7:$C$14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82E6-4BCB-8B42-697874FC7FF8}"/>
                  </c:ext>
                </c:extLst>
              </c15:ser>
            </c15:filteredBarSeries>
          </c:ext>
        </c:extLst>
      </c:barChart>
      <c:catAx>
        <c:axId val="531519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968"/>
        <c:crosses val="autoZero"/>
        <c:auto val="1"/>
        <c:lblAlgn val="ctr"/>
        <c:lblOffset val="100"/>
        <c:noMultiLvlLbl val="0"/>
      </c:catAx>
      <c:valAx>
        <c:axId val="53151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Health'!$C$2</c:f>
          <c:strCache>
            <c:ptCount val="1"/>
            <c:pt idx="0">
              <c:v>Economic Inactive by reason:  Long-term Ill-health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'Ill Health'!$G$6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'Ill Health'!$C$7:$C$20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West Lothian</c:v>
                </c:pt>
                <c:pt idx="10">
                  <c:v>LGBF Family Group 4 Average</c:v>
                </c:pt>
                <c:pt idx="11">
                  <c:v>Glasgow City Region</c:v>
                </c:pt>
                <c:pt idx="12">
                  <c:v>Scotland</c:v>
                </c:pt>
                <c:pt idx="13">
                  <c:v>United Kingdom</c:v>
                </c:pt>
              </c:strCache>
            </c:strRef>
          </c:cat>
          <c:val>
            <c:numRef>
              <c:f>'Ill Health'!$G$7:$G$20</c:f>
              <c:numCache>
                <c:formatCode>#,##0.0</c:formatCode>
                <c:ptCount val="14"/>
                <c:pt idx="0">
                  <c:v>26.3</c:v>
                </c:pt>
                <c:pt idx="1">
                  <c:v>26</c:v>
                </c:pt>
                <c:pt idx="2">
                  <c:v>24.1</c:v>
                </c:pt>
                <c:pt idx="3">
                  <c:v>45.7</c:v>
                </c:pt>
                <c:pt idx="4">
                  <c:v>37.200000000000003</c:v>
                </c:pt>
                <c:pt idx="5">
                  <c:v>34.6</c:v>
                </c:pt>
                <c:pt idx="6">
                  <c:v>37.700000000000003</c:v>
                </c:pt>
                <c:pt idx="7">
                  <c:v>33.4</c:v>
                </c:pt>
                <c:pt idx="9">
                  <c:v>19.3</c:v>
                </c:pt>
                <c:pt idx="10">
                  <c:v>30.353430353430355</c:v>
                </c:pt>
                <c:pt idx="11">
                  <c:v>31.3</c:v>
                </c:pt>
                <c:pt idx="12">
                  <c:v>31.6</c:v>
                </c:pt>
                <c:pt idx="13">
                  <c:v>27.5</c:v>
                </c:pt>
              </c:numCache>
            </c:numRef>
          </c:val>
          <c:extLst>
            <c:ext xmlns:c16="http://schemas.microsoft.com/office/drawing/2014/chart" uri="{C3380CC4-5D6E-409C-BE32-E72D297353CC}">
              <c16:uniqueId val="{00000009-B1F4-486E-A18F-966BC3CD8FE8}"/>
            </c:ext>
          </c:extLst>
        </c:ser>
        <c:dLbls>
          <c:showLegendKey val="0"/>
          <c:showVal val="0"/>
          <c:showCatName val="0"/>
          <c:showSerName val="0"/>
          <c:showPercent val="0"/>
          <c:showBubbleSize val="0"/>
        </c:dLbls>
        <c:gapWidth val="219"/>
        <c:overlap val="-27"/>
        <c:axId val="531520752"/>
        <c:axId val="531521144"/>
        <c:extLst>
          <c:ext xmlns:c15="http://schemas.microsoft.com/office/drawing/2012/chart" uri="{02D57815-91ED-43cb-92C2-25804820EDAC}">
            <c15:filteredBarSeries>
              <c15:ser>
                <c:idx val="8"/>
                <c:order val="1"/>
                <c:tx>
                  <c:strRef>
                    <c:extLst>
                      <c:ext uri="{02D57815-91ED-43cb-92C2-25804820EDAC}">
                        <c15:formulaRef>
                          <c15:sqref>'Ill Health'!$L$6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'Ill Health'!$C$7:$C$20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West Lothian</c:v>
                      </c:pt>
                      <c:pt idx="10">
                        <c:v>LGBF Family Group 4 Average</c:v>
                      </c:pt>
                      <c:pt idx="11">
                        <c:v>Glasgow City Region</c:v>
                      </c:pt>
                      <c:pt idx="12">
                        <c:v>Scotland</c:v>
                      </c:pt>
                      <c:pt idx="13">
                        <c:v>United Kingdom</c:v>
                      </c:pt>
                    </c:strCache>
                  </c:strRef>
                </c:cat>
                <c:val>
                  <c:numRef>
                    <c:extLst>
                      <c:ext uri="{02D57815-91ED-43cb-92C2-25804820EDAC}">
                        <c15:formulaRef>
                          <c15:sqref>'Ill Health'!$L$7:$L$20</c15:sqref>
                        </c15:formulaRef>
                      </c:ext>
                    </c:extLst>
                    <c:numCache>
                      <c:formatCode>#,##0</c:formatCode>
                      <c:ptCount val="14"/>
                      <c:pt idx="0">
                        <c:v>-1100</c:v>
                      </c:pt>
                      <c:pt idx="1">
                        <c:v>-700</c:v>
                      </c:pt>
                      <c:pt idx="2">
                        <c:v>-5400</c:v>
                      </c:pt>
                      <c:pt idx="3">
                        <c:v>-3400</c:v>
                      </c:pt>
                      <c:pt idx="4">
                        <c:v>-10800</c:v>
                      </c:pt>
                      <c:pt idx="5">
                        <c:v>-3900</c:v>
                      </c:pt>
                      <c:pt idx="6">
                        <c:v>-7700</c:v>
                      </c:pt>
                      <c:pt idx="7">
                        <c:v>-2000</c:v>
                      </c:pt>
                    </c:numCache>
                  </c:numRef>
                </c:val>
                <c:extLst>
                  <c:ext xmlns:c16="http://schemas.microsoft.com/office/drawing/2014/chart" uri="{C3380CC4-5D6E-409C-BE32-E72D297353CC}">
                    <c16:uniqueId val="{0000000E-B1F4-486E-A18F-966BC3CD8FE8}"/>
                  </c:ext>
                </c:extLst>
              </c15:ser>
            </c15:filteredBarSeries>
          </c:ext>
        </c:extLst>
      </c:barChart>
      <c:catAx>
        <c:axId val="531520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144"/>
        <c:crosses val="autoZero"/>
        <c:auto val="1"/>
        <c:lblAlgn val="ctr"/>
        <c:lblOffset val="100"/>
        <c:noMultiLvlLbl val="0"/>
      </c:catAx>
      <c:valAx>
        <c:axId val="531521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'Ill Health'!$L$6</c:f>
              <c:strCache>
                <c:ptCount val="1"/>
                <c:pt idx="0">
                  <c:v>Volume Change Required</c:v>
                </c:pt>
              </c:strCache>
              <c:extLst xmlns:c15="http://schemas.microsoft.com/office/drawing/2012/chart"/>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Health'!$C$7:$C$20</c15:sqref>
                  </c15:fullRef>
                </c:ext>
              </c:extLst>
              <c:f>'Ill Health'!$C$7:$C$14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'Ill Health'!$L$7:$L$20</c15:sqref>
                  </c15:fullRef>
                </c:ext>
              </c:extLst>
              <c:f>'Ill Health'!$L$7:$L$14</c:f>
              <c:numCache>
                <c:formatCode>#,##0</c:formatCode>
                <c:ptCount val="8"/>
                <c:pt idx="0">
                  <c:v>-1100</c:v>
                </c:pt>
                <c:pt idx="1">
                  <c:v>-700</c:v>
                </c:pt>
                <c:pt idx="2">
                  <c:v>-5400</c:v>
                </c:pt>
                <c:pt idx="3">
                  <c:v>-3400</c:v>
                </c:pt>
                <c:pt idx="4">
                  <c:v>-10800</c:v>
                </c:pt>
                <c:pt idx="5">
                  <c:v>-3900</c:v>
                </c:pt>
                <c:pt idx="6">
                  <c:v>-7700</c:v>
                </c:pt>
                <c:pt idx="7">
                  <c:v>-2000</c:v>
                </c:pt>
              </c:numCache>
            </c:numRef>
          </c:val>
          <c:extLst>
            <c:ext xmlns:c16="http://schemas.microsoft.com/office/drawing/2014/chart" uri="{C3380CC4-5D6E-409C-BE32-E72D297353CC}">
              <c16:uniqueId val="{00000002-6E63-426A-AE91-40335934403A}"/>
            </c:ext>
          </c:extLst>
        </c:ser>
        <c:dLbls>
          <c:showLegendKey val="0"/>
          <c:showVal val="0"/>
          <c:showCatName val="0"/>
          <c:showSerName val="0"/>
          <c:showPercent val="0"/>
          <c:showBubbleSize val="0"/>
        </c:dLbls>
        <c:gapWidth val="219"/>
        <c:overlap val="-27"/>
        <c:axId val="531521928"/>
        <c:axId val="531522320"/>
        <c:extLst>
          <c:ext xmlns:c15="http://schemas.microsoft.com/office/drawing/2012/chart" uri="{02D57815-91ED-43cb-92C2-25804820EDAC}">
            <c15:filteredBarSeries>
              <c15:ser>
                <c:idx val="1"/>
                <c:order val="0"/>
                <c:tx>
                  <c:strRef>
                    <c:extLst>
                      <c:ext uri="{02D57815-91ED-43cb-92C2-25804820EDAC}">
                        <c15:formulaRef>
                          <c15:sqref>'Ill Health'!$G$6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'Ill Health'!$C$7:$C$20</c15:sqref>
                        </c15:fullRef>
                        <c15:formulaRef>
                          <c15:sqref>'Ill Health'!$C$7:$C$14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'Ill Health'!$G$7:$G$20</c15:sqref>
                        </c15:fullRef>
                        <c15:formulaRef>
                          <c15:sqref>'Ill Health'!$G$7:$G$14</c15:sqref>
                        </c15:formulaRef>
                      </c:ext>
                    </c:extLst>
                    <c:numCache>
                      <c:formatCode>#,##0.0</c:formatCode>
                      <c:ptCount val="8"/>
                      <c:pt idx="0">
                        <c:v>26.3</c:v>
                      </c:pt>
                      <c:pt idx="1">
                        <c:v>26</c:v>
                      </c:pt>
                      <c:pt idx="2">
                        <c:v>24.1</c:v>
                      </c:pt>
                      <c:pt idx="3">
                        <c:v>45.7</c:v>
                      </c:pt>
                      <c:pt idx="4">
                        <c:v>37.200000000000003</c:v>
                      </c:pt>
                      <c:pt idx="5">
                        <c:v>34.6</c:v>
                      </c:pt>
                      <c:pt idx="6">
                        <c:v>37.700000000000003</c:v>
                      </c:pt>
                      <c:pt idx="7">
                        <c:v>33.4</c:v>
                      </c:pt>
                    </c:numCache>
                  </c:numRef>
                </c:val>
                <c:extLst>
                  <c:ext xmlns:c16="http://schemas.microsoft.com/office/drawing/2014/chart" uri="{C3380CC4-5D6E-409C-BE32-E72D297353CC}">
                    <c16:uniqueId val="{00000000-6E63-426A-AE91-40335934403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'Ill Health'!$K$6</c15:sqref>
                        </c15:formulaRef>
                      </c:ext>
                    </c:extLst>
                    <c:strCache>
                      <c:ptCount val="1"/>
                      <c:pt idx="0">
                        <c:v>% Point Change Required</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Health'!$C$7:$C$20</c15:sqref>
                        </c15:fullRef>
                        <c15:formulaRef>
                          <c15:sqref>'Ill Health'!$C$7:$C$14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'Ill Health'!$K$7:$K$20</c15:sqref>
                        </c15:fullRef>
                        <c15:formulaRef>
                          <c15:sqref>'Ill Health'!$K$7:$K$14</c15:sqref>
                        </c15:formulaRef>
                      </c:ext>
                    </c:extLst>
                    <c:numCache>
                      <c:formatCode>0.0</c:formatCode>
                      <c:ptCount val="8"/>
                      <c:pt idx="0">
                        <c:v>-7</c:v>
                      </c:pt>
                      <c:pt idx="1">
                        <c:v>-6.6999999999999993</c:v>
                      </c:pt>
                      <c:pt idx="2">
                        <c:v>-4.8000000000000007</c:v>
                      </c:pt>
                      <c:pt idx="3">
                        <c:v>-26.400000000000002</c:v>
                      </c:pt>
                      <c:pt idx="4">
                        <c:v>-17.900000000000002</c:v>
                      </c:pt>
                      <c:pt idx="5">
                        <c:v>-15.3</c:v>
                      </c:pt>
                      <c:pt idx="6">
                        <c:v>-18.400000000000002</c:v>
                      </c:pt>
                      <c:pt idx="7">
                        <c:v>-14.099999999999998</c:v>
                      </c:pt>
                    </c:numCache>
                  </c:numRef>
                </c:val>
                <c:extLst xmlns:c15="http://schemas.microsoft.com/office/drawing/2012/chart">
                  <c:ext xmlns:c16="http://schemas.microsoft.com/office/drawing/2014/chart" uri="{C3380CC4-5D6E-409C-BE32-E72D297353CC}">
                    <c16:uniqueId val="{00000001-6E63-426A-AE91-40335934403A}"/>
                  </c:ext>
                </c:extLst>
              </c15:ser>
            </c15:filteredBarSeries>
          </c:ext>
        </c:extLst>
      </c:barChart>
      <c:catAx>
        <c:axId val="53152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2320"/>
        <c:crosses val="autoZero"/>
        <c:auto val="1"/>
        <c:lblAlgn val="ctr"/>
        <c:lblOffset val="100"/>
        <c:noMultiLvlLbl val="0"/>
      </c:catAx>
      <c:valAx>
        <c:axId val="53152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'HLE Females'!$C$2</c:f>
          <c:strCache>
            <c:ptCount val="1"/>
            <c:pt idx="0">
              <c:v>Healthy Life Expectancy - Females at birth</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'HLE Females'!$G$6</c:f>
              <c:strCache>
                <c:ptCount val="1"/>
                <c:pt idx="0">
                  <c:v>2018/20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'HLE Females'!$C$7:$C$20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f>'HLE Females'!$G$7:$G$20</c:f>
              <c:numCache>
                <c:formatCode>#,##0.0</c:formatCode>
                <c:ptCount val="14"/>
                <c:pt idx="0">
                  <c:v>66.38</c:v>
                </c:pt>
                <c:pt idx="1">
                  <c:v>67.03</c:v>
                </c:pt>
                <c:pt idx="2">
                  <c:v>57.43</c:v>
                </c:pt>
                <c:pt idx="3">
                  <c:v>59.38</c:v>
                </c:pt>
                <c:pt idx="4">
                  <c:v>55.49</c:v>
                </c:pt>
                <c:pt idx="5">
                  <c:v>61.59</c:v>
                </c:pt>
                <c:pt idx="6">
                  <c:v>62.66</c:v>
                </c:pt>
                <c:pt idx="7">
                  <c:v>58.47</c:v>
                </c:pt>
                <c:pt idx="9">
                  <c:v>77.489999999999995</c:v>
                </c:pt>
                <c:pt idx="10">
                  <c:v>60.375000000000007</c:v>
                </c:pt>
                <c:pt idx="11">
                  <c:v>61.053750000000008</c:v>
                </c:pt>
                <c:pt idx="12">
                  <c:v>61.79</c:v>
                </c:pt>
                <c:pt idx="13">
                  <c:v>63.59</c:v>
                </c:pt>
              </c:numCache>
            </c:numRef>
          </c:val>
          <c:extLst>
            <c:ext xmlns:c16="http://schemas.microsoft.com/office/drawing/2014/chart" uri="{C3380CC4-5D6E-409C-BE32-E72D297353CC}">
              <c16:uniqueId val="{00000000-2C26-486C-ADDB-3C9F9ACD94EF}"/>
            </c:ext>
          </c:extLst>
        </c:ser>
        <c:dLbls>
          <c:showLegendKey val="0"/>
          <c:showVal val="0"/>
          <c:showCatName val="0"/>
          <c:showSerName val="0"/>
          <c:showPercent val="0"/>
          <c:showBubbleSize val="0"/>
        </c:dLbls>
        <c:gapWidth val="219"/>
        <c:overlap val="-27"/>
        <c:axId val="531523104"/>
        <c:axId val="531523496"/>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'HLE Females'!$C$7:$C$20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2C26-486C-ADDB-3C9F9ACD94EF}"/>
                  </c:ext>
                </c:extLst>
              </c15:ser>
            </c15:filteredBarSeries>
          </c:ext>
        </c:extLst>
      </c:barChart>
      <c:catAx>
        <c:axId val="531523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3496"/>
        <c:crosses val="autoZero"/>
        <c:auto val="1"/>
        <c:lblAlgn val="ctr"/>
        <c:lblOffset val="100"/>
        <c:noMultiLvlLbl val="0"/>
      </c:catAx>
      <c:valAx>
        <c:axId val="531523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3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 Poverty'!$L$6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Poverty'!$C$7:$C$20</c15:sqref>
                  </c15:fullRef>
                </c:ext>
              </c:extLst>
              <c:f>'Child Poverty'!$C$7:$C$14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'Child Poverty'!$L$7:$L$20</c15:sqref>
                  </c15:fullRef>
                </c:ext>
              </c:extLst>
              <c:f>'Child Poverty'!$L$7:$L$14</c:f>
              <c:numCache>
                <c:formatCode>#,##0</c:formatCode>
                <c:ptCount val="8"/>
                <c:pt idx="0">
                  <c:v>-300</c:v>
                </c:pt>
                <c:pt idx="1">
                  <c:v>0</c:v>
                </c:pt>
                <c:pt idx="2">
                  <c:v>-20800</c:v>
                </c:pt>
                <c:pt idx="3">
                  <c:v>-1700</c:v>
                </c:pt>
                <c:pt idx="4">
                  <c:v>-8800</c:v>
                </c:pt>
                <c:pt idx="5">
                  <c:v>-3300</c:v>
                </c:pt>
                <c:pt idx="6">
                  <c:v>-5900</c:v>
                </c:pt>
                <c:pt idx="7">
                  <c:v>-2300</c:v>
                </c:pt>
              </c:numCache>
            </c:numRef>
          </c:val>
          <c:extLst>
            <c:ext xmlns:c16="http://schemas.microsoft.com/office/drawing/2014/chart" uri="{C3380CC4-5D6E-409C-BE32-E72D297353CC}">
              <c16:uniqueId val="{00000000-25CE-4EE9-852A-F7DEEF22FBD8}"/>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 Poverty'!$G$6</c15:sqref>
                        </c15:formulaRef>
                      </c:ext>
                    </c:extLst>
                    <c:strCache>
                      <c:ptCount val="1"/>
                      <c:pt idx="0">
                        <c:v>2022/23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 Poverty'!$C$7:$C$20</c15:sqref>
                        </c15:fullRef>
                        <c15:formulaRef>
                          <c15:sqref>'Child Poverty'!$C$7:$C$14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'Child Poverty'!$G$7:$G$20</c15:sqref>
                        </c15:fullRef>
                        <c15:formulaRef>
                          <c15:sqref>'Child Poverty'!$G$7:$G$14</c15:sqref>
                        </c15:formulaRef>
                      </c:ext>
                    </c:extLst>
                    <c:numCache>
                      <c:formatCode>0.0</c:formatCode>
                      <c:ptCount val="8"/>
                      <c:pt idx="0">
                        <c:v>15.7</c:v>
                      </c:pt>
                      <c:pt idx="1">
                        <c:v>14.000000000000002</c:v>
                      </c:pt>
                      <c:pt idx="2">
                        <c:v>32.9</c:v>
                      </c:pt>
                      <c:pt idx="3">
                        <c:v>26.1</c:v>
                      </c:pt>
                      <c:pt idx="4">
                        <c:v>26.900000000000002</c:v>
                      </c:pt>
                      <c:pt idx="5">
                        <c:v>24</c:v>
                      </c:pt>
                      <c:pt idx="6">
                        <c:v>23.599999999999998</c:v>
                      </c:pt>
                      <c:pt idx="7">
                        <c:v>28.000000000000004</c:v>
                      </c:pt>
                    </c:numCache>
                  </c:numRef>
                </c:val>
                <c:extLst>
                  <c:ext xmlns:c16="http://schemas.microsoft.com/office/drawing/2014/chart" uri="{C3380CC4-5D6E-409C-BE32-E72D297353CC}">
                    <c16:uniqueId val="{00000001-25CE-4EE9-852A-F7DEEF22FBD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 Poverty'!$K$6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Poverty'!$C$7:$C$20</c15:sqref>
                        </c15:fullRef>
                        <c15:formulaRef>
                          <c15:sqref>'Child Poverty'!$C$7:$C$14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'Child Poverty'!$K$7:$K$20</c15:sqref>
                        </c15:fullRef>
                        <c15:formulaRef>
                          <c15:sqref>'Child Poverty'!$K$7:$K$14</c15:sqref>
                        </c15:formulaRef>
                      </c:ext>
                    </c:extLst>
                    <c:numCache>
                      <c:formatCode>0.0</c:formatCode>
                      <c:ptCount val="8"/>
                      <c:pt idx="0">
                        <c:v>-1.6999999999999975</c:v>
                      </c:pt>
                      <c:pt idx="1">
                        <c:v>0</c:v>
                      </c:pt>
                      <c:pt idx="2">
                        <c:v>-18.899999999999999</c:v>
                      </c:pt>
                      <c:pt idx="3">
                        <c:v>-12.1</c:v>
                      </c:pt>
                      <c:pt idx="4">
                        <c:v>-12.9</c:v>
                      </c:pt>
                      <c:pt idx="5">
                        <c:v>-9.9999999999999982</c:v>
                      </c:pt>
                      <c:pt idx="6">
                        <c:v>-9.5999999999999961</c:v>
                      </c:pt>
                      <c:pt idx="7">
                        <c:v>-14.000000000000002</c:v>
                      </c:pt>
                    </c:numCache>
                  </c:numRef>
                </c:val>
                <c:extLst xmlns:c15="http://schemas.microsoft.com/office/drawing/2012/chart">
                  <c:ext xmlns:c16="http://schemas.microsoft.com/office/drawing/2014/chart" uri="{C3380CC4-5D6E-409C-BE32-E72D297353CC}">
                    <c16:uniqueId val="{00000002-25CE-4EE9-852A-F7DEEF22FBD8}"/>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'HLE Females'!$F$22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'HLE Females'!$C$7:$C$14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'HLE Females'!$K$7:$K$14</c:f>
              <c:numCache>
                <c:formatCode>0.0</c:formatCode>
                <c:ptCount val="8"/>
                <c:pt idx="0">
                  <c:v>11.11</c:v>
                </c:pt>
                <c:pt idx="1">
                  <c:v>10.459999999999994</c:v>
                </c:pt>
                <c:pt idx="2">
                  <c:v>20.059999999999995</c:v>
                </c:pt>
                <c:pt idx="3">
                  <c:v>18.109999999999992</c:v>
                </c:pt>
                <c:pt idx="4">
                  <c:v>21.999999999999993</c:v>
                </c:pt>
                <c:pt idx="5">
                  <c:v>15.899999999999991</c:v>
                </c:pt>
                <c:pt idx="6">
                  <c:v>14.829999999999998</c:v>
                </c:pt>
                <c:pt idx="7">
                  <c:v>19.019999999999996</c:v>
                </c:pt>
              </c:numCache>
            </c:numRef>
          </c:val>
          <c:extLst>
            <c:ext xmlns:c16="http://schemas.microsoft.com/office/drawing/2014/chart" uri="{C3380CC4-5D6E-409C-BE32-E72D297353CC}">
              <c16:uniqueId val="{00000004-D4E2-4BBF-BE8B-6344DA7E853C}"/>
            </c:ext>
          </c:extLst>
        </c:ser>
        <c:dLbls>
          <c:showLegendKey val="0"/>
          <c:showVal val="0"/>
          <c:showCatName val="0"/>
          <c:showSerName val="0"/>
          <c:showPercent val="0"/>
          <c:showBubbleSize val="0"/>
        </c:dLbls>
        <c:gapWidth val="219"/>
        <c:axId val="531524280"/>
        <c:axId val="533252112"/>
        <c:extLst/>
      </c:barChart>
      <c:catAx>
        <c:axId val="531524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2112"/>
        <c:crosses val="autoZero"/>
        <c:auto val="1"/>
        <c:lblAlgn val="ctr"/>
        <c:lblOffset val="100"/>
        <c:noMultiLvlLbl val="0"/>
      </c:catAx>
      <c:valAx>
        <c:axId val="53325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4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'HLE Males'!$C$2</c:f>
          <c:strCache>
            <c:ptCount val="1"/>
            <c:pt idx="0">
              <c:v>Healthy Life Expectancy - Males at birth</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'HLE Males'!$G$6</c:f>
              <c:strCache>
                <c:ptCount val="1"/>
                <c:pt idx="0">
                  <c:v>2018/20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'HLE Males'!$C$7:$C$20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f>'HLE Males'!$G$7:$G$20</c:f>
              <c:numCache>
                <c:formatCode>#,##0.0</c:formatCode>
                <c:ptCount val="14"/>
                <c:pt idx="0">
                  <c:v>66.72</c:v>
                </c:pt>
                <c:pt idx="1">
                  <c:v>68.650000000000006</c:v>
                </c:pt>
                <c:pt idx="2">
                  <c:v>56.01</c:v>
                </c:pt>
                <c:pt idx="3">
                  <c:v>54.36</c:v>
                </c:pt>
                <c:pt idx="4">
                  <c:v>56.56</c:v>
                </c:pt>
                <c:pt idx="5">
                  <c:v>60.58</c:v>
                </c:pt>
                <c:pt idx="6">
                  <c:v>59.52</c:v>
                </c:pt>
                <c:pt idx="7">
                  <c:v>58.06</c:v>
                </c:pt>
                <c:pt idx="9">
                  <c:v>71.239999999999995</c:v>
                </c:pt>
                <c:pt idx="10">
                  <c:v>59.59375</c:v>
                </c:pt>
                <c:pt idx="11">
                  <c:v>60.057500000000005</c:v>
                </c:pt>
                <c:pt idx="12">
                  <c:v>60.93</c:v>
                </c:pt>
                <c:pt idx="13">
                  <c:v>62.83</c:v>
                </c:pt>
              </c:numCache>
            </c:numRef>
          </c:val>
          <c:extLst>
            <c:ext xmlns:c16="http://schemas.microsoft.com/office/drawing/2014/chart" uri="{C3380CC4-5D6E-409C-BE32-E72D297353CC}">
              <c16:uniqueId val="{00000000-435C-4DE8-90B1-3C462E855444}"/>
            </c:ext>
          </c:extLst>
        </c:ser>
        <c:dLbls>
          <c:showLegendKey val="0"/>
          <c:showVal val="0"/>
          <c:showCatName val="0"/>
          <c:showSerName val="0"/>
          <c:showPercent val="0"/>
          <c:showBubbleSize val="0"/>
        </c:dLbls>
        <c:gapWidth val="219"/>
        <c:overlap val="-27"/>
        <c:axId val="533252896"/>
        <c:axId val="5332532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'HLE Males'!$C$7:$C$20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435C-4DE8-90B1-3C462E855444}"/>
                  </c:ext>
                </c:extLst>
              </c15:ser>
            </c15:filteredBarSeries>
          </c:ext>
        </c:extLst>
      </c:barChart>
      <c:catAx>
        <c:axId val="53325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3288"/>
        <c:crosses val="autoZero"/>
        <c:auto val="1"/>
        <c:lblAlgn val="ctr"/>
        <c:lblOffset val="100"/>
        <c:noMultiLvlLbl val="0"/>
      </c:catAx>
      <c:valAx>
        <c:axId val="533253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'HLE Males'!$F$22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'HLE Males'!$C$7:$C$14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'HLE Males'!$K$7:$K$14</c:f>
              <c:numCache>
                <c:formatCode>0.0</c:formatCode>
                <c:ptCount val="8"/>
                <c:pt idx="0">
                  <c:v>4.519999999999996</c:v>
                </c:pt>
                <c:pt idx="1">
                  <c:v>2.5899999999999892</c:v>
                </c:pt>
                <c:pt idx="2">
                  <c:v>15.229999999999997</c:v>
                </c:pt>
                <c:pt idx="3">
                  <c:v>16.879999999999995</c:v>
                </c:pt>
                <c:pt idx="4">
                  <c:v>14.679999999999993</c:v>
                </c:pt>
                <c:pt idx="5">
                  <c:v>10.659999999999997</c:v>
                </c:pt>
                <c:pt idx="6">
                  <c:v>11.719999999999992</c:v>
                </c:pt>
                <c:pt idx="7">
                  <c:v>13.179999999999993</c:v>
                </c:pt>
              </c:numCache>
            </c:numRef>
          </c:val>
          <c:extLst>
            <c:ext xmlns:c16="http://schemas.microsoft.com/office/drawing/2014/chart" uri="{C3380CC4-5D6E-409C-BE32-E72D297353CC}">
              <c16:uniqueId val="{00000004-9EDF-47CA-8DA5-6736CD625156}"/>
            </c:ext>
          </c:extLst>
        </c:ser>
        <c:dLbls>
          <c:showLegendKey val="0"/>
          <c:showVal val="0"/>
          <c:showCatName val="0"/>
          <c:showSerName val="0"/>
          <c:showPercent val="0"/>
          <c:showBubbleSize val="0"/>
        </c:dLbls>
        <c:gapWidth val="219"/>
        <c:axId val="533254072"/>
        <c:axId val="533254464"/>
        <c:extLst/>
      </c:barChart>
      <c:catAx>
        <c:axId val="533254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4464"/>
        <c:crosses val="autoZero"/>
        <c:auto val="1"/>
        <c:lblAlgn val="ctr"/>
        <c:lblOffset val="100"/>
        <c:noMultiLvlLbl val="0"/>
      </c:catAx>
      <c:valAx>
        <c:axId val="533254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4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Inactivity'!$C$2</c:f>
          <c:strCache>
            <c:ptCount val="1"/>
            <c:pt idx="0">
              <c:v>Economic Inactivity Rate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'Economic Inactivity'!$G$6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f>'Economic Inactivity'!$G$7:$G$20</c:f>
              <c:numCache>
                <c:formatCode>0.0</c:formatCode>
                <c:ptCount val="14"/>
                <c:pt idx="0">
                  <c:v>24.5</c:v>
                </c:pt>
                <c:pt idx="1">
                  <c:v>20.399999999999999</c:v>
                </c:pt>
                <c:pt idx="2">
                  <c:v>25.6</c:v>
                </c:pt>
                <c:pt idx="3">
                  <c:v>27.5</c:v>
                </c:pt>
                <c:pt idx="4">
                  <c:v>27.6</c:v>
                </c:pt>
                <c:pt idx="5">
                  <c:v>22.4</c:v>
                </c:pt>
                <c:pt idx="6">
                  <c:v>21.2</c:v>
                </c:pt>
                <c:pt idx="7">
                  <c:v>25.9</c:v>
                </c:pt>
                <c:pt idx="9">
                  <c:v>11.7</c:v>
                </c:pt>
                <c:pt idx="10">
                  <c:v>22.874671340929009</c:v>
                </c:pt>
                <c:pt idx="11">
                  <c:v>24.7</c:v>
                </c:pt>
                <c:pt idx="12">
                  <c:v>22.5</c:v>
                </c:pt>
                <c:pt idx="13">
                  <c:v>21.3</c:v>
                </c:pt>
              </c:numCache>
            </c:numRef>
          </c:val>
          <c:extLst>
            <c:ext xmlns:c16="http://schemas.microsoft.com/office/drawing/2014/chart" uri="{C3380CC4-5D6E-409C-BE32-E72D297353CC}">
              <c16:uniqueId val="{00000000-ECA7-4E05-B8E0-CA5ADDE8489B}"/>
            </c:ext>
          </c:extLst>
        </c:ser>
        <c:dLbls>
          <c:showLegendKey val="0"/>
          <c:showVal val="0"/>
          <c:showCatName val="0"/>
          <c:showSerName val="0"/>
          <c:showPercent val="0"/>
          <c:showBubbleSize val="0"/>
        </c:dLbls>
        <c:gapWidth val="219"/>
        <c:overlap val="-27"/>
        <c:axId val="533255248"/>
        <c:axId val="53325564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'Economic Inactivity'!$C$7:$C$20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ECA7-4E05-B8E0-CA5ADDE8489B}"/>
                  </c:ext>
                </c:extLst>
              </c15:ser>
            </c15:filteredBarSeries>
          </c:ext>
        </c:extLst>
      </c:barChart>
      <c:catAx>
        <c:axId val="53325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640"/>
        <c:crosses val="autoZero"/>
        <c:auto val="1"/>
        <c:lblAlgn val="ctr"/>
        <c:lblOffset val="100"/>
        <c:noMultiLvlLbl val="0"/>
      </c:catAx>
      <c:valAx>
        <c:axId val="533255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'Economic Inactivity'!$L$7:$L$14</c:f>
              <c:numCache>
                <c:formatCode>#,##0</c:formatCode>
                <c:ptCount val="8"/>
                <c:pt idx="0">
                  <c:v>-8100</c:v>
                </c:pt>
                <c:pt idx="1">
                  <c:v>-4800</c:v>
                </c:pt>
                <c:pt idx="2">
                  <c:v>-60300</c:v>
                </c:pt>
                <c:pt idx="3">
                  <c:v>-7500</c:v>
                </c:pt>
                <c:pt idx="4">
                  <c:v>-35000</c:v>
                </c:pt>
                <c:pt idx="5">
                  <c:v>-12000</c:v>
                </c:pt>
                <c:pt idx="6">
                  <c:v>-19000</c:v>
                </c:pt>
                <c:pt idx="7">
                  <c:v>-7900</c:v>
                </c:pt>
              </c:numCache>
            </c:numRef>
          </c:val>
          <c:extLst>
            <c:ext xmlns:c16="http://schemas.microsoft.com/office/drawing/2014/chart" uri="{C3380CC4-5D6E-409C-BE32-E72D297353CC}">
              <c16:uniqueId val="{00000005-6A42-43A2-B577-BBFF0313F2E2}"/>
            </c:ext>
          </c:extLst>
        </c:ser>
        <c:dLbls>
          <c:showLegendKey val="0"/>
          <c:showVal val="0"/>
          <c:showCatName val="0"/>
          <c:showSerName val="0"/>
          <c:showPercent val="0"/>
          <c:showBubbleSize val="0"/>
        </c:dLbls>
        <c:gapWidth val="219"/>
        <c:axId val="533256424"/>
        <c:axId val="533256816"/>
        <c:extLst/>
      </c:barChart>
      <c:catAx>
        <c:axId val="533256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816"/>
        <c:crosses val="autoZero"/>
        <c:auto val="1"/>
        <c:lblAlgn val="ctr"/>
        <c:lblOffset val="100"/>
        <c:noMultiLvlLbl val="0"/>
      </c:catAx>
      <c:valAx>
        <c:axId val="53325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Unemployment!$C$2</c:f>
          <c:strCache>
            <c:ptCount val="1"/>
            <c:pt idx="0">
              <c:v>Unemployment Rate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3"/>
          <c:tx>
            <c:v>2019</c:v>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Unemployment!$C$7:$C$20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Renfrewshire</c:v>
                </c:pt>
                <c:pt idx="10">
                  <c:v>LGBF Family Group 4 Average</c:v>
                </c:pt>
                <c:pt idx="11">
                  <c:v>Glasgow City Region</c:v>
                </c:pt>
                <c:pt idx="12">
                  <c:v>Scotland</c:v>
                </c:pt>
                <c:pt idx="13">
                  <c:v>United Kingdom</c:v>
                </c:pt>
              </c:strCache>
            </c:strRef>
          </c:cat>
          <c:val>
            <c:numRef>
              <c:f>Unemployment!$G$7:$G$20</c:f>
              <c:numCache>
                <c:formatCode>0.0</c:formatCode>
                <c:ptCount val="14"/>
                <c:pt idx="0">
                  <c:v>2.7</c:v>
                </c:pt>
                <c:pt idx="1">
                  <c:v>2.6</c:v>
                </c:pt>
                <c:pt idx="2">
                  <c:v>4.3</c:v>
                </c:pt>
                <c:pt idx="3">
                  <c:v>5.7</c:v>
                </c:pt>
                <c:pt idx="4">
                  <c:v>2.7</c:v>
                </c:pt>
                <c:pt idx="5">
                  <c:v>1</c:v>
                </c:pt>
                <c:pt idx="6">
                  <c:v>2.2000000000000002</c:v>
                </c:pt>
                <c:pt idx="7">
                  <c:v>3</c:v>
                </c:pt>
                <c:pt idx="9">
                  <c:v>1</c:v>
                </c:pt>
                <c:pt idx="10">
                  <c:v>4.2596348884381339</c:v>
                </c:pt>
                <c:pt idx="11">
                  <c:v>3.2</c:v>
                </c:pt>
                <c:pt idx="12">
                  <c:v>3.6</c:v>
                </c:pt>
                <c:pt idx="13">
                  <c:v>3.8</c:v>
                </c:pt>
              </c:numCache>
            </c:numRef>
          </c:val>
          <c:extLst>
            <c:ext xmlns:c16="http://schemas.microsoft.com/office/drawing/2014/chart" uri="{C3380CC4-5D6E-409C-BE32-E72D297353CC}">
              <c16:uniqueId val="{00000001-61BB-43F2-A765-473349A22150}"/>
            </c:ext>
          </c:extLst>
        </c:ser>
        <c:dLbls>
          <c:showLegendKey val="0"/>
          <c:showVal val="0"/>
          <c:showCatName val="0"/>
          <c:showSerName val="0"/>
          <c:showPercent val="0"/>
          <c:showBubbleSize val="0"/>
        </c:dLbls>
        <c:gapWidth val="219"/>
        <c:overlap val="-27"/>
        <c:axId val="533972336"/>
        <c:axId val="533972728"/>
        <c:extLst>
          <c:ext xmlns:c15="http://schemas.microsoft.com/office/drawing/2012/chart" uri="{02D57815-91ED-43cb-92C2-25804820EDAC}">
            <c15:filteredBarSeries>
              <c15:ser>
                <c:idx val="3"/>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Unemployment!$C$7:$C$20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Renfrewshire</c:v>
                      </c:pt>
                      <c:pt idx="10">
                        <c:v>LGBF Family Group 4 Average</c:v>
                      </c:pt>
                      <c:pt idx="11">
                        <c:v>Glasgow City Region</c:v>
                      </c:pt>
                      <c:pt idx="12">
                        <c:v>Scotland</c:v>
                      </c:pt>
                      <c:pt idx="13">
                        <c:v>United Kingdom</c:v>
                      </c:pt>
                    </c:strCache>
                  </c:strRef>
                </c:cat>
                <c:val>
                  <c:numRef>
                    <c:extLst>
                      <c:ext uri="{02D57815-91ED-43cb-92C2-25804820EDAC}">
                        <c15:formulaRef>
                          <c15:sqref>Unemployment!$D$7:$D$20</c15:sqref>
                        </c15:formulaRef>
                      </c:ext>
                    </c:extLst>
                    <c:numCache>
                      <c:formatCode>0.0</c:formatCode>
                      <c:ptCount val="14"/>
                      <c:pt idx="0">
                        <c:v>2.2999999999999998</c:v>
                      </c:pt>
                      <c:pt idx="1">
                        <c:v>4</c:v>
                      </c:pt>
                      <c:pt idx="2">
                        <c:v>4.5</c:v>
                      </c:pt>
                      <c:pt idx="3">
                        <c:v>4.7</c:v>
                      </c:pt>
                      <c:pt idx="4">
                        <c:v>6.4</c:v>
                      </c:pt>
                      <c:pt idx="5">
                        <c:v>4.5999999999999996</c:v>
                      </c:pt>
                      <c:pt idx="6">
                        <c:v>3.8</c:v>
                      </c:pt>
                      <c:pt idx="7">
                        <c:v>5.3</c:v>
                      </c:pt>
                      <c:pt idx="9">
                        <c:v>4.5999999999999996</c:v>
                      </c:pt>
                      <c:pt idx="10">
                        <c:v>5.3210358283079104</c:v>
                      </c:pt>
                      <c:pt idx="11">
                        <c:v>4.5999999999999996</c:v>
                      </c:pt>
                      <c:pt idx="12">
                        <c:v>4.4000000000000004</c:v>
                      </c:pt>
                      <c:pt idx="13">
                        <c:v>4.7</c:v>
                      </c:pt>
                    </c:numCache>
                  </c:numRef>
                </c:val>
                <c:extLst>
                  <c:ext xmlns:c16="http://schemas.microsoft.com/office/drawing/2014/chart" uri="{C3380CC4-5D6E-409C-BE32-E72D297353CC}">
                    <c16:uniqueId val="{00000000-0C37-4CA2-83C4-0FBB1A08BA48}"/>
                  </c:ext>
                </c:extLst>
              </c15:ser>
            </c15:filteredBarSeries>
            <c15:filteredBarSeries>
              <c15:ser>
                <c:idx val="8"/>
                <c:order val="1"/>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Unemployment!$C$7:$C$20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Renfrewshire</c:v>
                      </c:pt>
                      <c:pt idx="10">
                        <c:v>LGBF Family Group 4 Average</c:v>
                      </c:pt>
                      <c:pt idx="11">
                        <c:v>Glasgow City Region</c:v>
                      </c:pt>
                      <c:pt idx="12">
                        <c:v>Scotland</c:v>
                      </c:pt>
                      <c:pt idx="13">
                        <c:v>United Kingdom</c:v>
                      </c:pt>
                    </c:strCache>
                  </c:strRef>
                </c:cat>
                <c:val>
                  <c:numRef>
                    <c:extLst xmlns:c15="http://schemas.microsoft.com/office/drawing/2012/chart">
                      <c:ext xmlns:c15="http://schemas.microsoft.com/office/drawing/2012/chart" uri="{02D57815-91ED-43cb-92C2-25804820EDAC}">
                        <c15:formulaRef>
                          <c15:sqref>Unemployment!$E$7:$E$20</c15:sqref>
                        </c15:formulaRef>
                      </c:ext>
                    </c:extLst>
                    <c:numCache>
                      <c:formatCode>0.0</c:formatCode>
                      <c:ptCount val="14"/>
                      <c:pt idx="0">
                        <c:v>4</c:v>
                      </c:pt>
                      <c:pt idx="1">
                        <c:v>3.6</c:v>
                      </c:pt>
                      <c:pt idx="2">
                        <c:v>3.8</c:v>
                      </c:pt>
                      <c:pt idx="3">
                        <c:v>4.4000000000000004</c:v>
                      </c:pt>
                      <c:pt idx="4">
                        <c:v>3.7</c:v>
                      </c:pt>
                      <c:pt idx="5">
                        <c:v>3.9</c:v>
                      </c:pt>
                      <c:pt idx="6">
                        <c:v>3.7</c:v>
                      </c:pt>
                      <c:pt idx="7">
                        <c:v>4.4000000000000004</c:v>
                      </c:pt>
                      <c:pt idx="9">
                        <c:v>3.9</c:v>
                      </c:pt>
                      <c:pt idx="10">
                        <c:v>3.859522953374086</c:v>
                      </c:pt>
                      <c:pt idx="11">
                        <c:v>3.8</c:v>
                      </c:pt>
                      <c:pt idx="12">
                        <c:v>4</c:v>
                      </c:pt>
                      <c:pt idx="13">
                        <c:v>4.5</c:v>
                      </c:pt>
                    </c:numCache>
                  </c:numRef>
                </c:val>
                <c:extLst xmlns:c15="http://schemas.microsoft.com/office/drawing/2012/chart">
                  <c:ext xmlns:c16="http://schemas.microsoft.com/office/drawing/2014/chart" uri="{C3380CC4-5D6E-409C-BE32-E72D297353CC}">
                    <c16:uniqueId val="{00000002-0C37-4CA2-83C4-0FBB1A08BA48}"/>
                  </c:ext>
                </c:extLst>
              </c15:ser>
            </c15:filteredBarSeries>
            <c15:filteredBarSeries>
              <c15:ser>
                <c:idx val="0"/>
                <c:order val="2"/>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Unemployment!$C$7:$C$20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Renfrewshire</c:v>
                      </c:pt>
                      <c:pt idx="10">
                        <c:v>LGBF Family Group 4 Average</c:v>
                      </c:pt>
                      <c:pt idx="11">
                        <c:v>Glasgow City Region</c:v>
                      </c:pt>
                      <c:pt idx="12">
                        <c:v>Scotland</c:v>
                      </c:pt>
                      <c:pt idx="13">
                        <c:v>United Kingdom</c:v>
                      </c:pt>
                    </c:strCache>
                  </c:strRef>
                </c:cat>
                <c:val>
                  <c:numRef>
                    <c:extLst xmlns:c15="http://schemas.microsoft.com/office/drawing/2012/chart">
                      <c:ext xmlns:c15="http://schemas.microsoft.com/office/drawing/2012/chart" uri="{02D57815-91ED-43cb-92C2-25804820EDAC}">
                        <c15:formulaRef>
                          <c15:sqref>Unemployment!$F$7:$F$20</c15:sqref>
                        </c15:formulaRef>
                      </c:ext>
                    </c:extLst>
                    <c:numCache>
                      <c:formatCode>0.0</c:formatCode>
                      <c:ptCount val="14"/>
                      <c:pt idx="0">
                        <c:v>2</c:v>
                      </c:pt>
                      <c:pt idx="1">
                        <c:v>3.3</c:v>
                      </c:pt>
                      <c:pt idx="2">
                        <c:v>3.3</c:v>
                      </c:pt>
                      <c:pt idx="3">
                        <c:v>2.6</c:v>
                      </c:pt>
                      <c:pt idx="4">
                        <c:v>3</c:v>
                      </c:pt>
                      <c:pt idx="5">
                        <c:v>3.8</c:v>
                      </c:pt>
                      <c:pt idx="6">
                        <c:v>3.1</c:v>
                      </c:pt>
                      <c:pt idx="7">
                        <c:v>2.9</c:v>
                      </c:pt>
                      <c:pt idx="9">
                        <c:v>3.8</c:v>
                      </c:pt>
                      <c:pt idx="10">
                        <c:v>4.0494003087519301</c:v>
                      </c:pt>
                      <c:pt idx="11">
                        <c:v>3.1</c:v>
                      </c:pt>
                      <c:pt idx="12">
                        <c:v>3.4</c:v>
                      </c:pt>
                      <c:pt idx="13">
                        <c:v>3.6</c:v>
                      </c:pt>
                    </c:numCache>
                  </c:numRef>
                </c:val>
                <c:extLst xmlns:c15="http://schemas.microsoft.com/office/drawing/2012/chart">
                  <c:ext xmlns:c16="http://schemas.microsoft.com/office/drawing/2014/chart" uri="{C3380CC4-5D6E-409C-BE32-E72D297353CC}">
                    <c16:uniqueId val="{00000000-61BB-43F2-A765-473349A22150}"/>
                  </c:ext>
                </c:extLst>
              </c15:ser>
            </c15:filteredBarSeries>
          </c:ext>
        </c:extLst>
      </c:barChart>
      <c:catAx>
        <c:axId val="533972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728"/>
        <c:crosses val="autoZero"/>
        <c:auto val="1"/>
        <c:lblAlgn val="ctr"/>
        <c:lblOffset val="100"/>
        <c:noMultiLvlLbl val="0"/>
      </c:catAx>
      <c:valAx>
        <c:axId val="533972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Unemployment!$L$7:$L$14</c:f>
              <c:numCache>
                <c:formatCode>#,##0</c:formatCode>
                <c:ptCount val="8"/>
                <c:pt idx="0">
                  <c:v>-800</c:v>
                </c:pt>
                <c:pt idx="1">
                  <c:v>-700</c:v>
                </c:pt>
                <c:pt idx="2">
                  <c:v>-10700</c:v>
                </c:pt>
                <c:pt idx="3">
                  <c:v>-1600</c:v>
                </c:pt>
                <c:pt idx="4">
                  <c:v>-2700</c:v>
                </c:pt>
                <c:pt idx="5">
                  <c:v>0</c:v>
                </c:pt>
                <c:pt idx="6">
                  <c:v>-1900</c:v>
                </c:pt>
                <c:pt idx="7">
                  <c:v>-800</c:v>
                </c:pt>
              </c:numCache>
            </c:numRef>
          </c:val>
          <c:extLst>
            <c:ext xmlns:c16="http://schemas.microsoft.com/office/drawing/2014/chart" uri="{C3380CC4-5D6E-409C-BE32-E72D297353CC}">
              <c16:uniqueId val="{00000005-36A8-4F44-A6BF-0596D1B2565A}"/>
            </c:ext>
          </c:extLst>
        </c:ser>
        <c:dLbls>
          <c:showLegendKey val="0"/>
          <c:showVal val="0"/>
          <c:showCatName val="0"/>
          <c:showSerName val="0"/>
          <c:showPercent val="0"/>
          <c:showBubbleSize val="0"/>
        </c:dLbls>
        <c:gapWidth val="219"/>
        <c:axId val="533973512"/>
        <c:axId val="533973904"/>
        <c:extLst/>
      </c:barChart>
      <c:catAx>
        <c:axId val="533973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904"/>
        <c:crosses val="autoZero"/>
        <c:auto val="1"/>
        <c:lblAlgn val="ctr"/>
        <c:lblOffset val="100"/>
        <c:noMultiLvlLbl val="0"/>
      </c:catAx>
      <c:valAx>
        <c:axId val="53397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Employment!$C$2</c:f>
          <c:strCache>
            <c:ptCount val="1"/>
            <c:pt idx="0">
              <c:v>Employment Rate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Employment!$G$6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f>Employment!$G$7:$G$20</c:f>
              <c:numCache>
                <c:formatCode>0.0</c:formatCode>
                <c:ptCount val="14"/>
                <c:pt idx="0">
                  <c:v>73.5</c:v>
                </c:pt>
                <c:pt idx="1">
                  <c:v>77.5</c:v>
                </c:pt>
                <c:pt idx="2">
                  <c:v>71.2</c:v>
                </c:pt>
                <c:pt idx="3">
                  <c:v>68.400000000000006</c:v>
                </c:pt>
                <c:pt idx="4">
                  <c:v>70.5</c:v>
                </c:pt>
                <c:pt idx="5">
                  <c:v>76.8</c:v>
                </c:pt>
                <c:pt idx="6">
                  <c:v>77.099999999999994</c:v>
                </c:pt>
                <c:pt idx="7">
                  <c:v>71.900000000000006</c:v>
                </c:pt>
                <c:pt idx="9">
                  <c:v>88.3</c:v>
                </c:pt>
                <c:pt idx="10">
                  <c:v>76.894142933906508</c:v>
                </c:pt>
                <c:pt idx="11">
                  <c:v>72.900000000000006</c:v>
                </c:pt>
                <c:pt idx="12">
                  <c:v>74.7</c:v>
                </c:pt>
                <c:pt idx="13">
                  <c:v>75.7</c:v>
                </c:pt>
              </c:numCache>
            </c:numRef>
          </c:val>
          <c:extLst>
            <c:ext xmlns:c16="http://schemas.microsoft.com/office/drawing/2014/chart" uri="{C3380CC4-5D6E-409C-BE32-E72D297353CC}">
              <c16:uniqueId val="{00000000-1147-47C7-BF59-A902C58FFA44}"/>
            </c:ext>
          </c:extLst>
        </c:ser>
        <c:dLbls>
          <c:showLegendKey val="0"/>
          <c:showVal val="0"/>
          <c:showCatName val="0"/>
          <c:showSerName val="0"/>
          <c:showPercent val="0"/>
          <c:showBubbleSize val="0"/>
        </c:dLbls>
        <c:gapWidth val="219"/>
        <c:overlap val="-27"/>
        <c:axId val="533257600"/>
        <c:axId val="533257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Employment!$C$7:$C$20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1147-47C7-BF59-A902C58FFA44}"/>
                  </c:ext>
                </c:extLst>
              </c15:ser>
            </c15:filteredBarSeries>
          </c:ext>
        </c:extLst>
      </c:barChart>
      <c:catAx>
        <c:axId val="53325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992"/>
        <c:crosses val="autoZero"/>
        <c:auto val="1"/>
        <c:lblAlgn val="ctr"/>
        <c:lblOffset val="100"/>
        <c:noMultiLvlLbl val="0"/>
      </c:catAx>
      <c:valAx>
        <c:axId val="533257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Employment!$L$7:$L$14</c:f>
              <c:numCache>
                <c:formatCode>#,##0</c:formatCode>
                <c:ptCount val="8"/>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5-8718-4025-A6C0-FBF0B3D085BC}"/>
            </c:ext>
          </c:extLst>
        </c:ser>
        <c:dLbls>
          <c:showLegendKey val="0"/>
          <c:showVal val="0"/>
          <c:showCatName val="0"/>
          <c:showSerName val="0"/>
          <c:showPercent val="0"/>
          <c:showBubbleSize val="0"/>
        </c:dLbls>
        <c:gapWidth val="219"/>
        <c:axId val="533258776"/>
        <c:axId val="533259168"/>
        <c:extLst/>
      </c:barChart>
      <c:catAx>
        <c:axId val="533258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9168"/>
        <c:crosses val="autoZero"/>
        <c:auto val="1"/>
        <c:lblAlgn val="ctr"/>
        <c:lblOffset val="100"/>
        <c:noMultiLvlLbl val="0"/>
      </c:catAx>
      <c:valAx>
        <c:axId val="53325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8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GB" sz="1000" b="1"/>
              <a:t>% Point Change Required</a:t>
            </a:r>
            <a:r>
              <a:rPr lang="en-GB" sz="1000" b="1" baseline="0"/>
              <a:t> to Match Geographical Comparison</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 Sectors'!$G$6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 Sectors'!$C$7:$C$20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Great Britain</c:v>
                </c:pt>
              </c:strCache>
            </c:strRef>
          </c:cat>
          <c:val>
            <c:numRef>
              <c:f>'Low Pay Sectors'!$G$7:$G$20</c:f>
              <c:numCache>
                <c:formatCode>0.0</c:formatCode>
                <c:ptCount val="14"/>
                <c:pt idx="0">
                  <c:v>26.9</c:v>
                </c:pt>
                <c:pt idx="1">
                  <c:v>33.299999999999997</c:v>
                </c:pt>
                <c:pt idx="2">
                  <c:v>29.9</c:v>
                </c:pt>
                <c:pt idx="3">
                  <c:v>29.2</c:v>
                </c:pt>
                <c:pt idx="4">
                  <c:v>26.7</c:v>
                </c:pt>
                <c:pt idx="5">
                  <c:v>34.5</c:v>
                </c:pt>
                <c:pt idx="6">
                  <c:v>30.5</c:v>
                </c:pt>
                <c:pt idx="7">
                  <c:v>27.3</c:v>
                </c:pt>
                <c:pt idx="9">
                  <c:v>20.8</c:v>
                </c:pt>
                <c:pt idx="10">
                  <c:v>27.592294455223815</c:v>
                </c:pt>
                <c:pt idx="11">
                  <c:v>30</c:v>
                </c:pt>
                <c:pt idx="12">
                  <c:v>28.8</c:v>
                </c:pt>
                <c:pt idx="13">
                  <c:v>30.2</c:v>
                </c:pt>
              </c:numCache>
            </c:numRef>
          </c:val>
          <c:extLst>
            <c:ext xmlns:c16="http://schemas.microsoft.com/office/drawing/2014/chart" uri="{C3380CC4-5D6E-409C-BE32-E72D297353CC}">
              <c16:uniqueId val="{00000000-5EB1-4C79-AA37-2D91823FB59D}"/>
            </c:ext>
          </c:extLst>
        </c:ser>
        <c:dLbls>
          <c:showLegendKey val="0"/>
          <c:showVal val="0"/>
          <c:showCatName val="0"/>
          <c:showSerName val="0"/>
          <c:showPercent val="0"/>
          <c:showBubbleSize val="0"/>
        </c:dLbls>
        <c:gapWidth val="219"/>
        <c:overlap val="-27"/>
        <c:axId val="533975080"/>
        <c:axId val="53397547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 Sectors'!$C$7:$C$20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Great Britain</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5EB1-4C79-AA37-2D91823FB59D}"/>
                  </c:ext>
                </c:extLst>
              </c15:ser>
            </c15:filteredBarSeries>
          </c:ext>
        </c:extLst>
      </c:barChart>
      <c:catAx>
        <c:axId val="533975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472"/>
        <c:crosses val="autoZero"/>
        <c:auto val="1"/>
        <c:lblAlgn val="ctr"/>
        <c:lblOffset val="100"/>
        <c:noMultiLvlLbl val="0"/>
      </c:catAx>
      <c:valAx>
        <c:axId val="53397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Poverty'!$C$2</c:f>
          <c:strCache>
            <c:ptCount val="1"/>
            <c:pt idx="0">
              <c:v>% Dwellings in Fuel Poverty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'Fuel Poverty'!$G$6</c:f>
              <c:strCache>
                <c:ptCount val="1"/>
                <c:pt idx="0">
                  <c:v>17/19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'Fuel Poverty'!$C$7:$C$20</c15:sqref>
                  </c15:fullRef>
                </c:ext>
              </c:extLst>
              <c:f>'Fuel Poverty'!$C$7:$C$19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1 Average</c:v>
                </c:pt>
                <c:pt idx="11">
                  <c:v>Glasgow City Region</c:v>
                </c:pt>
                <c:pt idx="12">
                  <c:v>Scotland</c:v>
                </c:pt>
              </c:strCache>
            </c:strRef>
          </c:cat>
          <c:val>
            <c:numRef>
              <c:extLst>
                <c:ext xmlns:c15="http://schemas.microsoft.com/office/drawing/2012/chart" uri="{02D57815-91ED-43cb-92C2-25804820EDAC}">
                  <c15:fullRef>
                    <c15:sqref>'Fuel Poverty'!$G$7:$G$20</c15:sqref>
                  </c15:fullRef>
                </c:ext>
              </c:extLst>
              <c:f>'Fuel Poverty'!$G$7:$G$19</c:f>
              <c:numCache>
                <c:formatCode>0.0%</c:formatCode>
                <c:ptCount val="13"/>
                <c:pt idx="0">
                  <c:v>0.19548000000000001</c:v>
                </c:pt>
                <c:pt idx="1">
                  <c:v>0.13085000000000002</c:v>
                </c:pt>
                <c:pt idx="2">
                  <c:v>0.25273000000000001</c:v>
                </c:pt>
                <c:pt idx="3">
                  <c:v>0.28364</c:v>
                </c:pt>
                <c:pt idx="4">
                  <c:v>0.19902</c:v>
                </c:pt>
                <c:pt idx="5">
                  <c:v>0.22235000000000002</c:v>
                </c:pt>
                <c:pt idx="6">
                  <c:v>0.21758000000000002</c:v>
                </c:pt>
                <c:pt idx="7">
                  <c:v>0.29189000000000004</c:v>
                </c:pt>
                <c:pt idx="9">
                  <c:v>0.13085000000000002</c:v>
                </c:pt>
                <c:pt idx="10">
                  <c:v>0.29469103212771408</c:v>
                </c:pt>
                <c:pt idx="11">
                  <c:v>0.22842307229534142</c:v>
                </c:pt>
                <c:pt idx="12">
                  <c:v>0.24408000000000002</c:v>
                </c:pt>
              </c:numCache>
            </c:numRef>
          </c:val>
          <c:extLst>
            <c:ext xmlns:c16="http://schemas.microsoft.com/office/drawing/2014/chart" uri="{C3380CC4-5D6E-409C-BE32-E72D297353CC}">
              <c16:uniqueId val="{00000000-B787-42D5-A207-51FC127B1D42}"/>
            </c:ext>
          </c:extLst>
        </c:ser>
        <c:dLbls>
          <c:showLegendKey val="0"/>
          <c:showVal val="0"/>
          <c:showCatName val="0"/>
          <c:showSerName val="0"/>
          <c:showPercent val="0"/>
          <c:showBubbleSize val="0"/>
        </c:dLbls>
        <c:gapWidth val="219"/>
        <c:overlap val="-27"/>
        <c:axId val="234398024"/>
        <c:axId val="477401448"/>
        <c:extLst>
          <c:ext xmlns:c15="http://schemas.microsoft.com/office/drawing/2012/chart" uri="{02D57815-91ED-43cb-92C2-25804820EDAC}">
            <c15:filteredBarSeries>
              <c15:ser>
                <c:idx val="8"/>
                <c:order val="1"/>
                <c:tx>
                  <c:strRef>
                    <c:extLst>
                      <c:ext uri="{02D57815-91ED-43cb-92C2-25804820EDAC}">
                        <c15:formulaRef>
                          <c15:sqref>'Fuel Poverty'!$L$6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'Fuel Poverty'!$C$7:$C$20</c15:sqref>
                        </c15:fullRef>
                        <c15:formulaRef>
                          <c15:sqref>'Fuel Poverty'!$C$7:$C$19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1 Average</c:v>
                      </c:pt>
                      <c:pt idx="11">
                        <c:v>Glasgow City Region</c:v>
                      </c:pt>
                      <c:pt idx="12">
                        <c:v>Scotland</c:v>
                      </c:pt>
                    </c:strCache>
                  </c:strRef>
                </c:cat>
                <c:val>
                  <c:numRef>
                    <c:extLst>
                      <c:ext uri="{02D57815-91ED-43cb-92C2-25804820EDAC}">
                        <c15:fullRef>
                          <c15:sqref>'Fuel Poverty'!$L$7:$L$20</c15:sqref>
                        </c15:fullRef>
                        <c15:formulaRef>
                          <c15:sqref>'Fuel Poverty'!$L$7:$L$19</c15:sqref>
                        </c15:formulaRef>
                      </c:ext>
                    </c:extLst>
                    <c:numCache>
                      <c:formatCode>#,##0</c:formatCode>
                      <c:ptCount val="13"/>
                      <c:pt idx="0">
                        <c:v>-3000</c:v>
                      </c:pt>
                      <c:pt idx="1">
                        <c:v>0</c:v>
                      </c:pt>
                      <c:pt idx="2">
                        <c:v>-35900</c:v>
                      </c:pt>
                      <c:pt idx="3">
                        <c:v>-5800</c:v>
                      </c:pt>
                      <c:pt idx="4">
                        <c:v>-10400</c:v>
                      </c:pt>
                      <c:pt idx="5">
                        <c:v>-8000</c:v>
                      </c:pt>
                      <c:pt idx="6">
                        <c:v>-12800</c:v>
                      </c:pt>
                      <c:pt idx="7">
                        <c:v>-7000</c:v>
                      </c:pt>
                    </c:numCache>
                  </c:numRef>
                </c:val>
                <c:extLst>
                  <c:ext xmlns:c16="http://schemas.microsoft.com/office/drawing/2014/chart" uri="{C3380CC4-5D6E-409C-BE32-E72D297353CC}">
                    <c16:uniqueId val="{00000002-B787-42D5-A207-51FC127B1D42}"/>
                  </c:ext>
                </c:extLst>
              </c15:ser>
            </c15:filteredBarSeries>
          </c:ext>
        </c:extLst>
      </c:barChart>
      <c:catAx>
        <c:axId val="2343980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01448"/>
        <c:crosses val="autoZero"/>
        <c:auto val="1"/>
        <c:lblAlgn val="ctr"/>
        <c:lblOffset val="100"/>
        <c:noMultiLvlLbl val="0"/>
      </c:catAx>
      <c:valAx>
        <c:axId val="477401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398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 Sectors'!$F$22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 Sectors'!$L$6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'Low Pay Sectors'!$L$7:$L$14</c15:sqref>
                  </c15:fullRef>
                </c:ext>
              </c:extLst>
              <c:f>'Low Pay Sectors'!$L$7:$L$14</c:f>
              <c:numCache>
                <c:formatCode>#,##0</c:formatCode>
                <c:ptCount val="8"/>
                <c:pt idx="0">
                  <c:v>-1600</c:v>
                </c:pt>
                <c:pt idx="1">
                  <c:v>-2600</c:v>
                </c:pt>
                <c:pt idx="2">
                  <c:v>-40200</c:v>
                </c:pt>
                <c:pt idx="3">
                  <c:v>-2000</c:v>
                </c:pt>
                <c:pt idx="4">
                  <c:v>-7700</c:v>
                </c:pt>
                <c:pt idx="5">
                  <c:v>-11500</c:v>
                </c:pt>
                <c:pt idx="6">
                  <c:v>-11400</c:v>
                </c:pt>
                <c:pt idx="7">
                  <c:v>-2100</c:v>
                </c:pt>
              </c:numCache>
            </c:numRef>
          </c:val>
          <c:extLst>
            <c:ext xmlns:c16="http://schemas.microsoft.com/office/drawing/2014/chart" uri="{C3380CC4-5D6E-409C-BE32-E72D297353CC}">
              <c16:uniqueId val="{00000000-D01A-4A55-B0C9-776F59CE20EE}"/>
            </c:ext>
          </c:extLst>
        </c:ser>
        <c:dLbls>
          <c:showLegendKey val="0"/>
          <c:showVal val="0"/>
          <c:showCatName val="0"/>
          <c:showSerName val="0"/>
          <c:showPercent val="0"/>
          <c:showBubbleSize val="0"/>
        </c:dLbls>
        <c:gapWidth val="219"/>
        <c:axId val="533976256"/>
        <c:axId val="53397664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D01A-4A55-B0C9-776F59CE20E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D01A-4A55-B0C9-776F59CE20EE}"/>
                  </c:ext>
                </c:extLst>
              </c15:ser>
            </c15:filteredBarSeries>
          </c:ext>
        </c:extLst>
      </c:barChart>
      <c:catAx>
        <c:axId val="533976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648"/>
        <c:crosses val="autoZero"/>
        <c:auto val="1"/>
        <c:lblAlgn val="ctr"/>
        <c:lblOffset val="100"/>
        <c:noMultiLvlLbl val="0"/>
      </c:catAx>
      <c:valAx>
        <c:axId val="53397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Earnings!$C$2</c:f>
          <c:strCache>
            <c:ptCount val="1"/>
            <c:pt idx="0">
              <c:v>Median Weekly Earnings (Residence-based, full-time)</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Earnings!$G$6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Earnings!$C$7:$C$20</c15:sqref>
                  </c15:fullRef>
                </c:ext>
              </c:extLst>
              <c:f>(Earnings!$C$7:$C$15,Earnings!$C$17,Earnings!$C$19:$C$20)</c:f>
              <c:strCache>
                <c:ptCount val="12"/>
                <c:pt idx="0">
                  <c:v>East Dunbartonshire</c:v>
                </c:pt>
                <c:pt idx="1">
                  <c:v>East Renfrewshire</c:v>
                </c:pt>
                <c:pt idx="2">
                  <c:v>Glasgow City</c:v>
                </c:pt>
                <c:pt idx="3">
                  <c:v>Inverclyde</c:v>
                </c:pt>
                <c:pt idx="4">
                  <c:v>North Lanarkshire</c:v>
                </c:pt>
                <c:pt idx="5">
                  <c:v>Renfrewshire</c:v>
                </c:pt>
                <c:pt idx="6">
                  <c:v>South Lanarkshire</c:v>
                </c:pt>
                <c:pt idx="7">
                  <c:v>West Dunbartonshire</c:v>
                </c:pt>
                <c:pt idx="9">
                  <c:v>LGBF Family Group 4 Average</c:v>
                </c:pt>
                <c:pt idx="10">
                  <c:v>Scotland</c:v>
                </c:pt>
                <c:pt idx="11">
                  <c:v>United Kingdom</c:v>
                </c:pt>
              </c:strCache>
            </c:strRef>
          </c:cat>
          <c:val>
            <c:numRef>
              <c:extLst>
                <c:ext xmlns:c15="http://schemas.microsoft.com/office/drawing/2012/chart" uri="{02D57815-91ED-43cb-92C2-25804820EDAC}">
                  <c15:fullRef>
                    <c15:sqref>Earnings!$G$7:$G$20</c15:sqref>
                  </c15:fullRef>
                </c:ext>
              </c:extLst>
              <c:f>(Earnings!$G$7:$G$15,Earnings!$G$17,Earnings!$G$19:$G$20)</c:f>
              <c:numCache>
                <c:formatCode>"£"#,##0.0</c:formatCode>
                <c:ptCount val="12"/>
                <c:pt idx="0">
                  <c:v>822.8</c:v>
                </c:pt>
                <c:pt idx="1">
                  <c:v>858.7</c:v>
                </c:pt>
                <c:pt idx="2">
                  <c:v>681.4</c:v>
                </c:pt>
                <c:pt idx="3">
                  <c:v>718.5</c:v>
                </c:pt>
                <c:pt idx="4">
                  <c:v>705.7</c:v>
                </c:pt>
                <c:pt idx="5">
                  <c:v>715.7</c:v>
                </c:pt>
                <c:pt idx="6">
                  <c:v>729.6</c:v>
                </c:pt>
                <c:pt idx="7">
                  <c:v>682</c:v>
                </c:pt>
                <c:pt idx="9">
                  <c:v>703.65</c:v>
                </c:pt>
                <c:pt idx="10">
                  <c:v>702.4</c:v>
                </c:pt>
                <c:pt idx="11">
                  <c:v>681.7</c:v>
                </c:pt>
              </c:numCache>
            </c:numRef>
          </c:val>
          <c:extLst>
            <c:ext xmlns:c16="http://schemas.microsoft.com/office/drawing/2014/chart" uri="{C3380CC4-5D6E-409C-BE32-E72D297353CC}">
              <c16:uniqueId val="{00000000-C691-4049-BBF8-9258BA29C779}"/>
            </c:ext>
          </c:extLst>
        </c:ser>
        <c:dLbls>
          <c:showLegendKey val="0"/>
          <c:showVal val="0"/>
          <c:showCatName val="0"/>
          <c:showSerName val="0"/>
          <c:showPercent val="0"/>
          <c:showBubbleSize val="0"/>
        </c:dLbls>
        <c:gapWidth val="219"/>
        <c:overlap val="-27"/>
        <c:axId val="533979392"/>
        <c:axId val="5339797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Earnings!$C$7:$C$20</c15:sqref>
                        </c15:fullRef>
                        <c15:formulaRef>
                          <c15:sqref>(Earnings!$C$7:$C$15,Earnings!$C$17,Earnings!$C$19:$C$20)</c15:sqref>
                        </c15:formulaRef>
                      </c:ext>
                    </c:extLst>
                    <c:strCache>
                      <c:ptCount val="12"/>
                      <c:pt idx="0">
                        <c:v>East Dunbartonshire</c:v>
                      </c:pt>
                      <c:pt idx="1">
                        <c:v>East Renfrewshire</c:v>
                      </c:pt>
                      <c:pt idx="2">
                        <c:v>Glasgow City</c:v>
                      </c:pt>
                      <c:pt idx="3">
                        <c:v>Inverclyde</c:v>
                      </c:pt>
                      <c:pt idx="4">
                        <c:v>North Lanarkshire</c:v>
                      </c:pt>
                      <c:pt idx="5">
                        <c:v>Renfrewshire</c:v>
                      </c:pt>
                      <c:pt idx="6">
                        <c:v>South Lanarkshire</c:v>
                      </c:pt>
                      <c:pt idx="7">
                        <c:v>West Dunbartonshire</c:v>
                      </c:pt>
                      <c:pt idx="9">
                        <c:v>LGBF Family Group 4 Average</c:v>
                      </c:pt>
                      <c:pt idx="10">
                        <c:v>Scotland</c:v>
                      </c:pt>
                      <c:pt idx="11">
                        <c:v>United Kingdom</c:v>
                      </c:pt>
                    </c:strCache>
                  </c:strRef>
                </c:cat>
                <c:val>
                  <c:numRef>
                    <c:extLst>
                      <c:ext uri="{02D57815-91ED-43cb-92C2-25804820EDAC}">
                        <c15:fullRef>
                          <c15:sqref>Employment!$L$7:$L$20</c15:sqref>
                        </c15:fullRef>
                        <c15:formulaRef>
                          <c15:sqref>(Employment!$L$7:$L$15,Employment!$L$17,Employment!$L$19:$L$20)</c15:sqref>
                        </c15:formulaRef>
                      </c:ext>
                    </c:extLst>
                    <c:numCache>
                      <c:formatCode>#,##0</c:formatCode>
                      <c:ptCount val="12"/>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C691-4049-BBF8-9258BA29C779}"/>
                  </c:ext>
                </c:extLst>
              </c15:ser>
            </c15:filteredBarSeries>
          </c:ext>
        </c:extLst>
      </c:barChart>
      <c:catAx>
        <c:axId val="53397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784"/>
        <c:crosses val="autoZero"/>
        <c:auto val="1"/>
        <c:lblAlgn val="ctr"/>
        <c:lblOffset val="100"/>
        <c:noMultiLvlLbl val="0"/>
      </c:catAx>
      <c:valAx>
        <c:axId val="533979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Earnings!$K$7:$K$14</c15:sqref>
                  </c15:fullRef>
                </c:ext>
              </c:extLst>
              <c:f>Earnings!$K$7:$K$14</c:f>
              <c:numCache>
                <c:formatCode>"£"#,##0.0</c:formatCode>
                <c:ptCount val="8"/>
                <c:pt idx="0">
                  <c:v>70.5</c:v>
                </c:pt>
                <c:pt idx="1">
                  <c:v>34.599999999999909</c:v>
                </c:pt>
                <c:pt idx="2">
                  <c:v>211.89999999999998</c:v>
                </c:pt>
                <c:pt idx="3">
                  <c:v>174.79999999999995</c:v>
                </c:pt>
                <c:pt idx="4">
                  <c:v>187.59999999999991</c:v>
                </c:pt>
                <c:pt idx="5">
                  <c:v>177.59999999999991</c:v>
                </c:pt>
                <c:pt idx="6">
                  <c:v>163.69999999999993</c:v>
                </c:pt>
                <c:pt idx="7">
                  <c:v>211.29999999999995</c:v>
                </c:pt>
              </c:numCache>
            </c:numRef>
          </c:val>
          <c:extLst>
            <c:ext xmlns:c16="http://schemas.microsoft.com/office/drawing/2014/chart" uri="{C3380CC4-5D6E-409C-BE32-E72D297353CC}">
              <c16:uniqueId val="{00000000-88FB-4E52-A6C0-19B3CABABA8E}"/>
            </c:ext>
          </c:extLst>
        </c:ser>
        <c:dLbls>
          <c:showLegendKey val="0"/>
          <c:showVal val="0"/>
          <c:showCatName val="0"/>
          <c:showSerName val="0"/>
          <c:showPercent val="0"/>
          <c:showBubbleSize val="0"/>
        </c:dLbls>
        <c:gapWidth val="219"/>
        <c:axId val="533765584"/>
        <c:axId val="533765976"/>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88FB-4E52-A6C0-19B3CABABA8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88FB-4E52-A6C0-19B3CABABA8E}"/>
                  </c:ext>
                </c:extLst>
              </c15:ser>
            </c15:filteredBarSeries>
          </c:ext>
        </c:extLst>
      </c:barChart>
      <c:catAx>
        <c:axId val="533765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976"/>
        <c:crosses val="autoZero"/>
        <c:auto val="1"/>
        <c:lblAlgn val="ctr"/>
        <c:lblOffset val="100"/>
        <c:noMultiLvlLbl val="0"/>
      </c:catAx>
      <c:valAx>
        <c:axId val="533765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Earnings'!$C$2</c:f>
          <c:strCache>
            <c:ptCount val="1"/>
            <c:pt idx="0">
              <c:v>20th Percentile Weekly Earnings (Residence-based, FT)</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Earnings'!$G$6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Earnings'!$C$7:$C$20</c15:sqref>
                  </c15:fullRef>
                </c:ext>
              </c:extLst>
              <c:f>('Low Earnings'!$C$7:$C$15,'Low Earnings'!$C$18:$C$20)</c:f>
              <c:strCache>
                <c:ptCount val="12"/>
                <c:pt idx="0">
                  <c:v>East Dunbartonshire</c:v>
                </c:pt>
                <c:pt idx="1">
                  <c:v>East Renfrewshire</c:v>
                </c:pt>
                <c:pt idx="2">
                  <c:v>Glasgow City</c:v>
                </c:pt>
                <c:pt idx="3">
                  <c:v>Inverclyde</c:v>
                </c:pt>
                <c:pt idx="4">
                  <c:v>North Lanarkshire</c:v>
                </c:pt>
                <c:pt idx="5">
                  <c:v>Renfrewshire</c:v>
                </c:pt>
                <c:pt idx="6">
                  <c:v>South Lanarkshire</c:v>
                </c:pt>
                <c:pt idx="7">
                  <c:v>West Dunbartonshire</c:v>
                </c:pt>
                <c:pt idx="9">
                  <c:v>Glasgow City Region</c:v>
                </c:pt>
                <c:pt idx="10">
                  <c:v>Scotland</c:v>
                </c:pt>
                <c:pt idx="11">
                  <c:v>United Kingdom</c:v>
                </c:pt>
              </c:strCache>
            </c:strRef>
          </c:cat>
          <c:val>
            <c:numRef>
              <c:extLst>
                <c:ext xmlns:c15="http://schemas.microsoft.com/office/drawing/2012/chart" uri="{02D57815-91ED-43cb-92C2-25804820EDAC}">
                  <c15:fullRef>
                    <c15:sqref>'Low Earnings'!$G$7:$G$20</c15:sqref>
                  </c15:fullRef>
                </c:ext>
              </c:extLst>
              <c:f>('Low Earnings'!$G$7:$G$15,'Low Earnings'!$G$18:$G$20)</c:f>
              <c:numCache>
                <c:formatCode>"£"#,##0.0</c:formatCode>
                <c:ptCount val="12"/>
                <c:pt idx="0">
                  <c:v>566.9</c:v>
                </c:pt>
                <c:pt idx="1">
                  <c:v>574.9</c:v>
                </c:pt>
                <c:pt idx="2">
                  <c:v>492.1</c:v>
                </c:pt>
                <c:pt idx="3">
                  <c:v>537.4</c:v>
                </c:pt>
                <c:pt idx="4">
                  <c:v>508.2</c:v>
                </c:pt>
                <c:pt idx="5">
                  <c:v>509.4</c:v>
                </c:pt>
                <c:pt idx="6">
                  <c:v>525.20000000000005</c:v>
                </c:pt>
                <c:pt idx="7">
                  <c:v>488.1</c:v>
                </c:pt>
                <c:pt idx="9">
                  <c:v>525.27500000000009</c:v>
                </c:pt>
                <c:pt idx="10">
                  <c:v>499.7</c:v>
                </c:pt>
                <c:pt idx="11">
                  <c:v>490.5</c:v>
                </c:pt>
              </c:numCache>
            </c:numRef>
          </c:val>
          <c:extLst>
            <c:ext xmlns:c16="http://schemas.microsoft.com/office/drawing/2014/chart" uri="{C3380CC4-5D6E-409C-BE32-E72D297353CC}">
              <c16:uniqueId val="{00000000-F8A2-4704-A6C2-6DF7B7E94954}"/>
            </c:ext>
          </c:extLst>
        </c:ser>
        <c:dLbls>
          <c:showLegendKey val="0"/>
          <c:showVal val="0"/>
          <c:showCatName val="0"/>
          <c:showSerName val="0"/>
          <c:showPercent val="0"/>
          <c:showBubbleSize val="0"/>
        </c:dLbls>
        <c:gapWidth val="219"/>
        <c:overlap val="-27"/>
        <c:axId val="533766760"/>
        <c:axId val="53376715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'Low Earnings'!$C$7:$C$20</c15:sqref>
                        </c15:fullRef>
                        <c15:formulaRef>
                          <c15:sqref>('Low Earnings'!$C$7:$C$15,'Low Earnings'!$C$18:$C$20)</c15:sqref>
                        </c15:formulaRef>
                      </c:ext>
                    </c:extLst>
                    <c:strCache>
                      <c:ptCount val="12"/>
                      <c:pt idx="0">
                        <c:v>East Dunbartonshire</c:v>
                      </c:pt>
                      <c:pt idx="1">
                        <c:v>East Renfrewshire</c:v>
                      </c:pt>
                      <c:pt idx="2">
                        <c:v>Glasgow City</c:v>
                      </c:pt>
                      <c:pt idx="3">
                        <c:v>Inverclyde</c:v>
                      </c:pt>
                      <c:pt idx="4">
                        <c:v>North Lanarkshire</c:v>
                      </c:pt>
                      <c:pt idx="5">
                        <c:v>Renfrewshire</c:v>
                      </c:pt>
                      <c:pt idx="6">
                        <c:v>South Lanarkshire</c:v>
                      </c:pt>
                      <c:pt idx="7">
                        <c:v>West Dunbartonshire</c:v>
                      </c:pt>
                      <c:pt idx="9">
                        <c:v>Glasgow City Region</c:v>
                      </c:pt>
                      <c:pt idx="10">
                        <c:v>Scotland</c:v>
                      </c:pt>
                      <c:pt idx="11">
                        <c:v>United Kingdom</c:v>
                      </c:pt>
                    </c:strCache>
                  </c:strRef>
                </c:cat>
                <c:val>
                  <c:numRef>
                    <c:extLst>
                      <c:ext uri="{02D57815-91ED-43cb-92C2-25804820EDAC}">
                        <c15:fullRef>
                          <c15:sqref>Employment!$L$7:$L$20</c15:sqref>
                        </c15:fullRef>
                        <c15:formulaRef>
                          <c15:sqref>(Employment!$L$7:$L$15,Employment!$L$18:$L$20)</c15:sqref>
                        </c15:formulaRef>
                      </c:ext>
                    </c:extLst>
                    <c:numCache>
                      <c:formatCode>#,##0</c:formatCode>
                      <c:ptCount val="12"/>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F8A2-4704-A6C2-6DF7B7E94954}"/>
                  </c:ext>
                </c:extLst>
              </c15:ser>
            </c15:filteredBarSeries>
          </c:ext>
        </c:extLst>
      </c:barChart>
      <c:catAx>
        <c:axId val="533766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152"/>
        <c:crosses val="autoZero"/>
        <c:auto val="1"/>
        <c:lblAlgn val="ctr"/>
        <c:lblOffset val="100"/>
        <c:noMultiLvlLbl val="0"/>
      </c:catAx>
      <c:valAx>
        <c:axId val="5337671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6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'Low Earnings'!$K$7:$K$14</c15:sqref>
                  </c15:fullRef>
                </c:ext>
              </c:extLst>
              <c:f>'Low Earnings'!$K$7:$K$14</c:f>
              <c:numCache>
                <c:formatCode>"£"#,##0.0</c:formatCode>
                <c:ptCount val="8"/>
                <c:pt idx="0">
                  <c:v>68.300000000000068</c:v>
                </c:pt>
                <c:pt idx="1">
                  <c:v>60.300000000000068</c:v>
                </c:pt>
                <c:pt idx="2">
                  <c:v>143.10000000000002</c:v>
                </c:pt>
                <c:pt idx="3">
                  <c:v>97.800000000000068</c:v>
                </c:pt>
                <c:pt idx="4">
                  <c:v>127.00000000000006</c:v>
                </c:pt>
                <c:pt idx="5">
                  <c:v>125.80000000000007</c:v>
                </c:pt>
                <c:pt idx="6">
                  <c:v>110</c:v>
                </c:pt>
                <c:pt idx="7">
                  <c:v>147.10000000000002</c:v>
                </c:pt>
              </c:numCache>
            </c:numRef>
          </c:val>
          <c:extLst>
            <c:ext xmlns:c16="http://schemas.microsoft.com/office/drawing/2014/chart" uri="{C3380CC4-5D6E-409C-BE32-E72D297353CC}">
              <c16:uniqueId val="{00000000-40D3-49E2-A801-F344A2847E58}"/>
            </c:ext>
          </c:extLst>
        </c:ser>
        <c:dLbls>
          <c:showLegendKey val="0"/>
          <c:showVal val="0"/>
          <c:showCatName val="0"/>
          <c:showSerName val="0"/>
          <c:showPercent val="0"/>
          <c:showBubbleSize val="0"/>
        </c:dLbls>
        <c:gapWidth val="219"/>
        <c:axId val="533767936"/>
        <c:axId val="53376832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40D3-49E2-A801-F344A2847E5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40D3-49E2-A801-F344A2847E58}"/>
                  </c:ext>
                </c:extLst>
              </c15:ser>
            </c15:filteredBarSeries>
          </c:ext>
        </c:extLst>
      </c:barChart>
      <c:catAx>
        <c:axId val="533767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8328"/>
        <c:crosses val="autoZero"/>
        <c:auto val="1"/>
        <c:lblAlgn val="ctr"/>
        <c:lblOffset val="100"/>
        <c:noMultiLvlLbl val="0"/>
      </c:catAx>
      <c:valAx>
        <c:axId val="533768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GB" sz="1000" b="1"/>
              <a:t>% Point Change Required</a:t>
            </a:r>
            <a:r>
              <a:rPr lang="en-GB" sz="1000" b="1" baseline="0"/>
              <a:t> to Match Geographical Comparison</a:t>
            </a:r>
            <a:endParaRPr lang="en-GB"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Underemployment!$G$6</c:f>
              <c:strCache>
                <c:ptCount val="1"/>
                <c:pt idx="0">
                  <c:v>2020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Underemployment!$C$7:$C$20</c15:sqref>
                  </c15:fullRef>
                </c:ext>
              </c:extLst>
              <c:f>(Underemployment!$C$7:$C$12,Underemployment!$C$14:$C$18,Underemployment!$C$20)</c:f>
              <c:strCache>
                <c:ptCount val="12"/>
                <c:pt idx="0">
                  <c:v>East Dunbartonshire</c:v>
                </c:pt>
                <c:pt idx="1">
                  <c:v>East Renfrewshire</c:v>
                </c:pt>
                <c:pt idx="2">
                  <c:v>Glasgow City</c:v>
                </c:pt>
                <c:pt idx="3">
                  <c:v>Inverclyde</c:v>
                </c:pt>
                <c:pt idx="4">
                  <c:v>North Lanarkshire</c:v>
                </c:pt>
                <c:pt idx="5">
                  <c:v>Renfrewshire</c:v>
                </c:pt>
                <c:pt idx="6">
                  <c:v>West Dunbartonshire</c:v>
                </c:pt>
                <c:pt idx="8">
                  <c:v>Falkirk</c:v>
                </c:pt>
                <c:pt idx="9">
                  <c:v>LGBF Family Group 3 Average</c:v>
                </c:pt>
                <c:pt idx="10">
                  <c:v>Glasgow City Region</c:v>
                </c:pt>
                <c:pt idx="11">
                  <c:v>United Kingdom</c:v>
                </c:pt>
              </c:strCache>
            </c:strRef>
          </c:cat>
          <c:val>
            <c:numRef>
              <c:extLst>
                <c:ext xmlns:c15="http://schemas.microsoft.com/office/drawing/2012/chart" uri="{02D57815-91ED-43cb-92C2-25804820EDAC}">
                  <c15:fullRef>
                    <c15:sqref>Underemployment!$G$7:$G$20</c15:sqref>
                  </c15:fullRef>
                </c:ext>
              </c:extLst>
              <c:f>(Underemployment!$G$7:$G$12,Underemployment!$G$14:$G$18,Underemployment!$G$20)</c:f>
              <c:numCache>
                <c:formatCode>0.0</c:formatCode>
                <c:ptCount val="12"/>
                <c:pt idx="0">
                  <c:v>5.9</c:v>
                </c:pt>
                <c:pt idx="1">
                  <c:v>8.3000000000000007</c:v>
                </c:pt>
                <c:pt idx="2">
                  <c:v>6.3</c:v>
                </c:pt>
                <c:pt idx="3">
                  <c:v>7.2</c:v>
                </c:pt>
                <c:pt idx="4">
                  <c:v>9.1</c:v>
                </c:pt>
                <c:pt idx="5">
                  <c:v>9.5</c:v>
                </c:pt>
                <c:pt idx="6">
                  <c:v>6</c:v>
                </c:pt>
                <c:pt idx="8">
                  <c:v>3.4</c:v>
                </c:pt>
                <c:pt idx="9">
                  <c:v>8.1982519670906342</c:v>
                </c:pt>
                <c:pt idx="10">
                  <c:v>7.391824808634845</c:v>
                </c:pt>
                <c:pt idx="11">
                  <c:v>0</c:v>
                </c:pt>
              </c:numCache>
            </c:numRef>
          </c:val>
          <c:extLst>
            <c:ext xmlns:c16="http://schemas.microsoft.com/office/drawing/2014/chart" uri="{C3380CC4-5D6E-409C-BE32-E72D297353CC}">
              <c16:uniqueId val="{00000000-4B3B-40B3-87FD-C7DA6834E81C}"/>
            </c:ext>
          </c:extLst>
        </c:ser>
        <c:dLbls>
          <c:showLegendKey val="0"/>
          <c:showVal val="0"/>
          <c:showCatName val="0"/>
          <c:showSerName val="0"/>
          <c:showPercent val="0"/>
          <c:showBubbleSize val="0"/>
        </c:dLbls>
        <c:gapWidth val="219"/>
        <c:overlap val="-27"/>
        <c:axId val="534903600"/>
        <c:axId val="534903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Underemployment!$C$7:$C$20</c15:sqref>
                        </c15:fullRef>
                        <c15:formulaRef>
                          <c15:sqref>(Underemployment!$C$7:$C$12,Underemployment!$C$14:$C$18,Underemployment!$C$20)</c15:sqref>
                        </c15:formulaRef>
                      </c:ext>
                    </c:extLst>
                    <c:strCache>
                      <c:ptCount val="12"/>
                      <c:pt idx="0">
                        <c:v>East Dunbartonshire</c:v>
                      </c:pt>
                      <c:pt idx="1">
                        <c:v>East Renfrewshire</c:v>
                      </c:pt>
                      <c:pt idx="2">
                        <c:v>Glasgow City</c:v>
                      </c:pt>
                      <c:pt idx="3">
                        <c:v>Inverclyde</c:v>
                      </c:pt>
                      <c:pt idx="4">
                        <c:v>North Lanarkshire</c:v>
                      </c:pt>
                      <c:pt idx="5">
                        <c:v>Renfrewshire</c:v>
                      </c:pt>
                      <c:pt idx="6">
                        <c:v>West Dunbartonshire</c:v>
                      </c:pt>
                      <c:pt idx="8">
                        <c:v>Falkirk</c:v>
                      </c:pt>
                      <c:pt idx="9">
                        <c:v>LGBF Family Group 3 Average</c:v>
                      </c:pt>
                      <c:pt idx="10">
                        <c:v>Glasgow City Region</c:v>
                      </c:pt>
                      <c:pt idx="11">
                        <c:v>United Kingdom</c:v>
                      </c:pt>
                    </c:strCache>
                  </c:strRef>
                </c:cat>
                <c:val>
                  <c:numRef>
                    <c:extLst>
                      <c:ext uri="{02D57815-91ED-43cb-92C2-25804820EDAC}">
                        <c15:fullRef>
                          <c15:sqref>Employment!$L$7:$L$20</c15:sqref>
                        </c15:fullRef>
                        <c15:formulaRef>
                          <c15:sqref>(Employment!$L$7:$L$12,Employment!$L$14:$L$18,Employment!$L$20)</c15:sqref>
                        </c15:formulaRef>
                      </c:ext>
                    </c:extLst>
                    <c:numCache>
                      <c:formatCode>#,##0</c:formatCode>
                      <c:ptCount val="12"/>
                      <c:pt idx="0">
                        <c:v>9400</c:v>
                      </c:pt>
                      <c:pt idx="1">
                        <c:v>6000</c:v>
                      </c:pt>
                      <c:pt idx="2">
                        <c:v>74200</c:v>
                      </c:pt>
                      <c:pt idx="3">
                        <c:v>9400</c:v>
                      </c:pt>
                      <c:pt idx="4">
                        <c:v>39100</c:v>
                      </c:pt>
                      <c:pt idx="5">
                        <c:v>12900</c:v>
                      </c:pt>
                      <c:pt idx="6">
                        <c:v>9100</c:v>
                      </c:pt>
                    </c:numCache>
                  </c:numRef>
                </c:val>
                <c:extLst>
                  <c:ext xmlns:c16="http://schemas.microsoft.com/office/drawing/2014/chart" uri="{C3380CC4-5D6E-409C-BE32-E72D297353CC}">
                    <c16:uniqueId val="{00000002-4B3B-40B3-87FD-C7DA6834E81C}"/>
                  </c:ext>
                </c:extLst>
              </c15:ser>
            </c15:filteredBarSeries>
          </c:ext>
        </c:extLst>
      </c:barChart>
      <c:catAx>
        <c:axId val="534903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992"/>
        <c:crosses val="autoZero"/>
        <c:auto val="1"/>
        <c:lblAlgn val="ctr"/>
        <c:lblOffset val="100"/>
        <c:noMultiLvlLbl val="0"/>
      </c:catAx>
      <c:valAx>
        <c:axId val="534903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Underemployment!$F$22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what</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Underemployment!$C$7:$C$14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Underemployment!$L$7:$L$14</c:f>
              <c:numCache>
                <c:formatCode>#,##0</c:formatCode>
                <c:ptCount val="8"/>
                <c:pt idx="0">
                  <c:v>-1300</c:v>
                </c:pt>
                <c:pt idx="1">
                  <c:v>-2100</c:v>
                </c:pt>
                <c:pt idx="2">
                  <c:v>-8900</c:v>
                </c:pt>
                <c:pt idx="3">
                  <c:v>-1300</c:v>
                </c:pt>
                <c:pt idx="4">
                  <c:v>-8700</c:v>
                </c:pt>
                <c:pt idx="5">
                  <c:v>-5500</c:v>
                </c:pt>
                <c:pt idx="6">
                  <c:v>-6000</c:v>
                </c:pt>
                <c:pt idx="7">
                  <c:v>-1100</c:v>
                </c:pt>
              </c:numCache>
            </c:numRef>
          </c:val>
          <c:extLst>
            <c:ext xmlns:c16="http://schemas.microsoft.com/office/drawing/2014/chart" uri="{C3380CC4-5D6E-409C-BE32-E72D297353CC}">
              <c16:uniqueId val="{00000014-B0A9-40F2-8997-E78872CE74F2}"/>
            </c:ext>
          </c:extLst>
        </c:ser>
        <c:dLbls>
          <c:showLegendKey val="0"/>
          <c:showVal val="0"/>
          <c:showCatName val="0"/>
          <c:showSerName val="0"/>
          <c:showPercent val="0"/>
          <c:showBubbleSize val="0"/>
        </c:dLbls>
        <c:gapWidth val="219"/>
        <c:axId val="534904384"/>
        <c:axId val="534904776"/>
        <c:extLst/>
      </c:barChart>
      <c:catAx>
        <c:axId val="534904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776"/>
        <c:crosses val="autoZero"/>
        <c:auto val="1"/>
        <c:lblAlgn val="ctr"/>
        <c:lblOffset val="100"/>
        <c:noMultiLvlLbl val="0"/>
      </c:catAx>
      <c:valAx>
        <c:axId val="534904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 1 Occupation'!$C$2</c:f>
          <c:strCache>
            <c:ptCount val="1"/>
            <c:pt idx="0">
              <c:v>% Employed in SOC1 Occupations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 1 Occupation'!$G$6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 1 Occupation'!$C$7:$C$20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3 Average</c:v>
                </c:pt>
                <c:pt idx="11">
                  <c:v>Glasgow City Region</c:v>
                </c:pt>
                <c:pt idx="12">
                  <c:v>Scotland</c:v>
                </c:pt>
                <c:pt idx="13">
                  <c:v>United Kingdom</c:v>
                </c:pt>
              </c:strCache>
            </c:strRef>
          </c:cat>
          <c:val>
            <c:numRef>
              <c:f>'SOC 1 Occupation'!$G$7:$G$20</c:f>
              <c:numCache>
                <c:formatCode>0.0</c:formatCode>
                <c:ptCount val="14"/>
                <c:pt idx="0">
                  <c:v>8.9</c:v>
                </c:pt>
                <c:pt idx="1">
                  <c:v>12.8</c:v>
                </c:pt>
                <c:pt idx="2">
                  <c:v>3.4</c:v>
                </c:pt>
                <c:pt idx="3">
                  <c:v>7</c:v>
                </c:pt>
                <c:pt idx="4">
                  <c:v>7</c:v>
                </c:pt>
                <c:pt idx="5">
                  <c:v>6.6</c:v>
                </c:pt>
                <c:pt idx="6">
                  <c:v>8.1</c:v>
                </c:pt>
                <c:pt idx="7">
                  <c:v>10.6</c:v>
                </c:pt>
                <c:pt idx="9">
                  <c:v>12.8</c:v>
                </c:pt>
                <c:pt idx="10">
                  <c:v>7.9933234421364991</c:v>
                </c:pt>
                <c:pt idx="11">
                  <c:v>6.4</c:v>
                </c:pt>
                <c:pt idx="12">
                  <c:v>7.7</c:v>
                </c:pt>
                <c:pt idx="13">
                  <c:v>10.7</c:v>
                </c:pt>
              </c:numCache>
            </c:numRef>
          </c:val>
          <c:extLst>
            <c:ext xmlns:c16="http://schemas.microsoft.com/office/drawing/2014/chart" uri="{C3380CC4-5D6E-409C-BE32-E72D297353CC}">
              <c16:uniqueId val="{00000000-F188-48D4-AD30-32C4A11FC001}"/>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'SOC 1 Occupation'!$L$6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'SOC 1 Occupation'!$C$7:$C$20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3 Average</c:v>
                      </c:pt>
                      <c:pt idx="11">
                        <c:v>Glasgow City Region</c:v>
                      </c:pt>
                      <c:pt idx="12">
                        <c:v>Scotland</c:v>
                      </c:pt>
                      <c:pt idx="13">
                        <c:v>United Kingdom</c:v>
                      </c:pt>
                    </c:strCache>
                  </c:strRef>
                </c:cat>
                <c:val>
                  <c:numRef>
                    <c:extLst>
                      <c:ext uri="{02D57815-91ED-43cb-92C2-25804820EDAC}">
                        <c15:formulaRef>
                          <c15:sqref>'SOC 1 Occupation'!$L$7:$L$20</c15:sqref>
                        </c15:formulaRef>
                      </c:ext>
                    </c:extLst>
                    <c:numCache>
                      <c:formatCode>#,##0</c:formatCode>
                      <c:ptCount val="14"/>
                      <c:pt idx="0">
                        <c:v>1800</c:v>
                      </c:pt>
                      <c:pt idx="1">
                        <c:v>0</c:v>
                      </c:pt>
                      <c:pt idx="2">
                        <c:v>29500</c:v>
                      </c:pt>
                      <c:pt idx="3">
                        <c:v>1900</c:v>
                      </c:pt>
                      <c:pt idx="4">
                        <c:v>9300</c:v>
                      </c:pt>
                      <c:pt idx="5">
                        <c:v>5500</c:v>
                      </c:pt>
                      <c:pt idx="6">
                        <c:v>7400</c:v>
                      </c:pt>
                      <c:pt idx="7">
                        <c:v>900</c:v>
                      </c:pt>
                    </c:numCache>
                  </c:numRef>
                </c:val>
                <c:extLst>
                  <c:ext xmlns:c16="http://schemas.microsoft.com/office/drawing/2014/chart" uri="{C3380CC4-5D6E-409C-BE32-E72D297353CC}">
                    <c16:uniqueId val="{00000002-F188-48D4-AD30-32C4A11FC001}"/>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 1 Occupation'!$F$22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'SOC 1 Occupation'!$L$6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 1 Occupation'!$C$7:$C$20</c15:sqref>
                  </c15:fullRef>
                </c:ext>
              </c:extLst>
              <c:f>'SOC 1 Occupation'!$C$7:$C$14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'SOC 1 Occupation'!$L$7:$L$20</c15:sqref>
                  </c15:fullRef>
                </c:ext>
              </c:extLst>
              <c:f>'SOC 1 Occupation'!$L$7:$L$14</c:f>
              <c:numCache>
                <c:formatCode>#,##0</c:formatCode>
                <c:ptCount val="8"/>
                <c:pt idx="0">
                  <c:v>1800</c:v>
                </c:pt>
                <c:pt idx="1">
                  <c:v>0</c:v>
                </c:pt>
                <c:pt idx="2">
                  <c:v>29500</c:v>
                </c:pt>
                <c:pt idx="3">
                  <c:v>1900</c:v>
                </c:pt>
                <c:pt idx="4">
                  <c:v>9300</c:v>
                </c:pt>
                <c:pt idx="5">
                  <c:v>5500</c:v>
                </c:pt>
                <c:pt idx="6">
                  <c:v>7400</c:v>
                </c:pt>
                <c:pt idx="7">
                  <c:v>900</c:v>
                </c:pt>
              </c:numCache>
            </c:numRef>
          </c:val>
          <c:extLst>
            <c:ext xmlns:c16="http://schemas.microsoft.com/office/drawing/2014/chart" uri="{C3380CC4-5D6E-409C-BE32-E72D297353CC}">
              <c16:uniqueId val="{00000000-93E8-4E14-946C-696CE1F46E80}"/>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'SOC 1 Occupation'!$G$6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'SOC 1 Occupation'!$C$7:$C$20</c15:sqref>
                        </c15:fullRef>
                        <c15:formulaRef>
                          <c15:sqref>'SOC 1 Occupation'!$C$7:$C$14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'SOC 1 Occupation'!$G$7:$G$20</c15:sqref>
                        </c15:fullRef>
                        <c15:formulaRef>
                          <c15:sqref>'SOC 1 Occupation'!$G$7:$G$14</c15:sqref>
                        </c15:formulaRef>
                      </c:ext>
                    </c:extLst>
                    <c:numCache>
                      <c:formatCode>0.0</c:formatCode>
                      <c:ptCount val="8"/>
                      <c:pt idx="0">
                        <c:v>8.9</c:v>
                      </c:pt>
                      <c:pt idx="1">
                        <c:v>12.8</c:v>
                      </c:pt>
                      <c:pt idx="2">
                        <c:v>3.4</c:v>
                      </c:pt>
                      <c:pt idx="3">
                        <c:v>7</c:v>
                      </c:pt>
                      <c:pt idx="4">
                        <c:v>7</c:v>
                      </c:pt>
                      <c:pt idx="5">
                        <c:v>6.6</c:v>
                      </c:pt>
                      <c:pt idx="6">
                        <c:v>8.1</c:v>
                      </c:pt>
                      <c:pt idx="7">
                        <c:v>10.6</c:v>
                      </c:pt>
                    </c:numCache>
                  </c:numRef>
                </c:val>
                <c:extLst>
                  <c:ext xmlns:c16="http://schemas.microsoft.com/office/drawing/2014/chart" uri="{C3380CC4-5D6E-409C-BE32-E72D297353CC}">
                    <c16:uniqueId val="{00000001-93E8-4E14-946C-696CE1F46E80}"/>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'SOC 1 Occupation'!$K$6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 1 Occupation'!$C$7:$C$20</c15:sqref>
                        </c15:fullRef>
                        <c15:formulaRef>
                          <c15:sqref>'SOC 1 Occupation'!$C$7:$C$14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'SOC 1 Occupation'!$K$7:$K$20</c15:sqref>
                        </c15:fullRef>
                        <c15:formulaRef>
                          <c15:sqref>'SOC 1 Occupation'!$K$7:$K$14</c15:sqref>
                        </c15:formulaRef>
                      </c:ext>
                    </c:extLst>
                    <c:numCache>
                      <c:formatCode>0.0</c:formatCode>
                      <c:ptCount val="8"/>
                      <c:pt idx="0">
                        <c:v>3.9000000000000004</c:v>
                      </c:pt>
                      <c:pt idx="1">
                        <c:v>0</c:v>
                      </c:pt>
                      <c:pt idx="2">
                        <c:v>9.4</c:v>
                      </c:pt>
                      <c:pt idx="3">
                        <c:v>5.8000000000000007</c:v>
                      </c:pt>
                      <c:pt idx="4">
                        <c:v>5.8000000000000007</c:v>
                      </c:pt>
                      <c:pt idx="5">
                        <c:v>6.2000000000000011</c:v>
                      </c:pt>
                      <c:pt idx="6">
                        <c:v>4.7000000000000011</c:v>
                      </c:pt>
                      <c:pt idx="7">
                        <c:v>2.2000000000000011</c:v>
                      </c:pt>
                    </c:numCache>
                  </c:numRef>
                </c:val>
                <c:extLst xmlns:c15="http://schemas.microsoft.com/office/drawing/2012/chart">
                  <c:ext xmlns:c16="http://schemas.microsoft.com/office/drawing/2014/chart" uri="{C3380CC4-5D6E-409C-BE32-E72D297353CC}">
                    <c16:uniqueId val="{00000002-93E8-4E14-946C-696CE1F46E80}"/>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hours'!$C$2</c:f>
          <c:strCache>
            <c:ptCount val="1"/>
            <c:pt idx="0">
              <c:v>Satisfactory hours (% of employees)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'Satisfactory hours'!$D$6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'Satisfactory hours'!$C$7:$C$19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West Lothian</c:v>
                </c:pt>
                <c:pt idx="10">
                  <c:v>LGBF Family Group 3 Average</c:v>
                </c:pt>
                <c:pt idx="11">
                  <c:v>Glasgow City Region</c:v>
                </c:pt>
                <c:pt idx="12">
                  <c:v>Scotland</c:v>
                </c:pt>
              </c:strCache>
            </c:strRef>
          </c:cat>
          <c:val>
            <c:numRef>
              <c:f>'Satisfactory hours'!$D$7:$D$19</c:f>
              <c:numCache>
                <c:formatCode>0.0</c:formatCode>
                <c:ptCount val="13"/>
                <c:pt idx="0">
                  <c:v>87.1</c:v>
                </c:pt>
                <c:pt idx="1">
                  <c:v>84.1</c:v>
                </c:pt>
                <c:pt idx="2">
                  <c:v>81.5</c:v>
                </c:pt>
                <c:pt idx="3">
                  <c:v>85.6</c:v>
                </c:pt>
                <c:pt idx="4">
                  <c:v>87.2</c:v>
                </c:pt>
                <c:pt idx="5">
                  <c:v>83.6</c:v>
                </c:pt>
                <c:pt idx="6">
                  <c:v>86.6</c:v>
                </c:pt>
                <c:pt idx="7">
                  <c:v>84.7</c:v>
                </c:pt>
                <c:pt idx="9">
                  <c:v>92.7</c:v>
                </c:pt>
                <c:pt idx="10">
                  <c:v>86.060340632603399</c:v>
                </c:pt>
                <c:pt idx="11">
                  <c:v>83.763279445727477</c:v>
                </c:pt>
                <c:pt idx="12">
                  <c:v>84.146330645161299</c:v>
                </c:pt>
              </c:numCache>
            </c:numRef>
          </c:val>
          <c:extLst>
            <c:ext xmlns:c16="http://schemas.microsoft.com/office/drawing/2014/chart" uri="{C3380CC4-5D6E-409C-BE32-E72D297353CC}">
              <c16:uniqueId val="{00000000-FACF-47B1-BB66-94F87BAC0FC9}"/>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'Satisfactory hours'!$G$6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'Satisfactory hours'!$C$7:$C$19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West Lothian</c:v>
                      </c:pt>
                      <c:pt idx="10">
                        <c:v>LGBF Family Group 3 Average</c:v>
                      </c:pt>
                      <c:pt idx="11">
                        <c:v>Glasgow City Region</c:v>
                      </c:pt>
                      <c:pt idx="12">
                        <c:v>Scotland</c:v>
                      </c:pt>
                    </c:strCache>
                  </c:strRef>
                </c:cat>
                <c:val>
                  <c:numRef>
                    <c:extLst>
                      <c:ext uri="{02D57815-91ED-43cb-92C2-25804820EDAC}">
                        <c15:formulaRef>
                          <c15:sqref>'Satisfactory hours'!$G$7:$G$20</c15:sqref>
                        </c15:formulaRef>
                      </c:ext>
                    </c:extLst>
                    <c:numCache>
                      <c:formatCode>#,##0</c:formatCode>
                      <c:ptCount val="14"/>
                      <c:pt idx="0">
                        <c:v>1500</c:v>
                      </c:pt>
                      <c:pt idx="1">
                        <c:v>1900</c:v>
                      </c:pt>
                      <c:pt idx="2">
                        <c:v>47400</c:v>
                      </c:pt>
                      <c:pt idx="3">
                        <c:v>1800</c:v>
                      </c:pt>
                      <c:pt idx="4">
                        <c:v>7400</c:v>
                      </c:pt>
                      <c:pt idx="5">
                        <c:v>7500</c:v>
                      </c:pt>
                      <c:pt idx="6">
                        <c:v>7200</c:v>
                      </c:pt>
                      <c:pt idx="7">
                        <c:v>2600</c:v>
                      </c:pt>
                    </c:numCache>
                  </c:numRef>
                </c:val>
                <c:extLst>
                  <c:ext xmlns:c16="http://schemas.microsoft.com/office/drawing/2014/chart" uri="{C3380CC4-5D6E-409C-BE32-E72D297353CC}">
                    <c16:uniqueId val="{00000001-FACF-47B1-BB66-94F87BAC0FC9}"/>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Poverty'!$F$22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303039900954192E-2"/>
          <c:y val="0.16036241635636572"/>
          <c:w val="0.89779458487518615"/>
          <c:h val="0.51492885167604396"/>
        </c:manualLayout>
      </c:layout>
      <c:barChart>
        <c:barDir val="col"/>
        <c:grouping val="clustered"/>
        <c:varyColors val="0"/>
        <c:ser>
          <c:idx val="8"/>
          <c:order val="2"/>
          <c:tx>
            <c:strRef>
              <c:f>'Fuel Poverty'!$L$6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'Fuel Poverty'!$C$7:$C$20</c15:sqref>
                  </c15:fullRef>
                </c:ext>
              </c:extLst>
              <c:f>'Fuel Poverty'!$C$7:$C$14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'Fuel Poverty'!$L$7:$L$20</c15:sqref>
                  </c15:fullRef>
                </c:ext>
              </c:extLst>
              <c:f>'Fuel Poverty'!$L$7:$L$14</c:f>
              <c:numCache>
                <c:formatCode>#,##0</c:formatCode>
                <c:ptCount val="8"/>
                <c:pt idx="0">
                  <c:v>-3000</c:v>
                </c:pt>
                <c:pt idx="1">
                  <c:v>0</c:v>
                </c:pt>
                <c:pt idx="2">
                  <c:v>-35900</c:v>
                </c:pt>
                <c:pt idx="3">
                  <c:v>-5800</c:v>
                </c:pt>
                <c:pt idx="4">
                  <c:v>-10400</c:v>
                </c:pt>
                <c:pt idx="5">
                  <c:v>-8000</c:v>
                </c:pt>
                <c:pt idx="6">
                  <c:v>-12800</c:v>
                </c:pt>
                <c:pt idx="7">
                  <c:v>-7000</c:v>
                </c:pt>
              </c:numCache>
            </c:numRef>
          </c:val>
          <c:extLst>
            <c:ext xmlns:c16="http://schemas.microsoft.com/office/drawing/2014/chart" uri="{C3380CC4-5D6E-409C-BE32-E72D297353CC}">
              <c16:uniqueId val="{00000000-F8E2-47A7-A4B6-B9A2233097F4}"/>
            </c:ext>
          </c:extLst>
        </c:ser>
        <c:dLbls>
          <c:showLegendKey val="0"/>
          <c:showVal val="0"/>
          <c:showCatName val="0"/>
          <c:showSerName val="0"/>
          <c:showPercent val="0"/>
          <c:showBubbleSize val="0"/>
        </c:dLbls>
        <c:gapWidth val="219"/>
        <c:axId val="472119488"/>
        <c:axId val="472119880"/>
        <c:extLst>
          <c:ext xmlns:c15="http://schemas.microsoft.com/office/drawing/2012/chart" uri="{02D57815-91ED-43cb-92C2-25804820EDAC}">
            <c15:filteredBarSeries>
              <c15:ser>
                <c:idx val="3"/>
                <c:order val="0"/>
                <c:tx>
                  <c:strRef>
                    <c:extLst>
                      <c:ext uri="{02D57815-91ED-43cb-92C2-25804820EDAC}">
                        <c15:formulaRef>
                          <c15:sqref>'Fuel Poverty'!$G$6</c15:sqref>
                        </c15:formulaRef>
                      </c:ext>
                    </c:extLst>
                    <c:strCache>
                      <c:ptCount val="1"/>
                      <c:pt idx="0">
                        <c:v>17/19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'Fuel Poverty'!$C$7:$C$20</c15:sqref>
                        </c15:fullRef>
                        <c15:formulaRef>
                          <c15:sqref>'Fuel Poverty'!$C$7:$C$14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'Fuel Poverty'!$G$7:$G$20</c15:sqref>
                        </c15:fullRef>
                        <c15:formulaRef>
                          <c15:sqref>'Fuel Poverty'!$G$7:$G$14</c15:sqref>
                        </c15:formulaRef>
                      </c:ext>
                    </c:extLst>
                    <c:numCache>
                      <c:formatCode>0.0%</c:formatCode>
                      <c:ptCount val="8"/>
                      <c:pt idx="0">
                        <c:v>0.19548000000000001</c:v>
                      </c:pt>
                      <c:pt idx="1">
                        <c:v>0.13085000000000002</c:v>
                      </c:pt>
                      <c:pt idx="2">
                        <c:v>0.25273000000000001</c:v>
                      </c:pt>
                      <c:pt idx="3">
                        <c:v>0.28364</c:v>
                      </c:pt>
                      <c:pt idx="4">
                        <c:v>0.19902</c:v>
                      </c:pt>
                      <c:pt idx="5">
                        <c:v>0.22235000000000002</c:v>
                      </c:pt>
                      <c:pt idx="6">
                        <c:v>0.21758000000000002</c:v>
                      </c:pt>
                      <c:pt idx="7">
                        <c:v>0.29189000000000004</c:v>
                      </c:pt>
                    </c:numCache>
                  </c:numRef>
                </c:val>
                <c:extLst>
                  <c:ext xmlns:c16="http://schemas.microsoft.com/office/drawing/2014/chart" uri="{C3380CC4-5D6E-409C-BE32-E72D297353CC}">
                    <c16:uniqueId val="{00000001-F8E2-47A7-A4B6-B9A2233097F4}"/>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'Fuel Poverty'!$K$6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'Fuel Poverty'!$C$7:$C$20</c15:sqref>
                        </c15:fullRef>
                        <c15:formulaRef>
                          <c15:sqref>'Fuel Poverty'!$C$7:$C$14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'Fuel Poverty'!$K$7:$K$20</c15:sqref>
                        </c15:fullRef>
                        <c15:formulaRef>
                          <c15:sqref>'Fuel Poverty'!$K$7:$K$14</c15:sqref>
                        </c15:formulaRef>
                      </c:ext>
                    </c:extLst>
                    <c:numCache>
                      <c:formatCode>0.0%</c:formatCode>
                      <c:ptCount val="8"/>
                      <c:pt idx="0">
                        <c:v>-6.4629999999999993E-2</c:v>
                      </c:pt>
                      <c:pt idx="1">
                        <c:v>0</c:v>
                      </c:pt>
                      <c:pt idx="2">
                        <c:v>-0.12187999999999999</c:v>
                      </c:pt>
                      <c:pt idx="3">
                        <c:v>-0.15278999999999998</c:v>
                      </c:pt>
                      <c:pt idx="4">
                        <c:v>-6.8169999999999981E-2</c:v>
                      </c:pt>
                      <c:pt idx="5">
                        <c:v>-9.1499999999999998E-2</c:v>
                      </c:pt>
                      <c:pt idx="6">
                        <c:v>-8.6730000000000002E-2</c:v>
                      </c:pt>
                      <c:pt idx="7">
                        <c:v>-0.16104000000000002</c:v>
                      </c:pt>
                    </c:numCache>
                  </c:numRef>
                </c:val>
                <c:extLst xmlns:c15="http://schemas.microsoft.com/office/drawing/2012/chart">
                  <c:ext xmlns:c16="http://schemas.microsoft.com/office/drawing/2014/chart" uri="{C3380CC4-5D6E-409C-BE32-E72D297353CC}">
                    <c16:uniqueId val="{00000002-F8E2-47A7-A4B6-B9A2233097F4}"/>
                  </c:ext>
                </c:extLst>
              </c15:ser>
            </c15:filteredBarSeries>
          </c:ext>
        </c:extLst>
      </c:barChart>
      <c:catAx>
        <c:axId val="472119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19880"/>
        <c:crosses val="autoZero"/>
        <c:auto val="1"/>
        <c:lblAlgn val="ctr"/>
        <c:lblOffset val="100"/>
        <c:noMultiLvlLbl val="0"/>
      </c:catAx>
      <c:valAx>
        <c:axId val="472119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19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hours'!$C$22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'Satisfactory hours'!$G$6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hours'!$C$7:$C$20</c15:sqref>
                  </c15:fullRef>
                </c:ext>
              </c:extLst>
              <c:f>'Satisfactory hours'!$C$7:$C$14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'Satisfactory hours'!$G$7:$G$20</c15:sqref>
                  </c15:fullRef>
                </c:ext>
              </c:extLst>
              <c:f>'Satisfactory hours'!$G$7:$G$14</c:f>
              <c:numCache>
                <c:formatCode>#,##0</c:formatCode>
                <c:ptCount val="8"/>
                <c:pt idx="0">
                  <c:v>1500</c:v>
                </c:pt>
                <c:pt idx="1">
                  <c:v>1900</c:v>
                </c:pt>
                <c:pt idx="2">
                  <c:v>47400</c:v>
                </c:pt>
                <c:pt idx="3">
                  <c:v>1800</c:v>
                </c:pt>
                <c:pt idx="4">
                  <c:v>7400</c:v>
                </c:pt>
                <c:pt idx="5">
                  <c:v>7500</c:v>
                </c:pt>
                <c:pt idx="6">
                  <c:v>7200</c:v>
                </c:pt>
                <c:pt idx="7">
                  <c:v>2600</c:v>
                </c:pt>
              </c:numCache>
            </c:numRef>
          </c:val>
          <c:extLst>
            <c:ext xmlns:c16="http://schemas.microsoft.com/office/drawing/2014/chart" uri="{C3380CC4-5D6E-409C-BE32-E72D297353CC}">
              <c16:uniqueId val="{00000000-16DC-4F9D-B37A-395A3232C002}"/>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'Satisfactory hours'!$D$6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'Satisfactory hours'!$C$7:$C$20</c15:sqref>
                        </c15:fullRef>
                        <c15:formulaRef>
                          <c15:sqref>'Satisfactory hours'!$C$7:$C$14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'Satisfactory hours'!$D$7:$D$20</c15:sqref>
                        </c15:fullRef>
                        <c15:formulaRef>
                          <c15:sqref>'Satisfactory hours'!$D$7:$D$14</c15:sqref>
                        </c15:formulaRef>
                      </c:ext>
                    </c:extLst>
                    <c:numCache>
                      <c:formatCode>0.0</c:formatCode>
                      <c:ptCount val="8"/>
                      <c:pt idx="0">
                        <c:v>87.1</c:v>
                      </c:pt>
                      <c:pt idx="1">
                        <c:v>84.1</c:v>
                      </c:pt>
                      <c:pt idx="2">
                        <c:v>81.5</c:v>
                      </c:pt>
                      <c:pt idx="3">
                        <c:v>85.6</c:v>
                      </c:pt>
                      <c:pt idx="4">
                        <c:v>87.2</c:v>
                      </c:pt>
                      <c:pt idx="5">
                        <c:v>83.6</c:v>
                      </c:pt>
                      <c:pt idx="6">
                        <c:v>86.6</c:v>
                      </c:pt>
                      <c:pt idx="7">
                        <c:v>84.7</c:v>
                      </c:pt>
                    </c:numCache>
                  </c:numRef>
                </c:val>
                <c:extLst>
                  <c:ext xmlns:c16="http://schemas.microsoft.com/office/drawing/2014/chart" uri="{C3380CC4-5D6E-409C-BE32-E72D297353CC}">
                    <c16:uniqueId val="{00000001-16DC-4F9D-B37A-395A3232C002}"/>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'Satisfactory hours'!$F$6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hours'!$C$7:$C$20</c15:sqref>
                        </c15:fullRef>
                        <c15:formulaRef>
                          <c15:sqref>'Satisfactory hours'!$C$7:$C$14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'Satisfactory hours'!$F$7:$F$20</c15:sqref>
                        </c15:fullRef>
                        <c15:formulaRef>
                          <c15:sqref>'Satisfactory hours'!$F$7:$F$14</c15:sqref>
                        </c15:formulaRef>
                      </c:ext>
                    </c:extLst>
                    <c:numCache>
                      <c:formatCode>0.0</c:formatCode>
                      <c:ptCount val="8"/>
                      <c:pt idx="0">
                        <c:v>5.6000000000000085</c:v>
                      </c:pt>
                      <c:pt idx="1">
                        <c:v>8.6000000000000085</c:v>
                      </c:pt>
                      <c:pt idx="2">
                        <c:v>11.200000000000003</c:v>
                      </c:pt>
                      <c:pt idx="3">
                        <c:v>7.1000000000000085</c:v>
                      </c:pt>
                      <c:pt idx="4">
                        <c:v>5.5</c:v>
                      </c:pt>
                      <c:pt idx="5">
                        <c:v>9.1000000000000085</c:v>
                      </c:pt>
                      <c:pt idx="6">
                        <c:v>6.1000000000000085</c:v>
                      </c:pt>
                      <c:pt idx="7">
                        <c:v>8</c:v>
                      </c:pt>
                    </c:numCache>
                  </c:numRef>
                </c:val>
                <c:extLst xmlns:c15="http://schemas.microsoft.com/office/drawing/2012/chart">
                  <c:ext xmlns:c16="http://schemas.microsoft.com/office/drawing/2014/chart" uri="{C3380CC4-5D6E-409C-BE32-E72D297353CC}">
                    <c16:uniqueId val="{00000002-16DC-4F9D-B37A-395A3232C002}"/>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pay'!$C$2</c:f>
          <c:strCache>
            <c:ptCount val="1"/>
            <c:pt idx="0">
              <c:v>Low Pay (% of employees)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3 Average</c:v>
                </c:pt>
                <c:pt idx="11">
                  <c:v>Glasgow City Region</c:v>
                </c:pt>
                <c:pt idx="12">
                  <c:v>Scotland</c:v>
                </c:pt>
              </c:strCache>
            </c:strRef>
          </c:cat>
          <c:val>
            <c:numRef>
              <c:f>'Low pay'!$D$7:$D$19</c:f>
              <c:numCache>
                <c:formatCode>0.0</c:formatCode>
                <c:ptCount val="13"/>
                <c:pt idx="0">
                  <c:v>9.1999999999999993</c:v>
                </c:pt>
                <c:pt idx="1">
                  <c:v>6.3</c:v>
                </c:pt>
                <c:pt idx="2">
                  <c:v>7.4</c:v>
                </c:pt>
                <c:pt idx="3">
                  <c:v>13.5</c:v>
                </c:pt>
                <c:pt idx="4">
                  <c:v>12.2</c:v>
                </c:pt>
                <c:pt idx="5">
                  <c:v>9.8000000000000007</c:v>
                </c:pt>
                <c:pt idx="6">
                  <c:v>9.9</c:v>
                </c:pt>
                <c:pt idx="7">
                  <c:v>13.3</c:v>
                </c:pt>
                <c:pt idx="9">
                  <c:v>6.3</c:v>
                </c:pt>
                <c:pt idx="10">
                  <c:v>10.905596107055961</c:v>
                </c:pt>
                <c:pt idx="11">
                  <c:v>9.1503464203233253</c:v>
                </c:pt>
                <c:pt idx="12">
                  <c:v>11.056814516129032</c:v>
                </c:pt>
              </c:numCache>
            </c:numRef>
          </c:val>
          <c:extLst>
            <c:ext xmlns:c16="http://schemas.microsoft.com/office/drawing/2014/chart" uri="{C3380CC4-5D6E-409C-BE32-E72D297353CC}">
              <c16:uniqueId val="{00000000-0F19-46CD-A68A-94E59612449C}"/>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'Low pay'!$G$6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3 Average</c:v>
                      </c:pt>
                      <c:pt idx="11">
                        <c:v>Glasgow City Region</c:v>
                      </c:pt>
                      <c:pt idx="12">
                        <c:v>Scotland</c:v>
                      </c:pt>
                    </c:strCache>
                  </c:strRef>
                </c:cat>
                <c:val>
                  <c:numRef>
                    <c:extLst>
                      <c:ext uri="{02D57815-91ED-43cb-92C2-25804820EDAC}">
                        <c15:formulaRef>
                          <c15:sqref>'Low pay'!$G$7:$G$20</c15:sqref>
                        </c15:formulaRef>
                      </c:ext>
                    </c:extLst>
                    <c:numCache>
                      <c:formatCode>#,##0</c:formatCode>
                      <c:ptCount val="14"/>
                      <c:pt idx="0">
                        <c:v>-800</c:v>
                      </c:pt>
                      <c:pt idx="1">
                        <c:v>0</c:v>
                      </c:pt>
                      <c:pt idx="2">
                        <c:v>-4700</c:v>
                      </c:pt>
                      <c:pt idx="3">
                        <c:v>-1900</c:v>
                      </c:pt>
                      <c:pt idx="4">
                        <c:v>-7900</c:v>
                      </c:pt>
                      <c:pt idx="5">
                        <c:v>-2900</c:v>
                      </c:pt>
                      <c:pt idx="6">
                        <c:v>-4300</c:v>
                      </c:pt>
                      <c:pt idx="7">
                        <c:v>-2300</c:v>
                      </c:pt>
                    </c:numCache>
                  </c:numRef>
                </c:val>
                <c:extLst>
                  <c:ext xmlns:c16="http://schemas.microsoft.com/office/drawing/2014/chart" uri="{C3380CC4-5D6E-409C-BE32-E72D297353CC}">
                    <c16:uniqueId val="{00000001-0F19-46CD-A68A-94E59612449C}"/>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pay'!$C$22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pay'!$C$7:$C$20</c15:sqref>
                  </c15:fullRef>
                </c:ext>
              </c:extLst>
              <c:f>'Low pay'!$C$7:$C$14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'Low pay'!$G$7:$G$20</c15:sqref>
                  </c15:fullRef>
                </c:ext>
              </c:extLst>
              <c:f>'Low pay'!$G$7:$G$14</c:f>
              <c:numCache>
                <c:formatCode>#,##0</c:formatCode>
                <c:ptCount val="8"/>
                <c:pt idx="0">
                  <c:v>-800</c:v>
                </c:pt>
                <c:pt idx="1">
                  <c:v>0</c:v>
                </c:pt>
                <c:pt idx="2">
                  <c:v>-4700</c:v>
                </c:pt>
                <c:pt idx="3">
                  <c:v>-1900</c:v>
                </c:pt>
                <c:pt idx="4">
                  <c:v>-7900</c:v>
                </c:pt>
                <c:pt idx="5">
                  <c:v>-2900</c:v>
                </c:pt>
                <c:pt idx="6">
                  <c:v>-4300</c:v>
                </c:pt>
                <c:pt idx="7">
                  <c:v>-2300</c:v>
                </c:pt>
              </c:numCache>
            </c:numRef>
          </c:val>
          <c:extLst>
            <c:ext xmlns:c16="http://schemas.microsoft.com/office/drawing/2014/chart" uri="{C3380CC4-5D6E-409C-BE32-E72D297353CC}">
              <c16:uniqueId val="{00000000-869D-48B3-B963-A1DE1259CEAC}"/>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'Low pay'!$D$6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'Low pay'!$C$7:$C$20</c15:sqref>
                        </c15:fullRef>
                        <c15:formulaRef>
                          <c15:sqref>'Low pay'!$C$7:$C$14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'Low pay'!$D$7:$D$20</c15:sqref>
                        </c15:fullRef>
                        <c15:formulaRef>
                          <c15:sqref>'Low pay'!$D$7:$D$14</c15:sqref>
                        </c15:formulaRef>
                      </c:ext>
                    </c:extLst>
                    <c:numCache>
                      <c:formatCode>0.0</c:formatCode>
                      <c:ptCount val="8"/>
                      <c:pt idx="0">
                        <c:v>9.1999999999999993</c:v>
                      </c:pt>
                      <c:pt idx="1">
                        <c:v>6.3</c:v>
                      </c:pt>
                      <c:pt idx="2">
                        <c:v>7.4</c:v>
                      </c:pt>
                      <c:pt idx="3">
                        <c:v>13.5</c:v>
                      </c:pt>
                      <c:pt idx="4">
                        <c:v>12.2</c:v>
                      </c:pt>
                      <c:pt idx="5">
                        <c:v>9.8000000000000007</c:v>
                      </c:pt>
                      <c:pt idx="6">
                        <c:v>9.9</c:v>
                      </c:pt>
                      <c:pt idx="7">
                        <c:v>13.3</c:v>
                      </c:pt>
                    </c:numCache>
                  </c:numRef>
                </c:val>
                <c:extLst>
                  <c:ext xmlns:c16="http://schemas.microsoft.com/office/drawing/2014/chart" uri="{C3380CC4-5D6E-409C-BE32-E72D297353CC}">
                    <c16:uniqueId val="{00000001-869D-48B3-B963-A1DE1259CEAC}"/>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'Low pay'!$F$6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pay'!$C$7:$C$20</c15:sqref>
                        </c15:fullRef>
                        <c15:formulaRef>
                          <c15:sqref>'Low pay'!$C$7:$C$14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'Low pay'!$F$7:$F$20</c15:sqref>
                        </c15:fullRef>
                        <c15:formulaRef>
                          <c15:sqref>'Low pay'!$F$7:$F$14</c15:sqref>
                        </c15:formulaRef>
                      </c:ext>
                    </c:extLst>
                    <c:numCache>
                      <c:formatCode>0.0</c:formatCode>
                      <c:ptCount val="8"/>
                      <c:pt idx="0">
                        <c:v>-2.8999999999999995</c:v>
                      </c:pt>
                      <c:pt idx="1">
                        <c:v>0</c:v>
                      </c:pt>
                      <c:pt idx="2">
                        <c:v>-1.1000000000000005</c:v>
                      </c:pt>
                      <c:pt idx="3">
                        <c:v>-7.2</c:v>
                      </c:pt>
                      <c:pt idx="4">
                        <c:v>-5.8999999999999995</c:v>
                      </c:pt>
                      <c:pt idx="5">
                        <c:v>-3.5000000000000009</c:v>
                      </c:pt>
                      <c:pt idx="6">
                        <c:v>-3.6000000000000005</c:v>
                      </c:pt>
                      <c:pt idx="7">
                        <c:v>-7.0000000000000009</c:v>
                      </c:pt>
                    </c:numCache>
                  </c:numRef>
                </c:val>
                <c:extLst xmlns:c15="http://schemas.microsoft.com/office/drawing/2012/chart">
                  <c:ext xmlns:c16="http://schemas.microsoft.com/office/drawing/2014/chart" uri="{C3380CC4-5D6E-409C-BE32-E72D297353CC}">
                    <c16:uniqueId val="{00000002-869D-48B3-B963-A1DE1259CEAC}"/>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contracts'!$C$2</c:f>
          <c:strCache>
            <c:ptCount val="1"/>
            <c:pt idx="0">
              <c:v>Zero-hour contracts (% of employees)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'Zero-hour contracts'!$D$6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'Zero-hour contracts'!$C$7:$C$19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South Lanarkshire</c:v>
                </c:pt>
                <c:pt idx="10">
                  <c:v>LGBF Family Group 3 Average</c:v>
                </c:pt>
                <c:pt idx="11">
                  <c:v>Glasgow City Region</c:v>
                </c:pt>
                <c:pt idx="12">
                  <c:v>Scotland</c:v>
                </c:pt>
              </c:strCache>
            </c:strRef>
          </c:cat>
          <c:val>
            <c:numRef>
              <c:f>'Zero-hour contracts'!$D$7:$D$19</c:f>
              <c:numCache>
                <c:formatCode>0.0</c:formatCode>
                <c:ptCount val="13"/>
                <c:pt idx="0">
                  <c:v>4.4000000000000004</c:v>
                </c:pt>
                <c:pt idx="1">
                  <c:v>1.8</c:v>
                </c:pt>
                <c:pt idx="2">
                  <c:v>1.4</c:v>
                </c:pt>
                <c:pt idx="3">
                  <c:v>1</c:v>
                </c:pt>
                <c:pt idx="4">
                  <c:v>1.4</c:v>
                </c:pt>
                <c:pt idx="5">
                  <c:v>2.1</c:v>
                </c:pt>
                <c:pt idx="6">
                  <c:v>0.8</c:v>
                </c:pt>
                <c:pt idx="7">
                  <c:v>2.2999999999999998</c:v>
                </c:pt>
                <c:pt idx="9">
                  <c:v>0.8</c:v>
                </c:pt>
                <c:pt idx="10">
                  <c:v>1.2642335766423358</c:v>
                </c:pt>
                <c:pt idx="11">
                  <c:v>1.5071593533487297</c:v>
                </c:pt>
                <c:pt idx="12">
                  <c:v>2.1295161290322584</c:v>
                </c:pt>
              </c:numCache>
            </c:numRef>
          </c:val>
          <c:extLst>
            <c:ext xmlns:c16="http://schemas.microsoft.com/office/drawing/2014/chart" uri="{C3380CC4-5D6E-409C-BE32-E72D297353CC}">
              <c16:uniqueId val="{00000000-E91C-4C6C-81DA-B68E0D1BABAC}"/>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'Zero-hour contracts'!$G$6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'Zero-hour contracts'!$C$7:$C$19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South Lanarkshire</c:v>
                      </c:pt>
                      <c:pt idx="10">
                        <c:v>LGBF Family Group 3 Average</c:v>
                      </c:pt>
                      <c:pt idx="11">
                        <c:v>Glasgow City Region</c:v>
                      </c:pt>
                      <c:pt idx="12">
                        <c:v>Scotland</c:v>
                      </c:pt>
                    </c:strCache>
                  </c:strRef>
                </c:cat>
                <c:val>
                  <c:numRef>
                    <c:extLst>
                      <c:ext uri="{02D57815-91ED-43cb-92C2-25804820EDAC}">
                        <c15:formulaRef>
                          <c15:sqref>'Zero-hour contracts'!$G$7:$G$20</c15:sqref>
                        </c15:formulaRef>
                      </c:ext>
                    </c:extLst>
                    <c:numCache>
                      <c:formatCode>#,##0</c:formatCode>
                      <c:ptCount val="14"/>
                      <c:pt idx="0">
                        <c:v>-900</c:v>
                      </c:pt>
                      <c:pt idx="1">
                        <c:v>-200</c:v>
                      </c:pt>
                      <c:pt idx="2">
                        <c:v>-2500</c:v>
                      </c:pt>
                      <c:pt idx="3">
                        <c:v>-100</c:v>
                      </c:pt>
                      <c:pt idx="4">
                        <c:v>-800</c:v>
                      </c:pt>
                      <c:pt idx="5">
                        <c:v>-1000</c:v>
                      </c:pt>
                      <c:pt idx="6">
                        <c:v>0</c:v>
                      </c:pt>
                      <c:pt idx="7">
                        <c:v>-500</c:v>
                      </c:pt>
                    </c:numCache>
                  </c:numRef>
                </c:val>
                <c:extLst>
                  <c:ext xmlns:c16="http://schemas.microsoft.com/office/drawing/2014/chart" uri="{C3380CC4-5D6E-409C-BE32-E72D297353CC}">
                    <c16:uniqueId val="{00000001-E91C-4C6C-81DA-B68E0D1BABAC}"/>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contracts'!$C$22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'Zero-hour contracts'!$G$6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contracts'!$C$7:$C$20</c15:sqref>
                  </c15:fullRef>
                </c:ext>
              </c:extLst>
              <c:f>'Zero-hour contracts'!$C$7:$C$14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'Zero-hour contracts'!$G$7:$G$20</c15:sqref>
                  </c15:fullRef>
                </c:ext>
              </c:extLst>
              <c:f>'Zero-hour contracts'!$G$7:$G$14</c:f>
              <c:numCache>
                <c:formatCode>#,##0</c:formatCode>
                <c:ptCount val="8"/>
                <c:pt idx="0">
                  <c:v>-900</c:v>
                </c:pt>
                <c:pt idx="1">
                  <c:v>-200</c:v>
                </c:pt>
                <c:pt idx="2">
                  <c:v>-2500</c:v>
                </c:pt>
                <c:pt idx="3">
                  <c:v>-100</c:v>
                </c:pt>
                <c:pt idx="4">
                  <c:v>-800</c:v>
                </c:pt>
                <c:pt idx="5">
                  <c:v>-1000</c:v>
                </c:pt>
                <c:pt idx="6">
                  <c:v>0</c:v>
                </c:pt>
                <c:pt idx="7">
                  <c:v>-500</c:v>
                </c:pt>
              </c:numCache>
            </c:numRef>
          </c:val>
          <c:extLst>
            <c:ext xmlns:c16="http://schemas.microsoft.com/office/drawing/2014/chart" uri="{C3380CC4-5D6E-409C-BE32-E72D297353CC}">
              <c16:uniqueId val="{00000000-095F-4EA1-9CC7-D51FF573B7AA}"/>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'Zero-hour contracts'!$D$6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'Zero-hour contracts'!$C$7:$C$20</c15:sqref>
                        </c15:fullRef>
                        <c15:formulaRef>
                          <c15:sqref>'Zero-hour contracts'!$C$7:$C$14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'Zero-hour contracts'!$D$7:$D$20</c15:sqref>
                        </c15:fullRef>
                        <c15:formulaRef>
                          <c15:sqref>'Zero-hour contracts'!$D$7:$D$14</c15:sqref>
                        </c15:formulaRef>
                      </c:ext>
                    </c:extLst>
                    <c:numCache>
                      <c:formatCode>0.0</c:formatCode>
                      <c:ptCount val="8"/>
                      <c:pt idx="0">
                        <c:v>4.4000000000000004</c:v>
                      </c:pt>
                      <c:pt idx="1">
                        <c:v>1.8</c:v>
                      </c:pt>
                      <c:pt idx="2">
                        <c:v>1.4</c:v>
                      </c:pt>
                      <c:pt idx="3">
                        <c:v>1</c:v>
                      </c:pt>
                      <c:pt idx="4">
                        <c:v>1.4</c:v>
                      </c:pt>
                      <c:pt idx="5">
                        <c:v>2.1</c:v>
                      </c:pt>
                      <c:pt idx="6">
                        <c:v>0.8</c:v>
                      </c:pt>
                      <c:pt idx="7">
                        <c:v>2.2999999999999998</c:v>
                      </c:pt>
                    </c:numCache>
                  </c:numRef>
                </c:val>
                <c:extLst>
                  <c:ext xmlns:c16="http://schemas.microsoft.com/office/drawing/2014/chart" uri="{C3380CC4-5D6E-409C-BE32-E72D297353CC}">
                    <c16:uniqueId val="{00000001-095F-4EA1-9CC7-D51FF573B7A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'Zero-hour contracts'!$F$6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contracts'!$C$7:$C$20</c15:sqref>
                        </c15:fullRef>
                        <c15:formulaRef>
                          <c15:sqref>'Zero-hour contracts'!$C$7:$C$14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'Zero-hour contracts'!$F$7:$F$20</c15:sqref>
                        </c15:fullRef>
                        <c15:formulaRef>
                          <c15:sqref>'Zero-hour contracts'!$F$7:$F$14</c15:sqref>
                        </c15:formulaRef>
                      </c:ext>
                    </c:extLst>
                    <c:numCache>
                      <c:formatCode>0.0</c:formatCode>
                      <c:ptCount val="8"/>
                      <c:pt idx="0">
                        <c:v>-3.6000000000000005</c:v>
                      </c:pt>
                      <c:pt idx="1">
                        <c:v>-1</c:v>
                      </c:pt>
                      <c:pt idx="2">
                        <c:v>-0.59999999999999987</c:v>
                      </c:pt>
                      <c:pt idx="3">
                        <c:v>-0.19999999999999996</c:v>
                      </c:pt>
                      <c:pt idx="4">
                        <c:v>-0.59999999999999987</c:v>
                      </c:pt>
                      <c:pt idx="5">
                        <c:v>-1.3</c:v>
                      </c:pt>
                      <c:pt idx="6">
                        <c:v>0</c:v>
                      </c:pt>
                      <c:pt idx="7">
                        <c:v>-1.4999999999999998</c:v>
                      </c:pt>
                    </c:numCache>
                  </c:numRef>
                </c:val>
                <c:extLst xmlns:c15="http://schemas.microsoft.com/office/drawing/2012/chart">
                  <c:ext xmlns:c16="http://schemas.microsoft.com/office/drawing/2014/chart" uri="{C3380CC4-5D6E-409C-BE32-E72D297353CC}">
                    <c16:uniqueId val="{00000002-095F-4EA1-9CC7-D51FF573B7AA}"/>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 Mb'!$C$2</c:f>
          <c:strCache>
            <c:ptCount val="1"/>
            <c:pt idx="0">
              <c:v>% premises unable to access 10Mb connection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'10 Mb'!$G$6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 Mb'!$C$7:$C$20</c15:sqref>
                  </c15:fullRef>
                </c:ext>
              </c:extLst>
              <c:f>('10 Mb'!$C$7:$C$18,'10 Mb'!$C$20)</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4 Average</c:v>
                </c:pt>
                <c:pt idx="11">
                  <c:v>Glasgow City Region</c:v>
                </c:pt>
                <c:pt idx="12">
                  <c:v>United Kingdom</c:v>
                </c:pt>
              </c:strCache>
            </c:strRef>
          </c:cat>
          <c:val>
            <c:numRef>
              <c:extLst>
                <c:ext xmlns:c15="http://schemas.microsoft.com/office/drawing/2012/chart" uri="{02D57815-91ED-43cb-92C2-25804820EDAC}">
                  <c15:fullRef>
                    <c15:sqref>'10 Mb'!$G$7:$G$20</c15:sqref>
                  </c15:fullRef>
                </c:ext>
              </c:extLst>
              <c:f>('10 Mb'!$G$7:$G$18,'10 Mb'!$G$20)</c:f>
              <c:numCache>
                <c:formatCode>0.0</c:formatCode>
                <c:ptCount val="13"/>
                <c:pt idx="0">
                  <c:v>0.35616058885217355</c:v>
                </c:pt>
                <c:pt idx="1">
                  <c:v>0.59791085692678547</c:v>
                </c:pt>
                <c:pt idx="2">
                  <c:v>0.19726294006782563</c:v>
                </c:pt>
                <c:pt idx="3">
                  <c:v>0.67125197948427051</c:v>
                </c:pt>
                <c:pt idx="4">
                  <c:v>0.51740497830718457</c:v>
                </c:pt>
                <c:pt idx="5">
                  <c:v>0.6767009801911168</c:v>
                </c:pt>
                <c:pt idx="6">
                  <c:v>1.1309099261372566</c:v>
                </c:pt>
                <c:pt idx="7">
                  <c:v>0.1801391419579261</c:v>
                </c:pt>
                <c:pt idx="9">
                  <c:v>0.13116863832104142</c:v>
                </c:pt>
                <c:pt idx="10">
                  <c:v>0.34844981889276055</c:v>
                </c:pt>
                <c:pt idx="11">
                  <c:v>0.51038141981305907</c:v>
                </c:pt>
                <c:pt idx="12">
                  <c:v>0.96442335420487291</c:v>
                </c:pt>
              </c:numCache>
            </c:numRef>
          </c:val>
          <c:extLst>
            <c:ext xmlns:c16="http://schemas.microsoft.com/office/drawing/2014/chart" uri="{C3380CC4-5D6E-409C-BE32-E72D297353CC}">
              <c16:uniqueId val="{00000000-444D-4521-94F2-E8E1DD1E10DB}"/>
            </c:ext>
          </c:extLst>
        </c:ser>
        <c:dLbls>
          <c:showLegendKey val="0"/>
          <c:showVal val="0"/>
          <c:showCatName val="0"/>
          <c:showSerName val="0"/>
          <c:showPercent val="0"/>
          <c:showBubbleSize val="0"/>
        </c:dLbls>
        <c:gapWidth val="219"/>
        <c:overlap val="-27"/>
        <c:axId val="534909088"/>
        <c:axId val="53544728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'10 Mb'!$C$7:$C$20</c15:sqref>
                        </c15:fullRef>
                        <c15:formulaRef>
                          <c15:sqref>('10 Mb'!$C$7:$C$18,'10 Mb'!$C$20)</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4 Average</c:v>
                      </c:pt>
                      <c:pt idx="11">
                        <c:v>Glasgow City Region</c:v>
                      </c:pt>
                      <c:pt idx="12">
                        <c:v>United Kingdom</c:v>
                      </c:pt>
                    </c:strCache>
                  </c:strRef>
                </c:cat>
                <c:val>
                  <c:numRef>
                    <c:extLst>
                      <c:ext uri="{02D57815-91ED-43cb-92C2-25804820EDAC}">
                        <c15:fullRef>
                          <c15:sqref>Employment!$L$7:$L$20</c15:sqref>
                        </c15:fullRef>
                        <c15:formulaRef>
                          <c15:sqref>(Employment!$L$7:$L$18,Employment!$L$20)</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444D-4521-94F2-E8E1DD1E10DB}"/>
                  </c:ext>
                </c:extLst>
              </c15:ser>
            </c15:filteredBarSeries>
          </c:ext>
        </c:extLst>
      </c:barChart>
      <c:catAx>
        <c:axId val="534909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47280"/>
        <c:crosses val="autoZero"/>
        <c:auto val="1"/>
        <c:lblAlgn val="ctr"/>
        <c:lblOffset val="100"/>
        <c:noMultiLvlLbl val="0"/>
      </c:catAx>
      <c:valAx>
        <c:axId val="535447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 Mb'!$G$22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'10 Mb'!$L$6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'10 Mb'!$L$7:$L$14</c15:sqref>
                  </c15:fullRef>
                </c:ext>
              </c:extLst>
              <c:f>'10 Mb'!$L$7:$L$14</c:f>
              <c:numCache>
                <c:formatCode>#,##0</c:formatCode>
                <c:ptCount val="8"/>
                <c:pt idx="0">
                  <c:v>-100</c:v>
                </c:pt>
                <c:pt idx="1">
                  <c:v>-200</c:v>
                </c:pt>
                <c:pt idx="2">
                  <c:v>-300</c:v>
                </c:pt>
                <c:pt idx="3">
                  <c:v>-200</c:v>
                </c:pt>
                <c:pt idx="4">
                  <c:v>-700</c:v>
                </c:pt>
                <c:pt idx="5">
                  <c:v>-600</c:v>
                </c:pt>
                <c:pt idx="6">
                  <c:v>-1700</c:v>
                </c:pt>
                <c:pt idx="7">
                  <c:v>0</c:v>
                </c:pt>
              </c:numCache>
            </c:numRef>
          </c:val>
          <c:extLst>
            <c:ext xmlns:c16="http://schemas.microsoft.com/office/drawing/2014/chart" uri="{C3380CC4-5D6E-409C-BE32-E72D297353CC}">
              <c16:uniqueId val="{00000000-7329-4EF0-8560-A731C20D82B8}"/>
            </c:ext>
          </c:extLst>
        </c:ser>
        <c:dLbls>
          <c:showLegendKey val="0"/>
          <c:showVal val="0"/>
          <c:showCatName val="0"/>
          <c:showSerName val="0"/>
          <c:showPercent val="0"/>
          <c:showBubbleSize val="0"/>
        </c:dLbls>
        <c:gapWidth val="219"/>
        <c:axId val="535448064"/>
        <c:axId val="535448456"/>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Employment!$G$7:$G$20</c15:sqref>
                        </c15:fullRef>
                        <c15:formulaRef>
                          <c15:sqref>Employment!$G$7:$G$14</c15:sqref>
                        </c15:formulaRef>
                      </c:ext>
                    </c:extLst>
                    <c:numCache>
                      <c:formatCode>0.0</c:formatCode>
                      <c:ptCount val="8"/>
                      <c:pt idx="0">
                        <c:v>73.5</c:v>
                      </c:pt>
                      <c:pt idx="1">
                        <c:v>77.5</c:v>
                      </c:pt>
                      <c:pt idx="2">
                        <c:v>71.2</c:v>
                      </c:pt>
                      <c:pt idx="3">
                        <c:v>68.400000000000006</c:v>
                      </c:pt>
                      <c:pt idx="4">
                        <c:v>70.5</c:v>
                      </c:pt>
                      <c:pt idx="5">
                        <c:v>76.8</c:v>
                      </c:pt>
                      <c:pt idx="6">
                        <c:v>77.099999999999994</c:v>
                      </c:pt>
                      <c:pt idx="7">
                        <c:v>71.900000000000006</c:v>
                      </c:pt>
                    </c:numCache>
                  </c:numRef>
                </c:val>
                <c:extLst>
                  <c:ext xmlns:c16="http://schemas.microsoft.com/office/drawing/2014/chart" uri="{C3380CC4-5D6E-409C-BE32-E72D297353CC}">
                    <c16:uniqueId val="{00000001-7329-4EF0-8560-A731C20D82B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Employment!$K$7:$K$20</c15:sqref>
                        </c15:fullRef>
                        <c15:formulaRef>
                          <c15:sqref>Employment!$K$7:$K$14</c15:sqref>
                        </c15:formulaRef>
                      </c:ext>
                    </c:extLst>
                    <c:numCache>
                      <c:formatCode>0.0</c:formatCode>
                      <c:ptCount val="8"/>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7329-4EF0-8560-A731C20D82B8}"/>
                  </c:ext>
                </c:extLst>
              </c15:ser>
            </c15:filteredBarSeries>
          </c:ext>
        </c:extLst>
      </c:barChart>
      <c:catAx>
        <c:axId val="535448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48456"/>
        <c:crosses val="autoZero"/>
        <c:auto val="1"/>
        <c:lblAlgn val="ctr"/>
        <c:lblOffset val="100"/>
        <c:noMultiLvlLbl val="0"/>
      </c:catAx>
      <c:valAx>
        <c:axId val="535448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48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UFBB!$C$2</c:f>
          <c:strCache>
            <c:ptCount val="1"/>
            <c:pt idx="0">
              <c:v>% premises with available Ultra-fast broadband connection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UFBB!$G$6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UFBB!$C$7:$C$20</c15:sqref>
                  </c15:fullRef>
                </c:ext>
              </c:extLst>
              <c:f>(UFBB!$C$7:$C$18,UFBB!$C$20)</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4 Average</c:v>
                </c:pt>
                <c:pt idx="11">
                  <c:v>Glasgow City Region</c:v>
                </c:pt>
                <c:pt idx="12">
                  <c:v>United Kingdom</c:v>
                </c:pt>
              </c:strCache>
            </c:strRef>
          </c:cat>
          <c:val>
            <c:numRef>
              <c:extLst>
                <c:ext xmlns:c15="http://schemas.microsoft.com/office/drawing/2012/chart" uri="{02D57815-91ED-43cb-92C2-25804820EDAC}">
                  <c15:fullRef>
                    <c15:sqref>UFBB!$G$7:$G$20</c15:sqref>
                  </c15:fullRef>
                </c:ext>
              </c:extLst>
              <c:f>(UFBB!$G$7:$G$18,UFBB!$G$20)</c:f>
              <c:numCache>
                <c:formatCode>0.0</c:formatCode>
                <c:ptCount val="13"/>
                <c:pt idx="0">
                  <c:v>88.286273966639627</c:v>
                </c:pt>
                <c:pt idx="1">
                  <c:v>82.781112634116369</c:v>
                </c:pt>
                <c:pt idx="2">
                  <c:v>85.637323437944247</c:v>
                </c:pt>
                <c:pt idx="3">
                  <c:v>76.210735304545125</c:v>
                </c:pt>
                <c:pt idx="4">
                  <c:v>88.421347878758951</c:v>
                </c:pt>
                <c:pt idx="5">
                  <c:v>91.872411106098511</c:v>
                </c:pt>
                <c:pt idx="6">
                  <c:v>81.71685545387507</c:v>
                </c:pt>
                <c:pt idx="7">
                  <c:v>90.748716249792949</c:v>
                </c:pt>
                <c:pt idx="9">
                  <c:v>93.302974805721931</c:v>
                </c:pt>
                <c:pt idx="10">
                  <c:v>88.63574376320706</c:v>
                </c:pt>
                <c:pt idx="11">
                  <c:v>85.937866427686018</c:v>
                </c:pt>
                <c:pt idx="12">
                  <c:v>76.809329674909861</c:v>
                </c:pt>
              </c:numCache>
            </c:numRef>
          </c:val>
          <c:extLst>
            <c:ext xmlns:c16="http://schemas.microsoft.com/office/drawing/2014/chart" uri="{C3380CC4-5D6E-409C-BE32-E72D297353CC}">
              <c16:uniqueId val="{00000000-8D9E-440B-8C0C-650C6502C64C}"/>
            </c:ext>
          </c:extLst>
        </c:ser>
        <c:dLbls>
          <c:showLegendKey val="0"/>
          <c:showVal val="0"/>
          <c:showCatName val="0"/>
          <c:showSerName val="0"/>
          <c:showPercent val="0"/>
          <c:showBubbleSize val="0"/>
        </c:dLbls>
        <c:gapWidth val="219"/>
        <c:overlap val="-27"/>
        <c:axId val="535449240"/>
        <c:axId val="535449632"/>
        <c:extLst>
          <c:ext xmlns:c15="http://schemas.microsoft.com/office/drawing/2012/chart" uri="{02D57815-91ED-43cb-92C2-25804820EDAC}">
            <c15:filteredBarSeries>
              <c15:ser>
                <c:idx val="8"/>
                <c:order val="1"/>
                <c:tx>
                  <c:strRef>
                    <c:extLst>
                      <c:ext uri="{02D57815-91ED-43cb-92C2-25804820EDAC}">
                        <c15:formulaRef>
                          <c15:sqref>UFBB!$L$6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UFBB!$C$7:$C$20</c15:sqref>
                        </c15:fullRef>
                        <c15:formulaRef>
                          <c15:sqref>(UFBB!$C$7:$C$18,UFBB!$C$20)</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4 Average</c:v>
                      </c:pt>
                      <c:pt idx="11">
                        <c:v>Glasgow City Region</c:v>
                      </c:pt>
                      <c:pt idx="12">
                        <c:v>United Kingdom</c:v>
                      </c:pt>
                    </c:strCache>
                  </c:strRef>
                </c:cat>
                <c:val>
                  <c:numRef>
                    <c:extLst>
                      <c:ext uri="{02D57815-91ED-43cb-92C2-25804820EDAC}">
                        <c15:fullRef>
                          <c15:sqref>UFBB!$L$7:$L$20</c15:sqref>
                        </c15:fullRef>
                        <c15:formulaRef>
                          <c15:sqref>(UFBB!$L$7:$L$18,UFBB!$L$20)</c15:sqref>
                        </c15:formulaRef>
                      </c:ext>
                    </c:extLst>
                    <c:numCache>
                      <c:formatCode>#,##0</c:formatCode>
                      <c:ptCount val="13"/>
                      <c:pt idx="0">
                        <c:v>2600</c:v>
                      </c:pt>
                      <c:pt idx="1">
                        <c:v>4500</c:v>
                      </c:pt>
                      <c:pt idx="2">
                        <c:v>26100</c:v>
                      </c:pt>
                      <c:pt idx="3">
                        <c:v>7300</c:v>
                      </c:pt>
                      <c:pt idx="4">
                        <c:v>8100</c:v>
                      </c:pt>
                      <c:pt idx="5">
                        <c:v>1400</c:v>
                      </c:pt>
                      <c:pt idx="6">
                        <c:v>19200</c:v>
                      </c:pt>
                      <c:pt idx="7">
                        <c:v>1300</c:v>
                      </c:pt>
                    </c:numCache>
                  </c:numRef>
                </c:val>
                <c:extLst>
                  <c:ext xmlns:c16="http://schemas.microsoft.com/office/drawing/2014/chart" uri="{C3380CC4-5D6E-409C-BE32-E72D297353CC}">
                    <c16:uniqueId val="{00000002-8D9E-440B-8C0C-650C6502C64C}"/>
                  </c:ext>
                </c:extLst>
              </c15:ser>
            </c15:filteredBarSeries>
          </c:ext>
        </c:extLst>
      </c:barChart>
      <c:catAx>
        <c:axId val="535449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49632"/>
        <c:crosses val="autoZero"/>
        <c:auto val="1"/>
        <c:lblAlgn val="ctr"/>
        <c:lblOffset val="100"/>
        <c:noMultiLvlLbl val="0"/>
      </c:catAx>
      <c:valAx>
        <c:axId val="535449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4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UFBB!$G$22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UFBB!$L$6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UFBB!$C$7:$C$20</c15:sqref>
                  </c15:fullRef>
                </c:ext>
              </c:extLst>
              <c:f>UFBB!$C$7:$C$14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UFBB!$L$7:$L$20</c15:sqref>
                  </c15:fullRef>
                </c:ext>
              </c:extLst>
              <c:f>UFBB!$L$7:$L$14</c:f>
              <c:numCache>
                <c:formatCode>#,##0</c:formatCode>
                <c:ptCount val="8"/>
                <c:pt idx="0">
                  <c:v>2600</c:v>
                </c:pt>
                <c:pt idx="1">
                  <c:v>4500</c:v>
                </c:pt>
                <c:pt idx="2">
                  <c:v>26100</c:v>
                </c:pt>
                <c:pt idx="3">
                  <c:v>7300</c:v>
                </c:pt>
                <c:pt idx="4">
                  <c:v>8100</c:v>
                </c:pt>
                <c:pt idx="5">
                  <c:v>1400</c:v>
                </c:pt>
                <c:pt idx="6">
                  <c:v>19200</c:v>
                </c:pt>
                <c:pt idx="7">
                  <c:v>1300</c:v>
                </c:pt>
              </c:numCache>
            </c:numRef>
          </c:val>
          <c:extLst>
            <c:ext xmlns:c16="http://schemas.microsoft.com/office/drawing/2014/chart" uri="{C3380CC4-5D6E-409C-BE32-E72D297353CC}">
              <c16:uniqueId val="{00000000-6F90-4848-AB22-76B2B2F1E5A4}"/>
            </c:ext>
          </c:extLst>
        </c:ser>
        <c:dLbls>
          <c:showLegendKey val="0"/>
          <c:showVal val="0"/>
          <c:showCatName val="0"/>
          <c:showSerName val="0"/>
          <c:showPercent val="0"/>
          <c:showBubbleSize val="0"/>
        </c:dLbls>
        <c:gapWidth val="219"/>
        <c:axId val="535450416"/>
        <c:axId val="535450808"/>
        <c:extLst>
          <c:ext xmlns:c15="http://schemas.microsoft.com/office/drawing/2012/chart" uri="{02D57815-91ED-43cb-92C2-25804820EDAC}">
            <c15:filteredBarSeries>
              <c15:ser>
                <c:idx val="3"/>
                <c:order val="0"/>
                <c:tx>
                  <c:strRef>
                    <c:extLst>
                      <c:ext uri="{02D57815-91ED-43cb-92C2-25804820EDAC}">
                        <c15:formulaRef>
                          <c15:sqref>UFBB!$G$6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UFBB!$C$7:$C$20</c15:sqref>
                        </c15:fullRef>
                        <c15:formulaRef>
                          <c15:sqref>UFBB!$C$7:$C$14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UFBB!$G$7:$G$20</c15:sqref>
                        </c15:fullRef>
                        <c15:formulaRef>
                          <c15:sqref>UFBB!$G$7:$G$14</c15:sqref>
                        </c15:formulaRef>
                      </c:ext>
                    </c:extLst>
                    <c:numCache>
                      <c:formatCode>0.0</c:formatCode>
                      <c:ptCount val="8"/>
                      <c:pt idx="0">
                        <c:v>88.286273966639627</c:v>
                      </c:pt>
                      <c:pt idx="1">
                        <c:v>82.781112634116369</c:v>
                      </c:pt>
                      <c:pt idx="2">
                        <c:v>85.637323437944247</c:v>
                      </c:pt>
                      <c:pt idx="3">
                        <c:v>76.210735304545125</c:v>
                      </c:pt>
                      <c:pt idx="4">
                        <c:v>88.421347878758951</c:v>
                      </c:pt>
                      <c:pt idx="5">
                        <c:v>91.872411106098511</c:v>
                      </c:pt>
                      <c:pt idx="6">
                        <c:v>81.71685545387507</c:v>
                      </c:pt>
                      <c:pt idx="7">
                        <c:v>90.748716249792949</c:v>
                      </c:pt>
                    </c:numCache>
                  </c:numRef>
                </c:val>
                <c:extLst>
                  <c:ext xmlns:c16="http://schemas.microsoft.com/office/drawing/2014/chart" uri="{C3380CC4-5D6E-409C-BE32-E72D297353CC}">
                    <c16:uniqueId val="{00000001-6F90-4848-AB22-76B2B2F1E5A4}"/>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UFBB!$K$6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UFBB!$C$7:$C$20</c15:sqref>
                        </c15:fullRef>
                        <c15:formulaRef>
                          <c15:sqref>UFBB!$C$7:$C$14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UFBB!$K$7:$K$20</c15:sqref>
                        </c15:fullRef>
                        <c15:formulaRef>
                          <c15:sqref>UFBB!$K$7:$K$14</c15:sqref>
                        </c15:formulaRef>
                      </c:ext>
                    </c:extLst>
                    <c:numCache>
                      <c:formatCode>0.0</c:formatCode>
                      <c:ptCount val="8"/>
                      <c:pt idx="0">
                        <c:v>5.0167008390823042</c:v>
                      </c:pt>
                      <c:pt idx="1">
                        <c:v>10.521862171605562</c:v>
                      </c:pt>
                      <c:pt idx="2">
                        <c:v>7.6656513677776843</c:v>
                      </c:pt>
                      <c:pt idx="3">
                        <c:v>17.092239501176806</c:v>
                      </c:pt>
                      <c:pt idx="4">
                        <c:v>4.88162692696298</c:v>
                      </c:pt>
                      <c:pt idx="5">
                        <c:v>1.4305636996234199</c:v>
                      </c:pt>
                      <c:pt idx="6">
                        <c:v>11.586119351846861</c:v>
                      </c:pt>
                      <c:pt idx="7">
                        <c:v>2.5542585559289819</c:v>
                      </c:pt>
                    </c:numCache>
                  </c:numRef>
                </c:val>
                <c:extLst xmlns:c15="http://schemas.microsoft.com/office/drawing/2012/chart">
                  <c:ext xmlns:c16="http://schemas.microsoft.com/office/drawing/2014/chart" uri="{C3380CC4-5D6E-409C-BE32-E72D297353CC}">
                    <c16:uniqueId val="{00000002-6F90-4848-AB22-76B2B2F1E5A4}"/>
                  </c:ext>
                </c:extLst>
              </c15:ser>
            </c15:filteredBarSeries>
          </c:ext>
        </c:extLst>
      </c:barChart>
      <c:catAx>
        <c:axId val="535450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0808"/>
        <c:crosses val="autoZero"/>
        <c:auto val="1"/>
        <c:lblAlgn val="ctr"/>
        <c:lblOffset val="100"/>
        <c:noMultiLvlLbl val="0"/>
      </c:catAx>
      <c:valAx>
        <c:axId val="535450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Fibre!$C$2</c:f>
          <c:strCache>
            <c:ptCount val="1"/>
            <c:pt idx="0">
              <c:v>% premises with available Fibre broadband connection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Fibre!$G$6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Fibre!$C$7:$C$20</c15:sqref>
                  </c15:fullRef>
                </c:ext>
              </c:extLst>
              <c:f>(Fibre!$C$7:$C$18,Fibre!$C$20)</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 City</c:v>
                </c:pt>
                <c:pt idx="10">
                  <c:v>LGBF Family Group 4 Average</c:v>
                </c:pt>
                <c:pt idx="11">
                  <c:v>Glasgow City Region</c:v>
                </c:pt>
                <c:pt idx="12">
                  <c:v>United Kingdom</c:v>
                </c:pt>
              </c:strCache>
            </c:strRef>
          </c:cat>
          <c:val>
            <c:numRef>
              <c:extLst>
                <c:ext xmlns:c15="http://schemas.microsoft.com/office/drawing/2012/chart" uri="{02D57815-91ED-43cb-92C2-25804820EDAC}">
                  <c15:fullRef>
                    <c15:sqref>Fibre!$G$7:$G$20</c15:sqref>
                  </c15:fullRef>
                </c:ext>
              </c:extLst>
              <c:f>(Fibre!$G$7:$G$18,Fibre!$G$20)</c:f>
              <c:numCache>
                <c:formatCode>0.0</c:formatCode>
                <c:ptCount val="13"/>
                <c:pt idx="0">
                  <c:v>49.243158748689133</c:v>
                </c:pt>
                <c:pt idx="1">
                  <c:v>53.481117360684408</c:v>
                </c:pt>
                <c:pt idx="2">
                  <c:v>71.167075554930264</c:v>
                </c:pt>
                <c:pt idx="3">
                  <c:v>25.821929140372024</c:v>
                </c:pt>
                <c:pt idx="4">
                  <c:v>31.827269092363053</c:v>
                </c:pt>
                <c:pt idx="5">
                  <c:v>80.599187958823777</c:v>
                </c:pt>
                <c:pt idx="6">
                  <c:v>40.43048319048367</c:v>
                </c:pt>
                <c:pt idx="7">
                  <c:v>8.6135497763789974</c:v>
                </c:pt>
                <c:pt idx="9">
                  <c:v>85.909122377864449</c:v>
                </c:pt>
                <c:pt idx="10">
                  <c:v>61.864839535502206</c:v>
                </c:pt>
                <c:pt idx="11">
                  <c:v>52.789980401353475</c:v>
                </c:pt>
                <c:pt idx="12">
                  <c:v>55.79323835754397</c:v>
                </c:pt>
              </c:numCache>
            </c:numRef>
          </c:val>
          <c:extLst>
            <c:ext xmlns:c16="http://schemas.microsoft.com/office/drawing/2014/chart" uri="{C3380CC4-5D6E-409C-BE32-E72D297353CC}">
              <c16:uniqueId val="{00000000-350B-4968-A62B-A5C7D7F24763}"/>
            </c:ext>
          </c:extLst>
        </c:ser>
        <c:dLbls>
          <c:showLegendKey val="0"/>
          <c:showVal val="0"/>
          <c:showCatName val="0"/>
          <c:showSerName val="0"/>
          <c:showPercent val="0"/>
          <c:showBubbleSize val="0"/>
        </c:dLbls>
        <c:gapWidth val="219"/>
        <c:overlap val="-27"/>
        <c:axId val="535451592"/>
        <c:axId val="535451984"/>
        <c:extLst>
          <c:ext xmlns:c15="http://schemas.microsoft.com/office/drawing/2012/chart" uri="{02D57815-91ED-43cb-92C2-25804820EDAC}">
            <c15:filteredBarSeries>
              <c15:ser>
                <c:idx val="8"/>
                <c:order val="1"/>
                <c:tx>
                  <c:strRef>
                    <c:extLst>
                      <c:ext uri="{02D57815-91ED-43cb-92C2-25804820EDAC}">
                        <c15:formulaRef>
                          <c15:sqref>Fibre!$L$6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Fibre!$C$7:$C$20</c15:sqref>
                        </c15:fullRef>
                        <c15:formulaRef>
                          <c15:sqref>(Fibre!$C$7:$C$18,Fibre!$C$20)</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Aberdeen City</c:v>
                      </c:pt>
                      <c:pt idx="10">
                        <c:v>LGBF Family Group 4 Average</c:v>
                      </c:pt>
                      <c:pt idx="11">
                        <c:v>Glasgow City Region</c:v>
                      </c:pt>
                      <c:pt idx="12">
                        <c:v>United Kingdom</c:v>
                      </c:pt>
                    </c:strCache>
                  </c:strRef>
                </c:cat>
                <c:val>
                  <c:numRef>
                    <c:extLst>
                      <c:ext uri="{02D57815-91ED-43cb-92C2-25804820EDAC}">
                        <c15:fullRef>
                          <c15:sqref>Fibre!$L$7:$L$20</c15:sqref>
                        </c15:fullRef>
                        <c15:formulaRef>
                          <c15:sqref>(Fibre!$L$7:$L$18,Fibre!$L$20)</c15:sqref>
                        </c15:formulaRef>
                      </c:ext>
                    </c:extLst>
                    <c:numCache>
                      <c:formatCode>#,##0</c:formatCode>
                      <c:ptCount val="13"/>
                      <c:pt idx="0">
                        <c:v>18500</c:v>
                      </c:pt>
                      <c:pt idx="1">
                        <c:v>13800</c:v>
                      </c:pt>
                      <c:pt idx="2">
                        <c:v>50300</c:v>
                      </c:pt>
                      <c:pt idx="3">
                        <c:v>25400</c:v>
                      </c:pt>
                      <c:pt idx="4">
                        <c:v>90700</c:v>
                      </c:pt>
                      <c:pt idx="5">
                        <c:v>5200</c:v>
                      </c:pt>
                      <c:pt idx="6">
                        <c:v>75200</c:v>
                      </c:pt>
                      <c:pt idx="7">
                        <c:v>37300</c:v>
                      </c:pt>
                    </c:numCache>
                  </c:numRef>
                </c:val>
                <c:extLst>
                  <c:ext xmlns:c16="http://schemas.microsoft.com/office/drawing/2014/chart" uri="{C3380CC4-5D6E-409C-BE32-E72D297353CC}">
                    <c16:uniqueId val="{00000002-350B-4968-A62B-A5C7D7F24763}"/>
                  </c:ext>
                </c:extLst>
              </c15:ser>
            </c15:filteredBarSeries>
          </c:ext>
        </c:extLst>
      </c:barChart>
      <c:catAx>
        <c:axId val="535451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1984"/>
        <c:crosses val="autoZero"/>
        <c:auto val="1"/>
        <c:lblAlgn val="ctr"/>
        <c:lblOffset val="100"/>
        <c:noMultiLvlLbl val="0"/>
      </c:catAx>
      <c:valAx>
        <c:axId val="535451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1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Count'!$C$2</c:f>
          <c:strCache>
            <c:ptCount val="1"/>
            <c:pt idx="0">
              <c:v>Claimant Count Rate</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'Claimant Count'!$G$6</c:f>
              <c:strCache>
                <c:ptCount val="1"/>
                <c:pt idx="0">
                  <c:v>Sep-24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'Claimant Count'!$C$7:$C$20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f>'Claimant Count'!$G$7:$G$20</c:f>
              <c:numCache>
                <c:formatCode>0.0</c:formatCode>
                <c:ptCount val="14"/>
                <c:pt idx="0">
                  <c:v>2.1</c:v>
                </c:pt>
                <c:pt idx="1">
                  <c:v>2</c:v>
                </c:pt>
                <c:pt idx="2">
                  <c:v>5.3</c:v>
                </c:pt>
                <c:pt idx="3">
                  <c:v>3.7</c:v>
                </c:pt>
                <c:pt idx="4">
                  <c:v>3.5</c:v>
                </c:pt>
                <c:pt idx="5">
                  <c:v>3.2</c:v>
                </c:pt>
                <c:pt idx="6">
                  <c:v>3.1</c:v>
                </c:pt>
                <c:pt idx="7">
                  <c:v>4.2</c:v>
                </c:pt>
                <c:pt idx="9">
                  <c:v>1.5</c:v>
                </c:pt>
                <c:pt idx="10">
                  <c:v>3.7821881254169445</c:v>
                </c:pt>
                <c:pt idx="11">
                  <c:v>3.9</c:v>
                </c:pt>
                <c:pt idx="12">
                  <c:v>3.2</c:v>
                </c:pt>
                <c:pt idx="13">
                  <c:v>4.3</c:v>
                </c:pt>
              </c:numCache>
            </c:numRef>
          </c:val>
          <c:extLst>
            <c:ext xmlns:c16="http://schemas.microsoft.com/office/drawing/2014/chart" uri="{C3380CC4-5D6E-409C-BE32-E72D297353CC}">
              <c16:uniqueId val="{00000000-FAF5-45A7-8E1C-8511C111AF29}"/>
            </c:ext>
          </c:extLst>
        </c:ser>
        <c:dLbls>
          <c:showLegendKey val="0"/>
          <c:showVal val="0"/>
          <c:showCatName val="0"/>
          <c:showSerName val="0"/>
          <c:showPercent val="0"/>
          <c:showBubbleSize val="0"/>
        </c:dLbls>
        <c:gapWidth val="219"/>
        <c:overlap val="-27"/>
        <c:axId val="472120664"/>
        <c:axId val="472121056"/>
        <c:extLst>
          <c:ext xmlns:c15="http://schemas.microsoft.com/office/drawing/2012/chart" uri="{02D57815-91ED-43cb-92C2-25804820EDAC}">
            <c15:filteredBarSeries>
              <c15:ser>
                <c:idx val="8"/>
                <c:order val="1"/>
                <c:tx>
                  <c:strRef>
                    <c:extLst>
                      <c:ext uri="{02D57815-91ED-43cb-92C2-25804820EDAC}">
                        <c15:formulaRef>
                          <c15:sqref>'Claimant Count'!$L$6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'Claimant Count'!$C$7:$C$20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extLst>
                      <c:ext uri="{02D57815-91ED-43cb-92C2-25804820EDAC}">
                        <c15:formulaRef>
                          <c15:sqref>'Claimant Count'!$L$7:$L$20</c15:sqref>
                        </c15:formulaRef>
                      </c:ext>
                    </c:extLst>
                    <c:numCache>
                      <c:formatCode>#,##0</c:formatCode>
                      <c:ptCount val="14"/>
                      <c:pt idx="0">
                        <c:v>-400</c:v>
                      </c:pt>
                      <c:pt idx="1">
                        <c:v>-200</c:v>
                      </c:pt>
                      <c:pt idx="2">
                        <c:v>-17000</c:v>
                      </c:pt>
                      <c:pt idx="3">
                        <c:v>-1100</c:v>
                      </c:pt>
                      <c:pt idx="4">
                        <c:v>-4300</c:v>
                      </c:pt>
                      <c:pt idx="5">
                        <c:v>-2000</c:v>
                      </c:pt>
                      <c:pt idx="6">
                        <c:v>-3200</c:v>
                      </c:pt>
                      <c:pt idx="7">
                        <c:v>-1500</c:v>
                      </c:pt>
                    </c:numCache>
                  </c:numRef>
                </c:val>
                <c:extLst>
                  <c:ext xmlns:c16="http://schemas.microsoft.com/office/drawing/2014/chart" uri="{C3380CC4-5D6E-409C-BE32-E72D297353CC}">
                    <c16:uniqueId val="{00000002-FAF5-45A7-8E1C-8511C111AF29}"/>
                  </c:ext>
                </c:extLst>
              </c15:ser>
            </c15:filteredBarSeries>
          </c:ext>
        </c:extLst>
      </c:barChart>
      <c:catAx>
        <c:axId val="47212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1056"/>
        <c:crosses val="autoZero"/>
        <c:auto val="1"/>
        <c:lblAlgn val="ctr"/>
        <c:lblOffset val="100"/>
        <c:noMultiLvlLbl val="0"/>
      </c:catAx>
      <c:valAx>
        <c:axId val="47212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Fibre!$G$22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Fibre!$L$6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Fibre!$C$7:$C$20</c15:sqref>
                  </c15:fullRef>
                </c:ext>
              </c:extLst>
              <c:f>Fibre!$C$7:$C$14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Fibre!$L$7:$L$20</c15:sqref>
                  </c15:fullRef>
                </c:ext>
              </c:extLst>
              <c:f>Fibre!$L$7:$L$14</c:f>
              <c:numCache>
                <c:formatCode>#,##0</c:formatCode>
                <c:ptCount val="8"/>
                <c:pt idx="0">
                  <c:v>18500</c:v>
                </c:pt>
                <c:pt idx="1">
                  <c:v>13800</c:v>
                </c:pt>
                <c:pt idx="2">
                  <c:v>50300</c:v>
                </c:pt>
                <c:pt idx="3">
                  <c:v>25400</c:v>
                </c:pt>
                <c:pt idx="4">
                  <c:v>90700</c:v>
                </c:pt>
                <c:pt idx="5">
                  <c:v>5200</c:v>
                </c:pt>
                <c:pt idx="6">
                  <c:v>75200</c:v>
                </c:pt>
                <c:pt idx="7">
                  <c:v>37300</c:v>
                </c:pt>
              </c:numCache>
            </c:numRef>
          </c:val>
          <c:extLst>
            <c:ext xmlns:c16="http://schemas.microsoft.com/office/drawing/2014/chart" uri="{C3380CC4-5D6E-409C-BE32-E72D297353CC}">
              <c16:uniqueId val="{00000000-7FFA-49AB-AC93-CB2754C4706B}"/>
            </c:ext>
          </c:extLst>
        </c:ser>
        <c:dLbls>
          <c:showLegendKey val="0"/>
          <c:showVal val="0"/>
          <c:showCatName val="0"/>
          <c:showSerName val="0"/>
          <c:showPercent val="0"/>
          <c:showBubbleSize val="0"/>
        </c:dLbls>
        <c:gapWidth val="219"/>
        <c:axId val="535452768"/>
        <c:axId val="535453160"/>
        <c:extLst>
          <c:ext xmlns:c15="http://schemas.microsoft.com/office/drawing/2012/chart" uri="{02D57815-91ED-43cb-92C2-25804820EDAC}">
            <c15:filteredBarSeries>
              <c15:ser>
                <c:idx val="3"/>
                <c:order val="0"/>
                <c:tx>
                  <c:strRef>
                    <c:extLst>
                      <c:ext uri="{02D57815-91ED-43cb-92C2-25804820EDAC}">
                        <c15:formulaRef>
                          <c15:sqref>Fibre!$G$6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Fibre!$C$7:$C$20</c15:sqref>
                        </c15:fullRef>
                        <c15:formulaRef>
                          <c15:sqref>Fibre!$C$7:$C$14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Fibre!$G$7:$G$20</c15:sqref>
                        </c15:fullRef>
                        <c15:formulaRef>
                          <c15:sqref>Fibre!$G$7:$G$14</c15:sqref>
                        </c15:formulaRef>
                      </c:ext>
                    </c:extLst>
                    <c:numCache>
                      <c:formatCode>0.0</c:formatCode>
                      <c:ptCount val="8"/>
                      <c:pt idx="0">
                        <c:v>49.243158748689133</c:v>
                      </c:pt>
                      <c:pt idx="1">
                        <c:v>53.481117360684408</c:v>
                      </c:pt>
                      <c:pt idx="2">
                        <c:v>71.167075554930264</c:v>
                      </c:pt>
                      <c:pt idx="3">
                        <c:v>25.821929140372024</c:v>
                      </c:pt>
                      <c:pt idx="4">
                        <c:v>31.827269092363053</c:v>
                      </c:pt>
                      <c:pt idx="5">
                        <c:v>80.599187958823777</c:v>
                      </c:pt>
                      <c:pt idx="6">
                        <c:v>40.43048319048367</c:v>
                      </c:pt>
                      <c:pt idx="7">
                        <c:v>8.6135497763789974</c:v>
                      </c:pt>
                    </c:numCache>
                  </c:numRef>
                </c:val>
                <c:extLst>
                  <c:ext xmlns:c16="http://schemas.microsoft.com/office/drawing/2014/chart" uri="{C3380CC4-5D6E-409C-BE32-E72D297353CC}">
                    <c16:uniqueId val="{00000001-7FFA-49AB-AC93-CB2754C4706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Fibre!$K$6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Fibre!$C$7:$C$20</c15:sqref>
                        </c15:fullRef>
                        <c15:formulaRef>
                          <c15:sqref>Fibre!$C$7:$C$14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Fibre!$K$7:$K$20</c15:sqref>
                        </c15:fullRef>
                        <c15:formulaRef>
                          <c15:sqref>Fibre!$K$7:$K$14</c15:sqref>
                        </c15:formulaRef>
                      </c:ext>
                    </c:extLst>
                    <c:numCache>
                      <c:formatCode>0.0</c:formatCode>
                      <c:ptCount val="8"/>
                      <c:pt idx="0">
                        <c:v>36.665963629175316</c:v>
                      </c:pt>
                      <c:pt idx="1">
                        <c:v>32.428005017180041</c:v>
                      </c:pt>
                      <c:pt idx="2">
                        <c:v>14.742046822934185</c:v>
                      </c:pt>
                      <c:pt idx="3">
                        <c:v>60.087193237492428</c:v>
                      </c:pt>
                      <c:pt idx="4">
                        <c:v>54.081853285501396</c:v>
                      </c:pt>
                      <c:pt idx="5">
                        <c:v>5.3099344190406725</c:v>
                      </c:pt>
                      <c:pt idx="6">
                        <c:v>45.478639187380779</c:v>
                      </c:pt>
                      <c:pt idx="7">
                        <c:v>77.295572601485446</c:v>
                      </c:pt>
                    </c:numCache>
                  </c:numRef>
                </c:val>
                <c:extLst xmlns:c15="http://schemas.microsoft.com/office/drawing/2012/chart">
                  <c:ext xmlns:c16="http://schemas.microsoft.com/office/drawing/2014/chart" uri="{C3380CC4-5D6E-409C-BE32-E72D297353CC}">
                    <c16:uniqueId val="{00000002-7FFA-49AB-AC93-CB2754C4706B}"/>
                  </c:ext>
                </c:extLst>
              </c15:ser>
            </c15:filteredBarSeries>
          </c:ext>
        </c:extLst>
      </c:barChart>
      <c:catAx>
        <c:axId val="53545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3160"/>
        <c:crosses val="autoZero"/>
        <c:auto val="1"/>
        <c:lblAlgn val="ctr"/>
        <c:lblOffset val="100"/>
        <c:noMultiLvlLbl val="0"/>
      </c:catAx>
      <c:valAx>
        <c:axId val="535453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Builds'!$C$2</c:f>
          <c:strCache>
            <c:ptCount val="1"/>
            <c:pt idx="0">
              <c:v>Rate of Housing New Builds (per 10,000 total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'New Builds'!$G$6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'New Builds'!$C$7:$C$20</c15:sqref>
                  </c15:fullRef>
                </c:ext>
              </c:extLst>
              <c:f>'New Builds'!$C$7:$C$19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Angus</c:v>
                </c:pt>
                <c:pt idx="11">
                  <c:v>Glasgow City Region</c:v>
                </c:pt>
                <c:pt idx="12">
                  <c:v>Scotland</c:v>
                </c:pt>
              </c:strCache>
            </c:strRef>
          </c:cat>
          <c:val>
            <c:numRef>
              <c:extLst>
                <c:ext xmlns:c15="http://schemas.microsoft.com/office/drawing/2012/chart" uri="{02D57815-91ED-43cb-92C2-25804820EDAC}">
                  <c15:fullRef>
                    <c15:sqref>'New Builds'!$G$7:$G$20</c15:sqref>
                  </c15:fullRef>
                </c:ext>
              </c:extLst>
              <c:f>'New Builds'!$G$7:$G$19</c:f>
              <c:numCache>
                <c:formatCode>#,##0.0</c:formatCode>
                <c:ptCount val="13"/>
                <c:pt idx="0">
                  <c:v>15.966232336208479</c:v>
                </c:pt>
                <c:pt idx="1">
                  <c:v>48.888431453272958</c:v>
                </c:pt>
                <c:pt idx="2">
                  <c:v>34.263511126810315</c:v>
                </c:pt>
                <c:pt idx="3">
                  <c:v>32.678069951493491</c:v>
                </c:pt>
                <c:pt idx="4">
                  <c:v>24.57982577068606</c:v>
                </c:pt>
                <c:pt idx="5">
                  <c:v>61.679505262015837</c:v>
                </c:pt>
                <c:pt idx="6">
                  <c:v>39.672601777479152</c:v>
                </c:pt>
                <c:pt idx="7">
                  <c:v>17.446471054718476</c:v>
                </c:pt>
                <c:pt idx="9">
                  <c:v>120.58126352674431</c:v>
                </c:pt>
                <c:pt idx="10">
                  <c:v>22.065236350950638</c:v>
                </c:pt>
                <c:pt idx="11">
                  <c:v>34.989476645728161</c:v>
                </c:pt>
                <c:pt idx="12">
                  <c:v>38.533693118196673</c:v>
                </c:pt>
              </c:numCache>
            </c:numRef>
          </c:val>
          <c:extLst>
            <c:ext xmlns:c16="http://schemas.microsoft.com/office/drawing/2014/chart" uri="{C3380CC4-5D6E-409C-BE32-E72D297353CC}">
              <c16:uniqueId val="{00000000-AE24-4D2B-8216-01AD42735C91}"/>
            </c:ext>
          </c:extLst>
        </c:ser>
        <c:dLbls>
          <c:showLegendKey val="0"/>
          <c:showVal val="0"/>
          <c:showCatName val="0"/>
          <c:showSerName val="0"/>
          <c:showPercent val="0"/>
          <c:showBubbleSize val="0"/>
        </c:dLbls>
        <c:gapWidth val="219"/>
        <c:overlap val="-27"/>
        <c:axId val="535454336"/>
        <c:axId val="53545472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'New Builds'!$C$7:$C$20</c15:sqref>
                        </c15:fullRef>
                        <c15:formulaRef>
                          <c15:sqref>'New Builds'!$C$7:$C$19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Angus</c:v>
                      </c:pt>
                      <c:pt idx="11">
                        <c:v>Glasgow City Region</c:v>
                      </c:pt>
                      <c:pt idx="12">
                        <c:v>Scotland</c:v>
                      </c:pt>
                    </c:strCache>
                  </c:strRef>
                </c:cat>
                <c:val>
                  <c:numRef>
                    <c:extLst>
                      <c:ext uri="{02D57815-91ED-43cb-92C2-25804820EDAC}">
                        <c15:fullRef>
                          <c15:sqref>Employment!$L$7:$L$20</c15:sqref>
                        </c15:fullRef>
                        <c15:formulaRef>
                          <c15:sqref>Employment!$L$7:$L$19</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AE24-4D2B-8216-01AD42735C91}"/>
                  </c:ext>
                </c:extLst>
              </c15:ser>
            </c15:filteredBarSeries>
          </c:ext>
        </c:extLst>
      </c:barChart>
      <c:catAx>
        <c:axId val="535454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4728"/>
        <c:crosses val="autoZero"/>
        <c:auto val="1"/>
        <c:lblAlgn val="ctr"/>
        <c:lblOffset val="100"/>
        <c:noMultiLvlLbl val="0"/>
      </c:catAx>
      <c:valAx>
        <c:axId val="535454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45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Builds'!$F$22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'New Builds'!$L$6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'New Builds'!$L$7:$L$14</c15:sqref>
                  </c15:fullRef>
                </c:ext>
              </c:extLst>
              <c:f>'New Builds'!$L$7:$L$14</c:f>
              <c:numCache>
                <c:formatCode>#,##0</c:formatCode>
                <c:ptCount val="8"/>
                <c:pt idx="0">
                  <c:v>1100</c:v>
                </c:pt>
                <c:pt idx="1">
                  <c:v>700</c:v>
                </c:pt>
                <c:pt idx="2">
                  <c:v>5400</c:v>
                </c:pt>
                <c:pt idx="3">
                  <c:v>600</c:v>
                </c:pt>
                <c:pt idx="4">
                  <c:v>3300</c:v>
                </c:pt>
                <c:pt idx="5">
                  <c:v>1100</c:v>
                </c:pt>
                <c:pt idx="6">
                  <c:v>2600</c:v>
                </c:pt>
                <c:pt idx="7">
                  <c:v>900</c:v>
                </c:pt>
              </c:numCache>
            </c:numRef>
          </c:val>
          <c:extLst>
            <c:ext xmlns:c16="http://schemas.microsoft.com/office/drawing/2014/chart" uri="{C3380CC4-5D6E-409C-BE32-E72D297353CC}">
              <c16:uniqueId val="{00000000-8027-4340-9197-3CD2C5905826}"/>
            </c:ext>
          </c:extLst>
        </c:ser>
        <c:dLbls>
          <c:showLegendKey val="0"/>
          <c:showVal val="0"/>
          <c:showCatName val="0"/>
          <c:showSerName val="0"/>
          <c:showPercent val="0"/>
          <c:showBubbleSize val="0"/>
        </c:dLbls>
        <c:gapWidth val="219"/>
        <c:axId val="536220000"/>
        <c:axId val="536220392"/>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8027-4340-9197-3CD2C5905826}"/>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8027-4340-9197-3CD2C5905826}"/>
                  </c:ext>
                </c:extLst>
              </c15:ser>
            </c15:filteredBarSeries>
          </c:ext>
        </c:extLst>
      </c:barChart>
      <c:catAx>
        <c:axId val="536220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0392"/>
        <c:crosses val="autoZero"/>
        <c:auto val="1"/>
        <c:lblAlgn val="ctr"/>
        <c:lblOffset val="100"/>
        <c:noMultiLvlLbl val="0"/>
      </c:catAx>
      <c:valAx>
        <c:axId val="536220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0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Builds'!$C$2</c:f>
          <c:strCache>
            <c:ptCount val="1"/>
            <c:pt idx="0">
              <c:v>Rate of Social Housing New Builds (per 10,000 total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'Social Builds'!$G$6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Builds'!$C$7:$C$20</c15:sqref>
                  </c15:fullRef>
                </c:ext>
              </c:extLst>
              <c:f>'Social Builds'!$C$7:$C$19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LGBF Family Group 2 Average</c:v>
                </c:pt>
                <c:pt idx="11">
                  <c:v>Glasgow City Region</c:v>
                </c:pt>
                <c:pt idx="12">
                  <c:v>Scotland</c:v>
                </c:pt>
              </c:strCache>
            </c:strRef>
          </c:cat>
          <c:val>
            <c:numRef>
              <c:extLst>
                <c:ext xmlns:c15="http://schemas.microsoft.com/office/drawing/2012/chart" uri="{02D57815-91ED-43cb-92C2-25804820EDAC}">
                  <c15:fullRef>
                    <c15:sqref>'Social Builds'!$G$7:$G$20</c15:sqref>
                  </c15:fullRef>
                </c:ext>
              </c:extLst>
              <c:f>'Social Builds'!$G$7:$G$19</c:f>
              <c:numCache>
                <c:formatCode>#,##0.0</c:formatCode>
                <c:ptCount val="13"/>
                <c:pt idx="0">
                  <c:v>6.1479170489998163</c:v>
                </c:pt>
                <c:pt idx="1">
                  <c:v>8.027995059695348</c:v>
                </c:pt>
                <c:pt idx="2">
                  <c:v>10.243730130695868</c:v>
                </c:pt>
                <c:pt idx="3">
                  <c:v>25.274444728108246</c:v>
                </c:pt>
                <c:pt idx="4">
                  <c:v>12.524565160003519</c:v>
                </c:pt>
                <c:pt idx="5">
                  <c:v>14.538353043289574</c:v>
                </c:pt>
                <c:pt idx="6">
                  <c:v>4.8254588767064712</c:v>
                </c:pt>
                <c:pt idx="7">
                  <c:v>7.4770590234507761</c:v>
                </c:pt>
                <c:pt idx="9">
                  <c:v>40.399876326909208</c:v>
                </c:pt>
                <c:pt idx="10">
                  <c:v>15.419381963422323</c:v>
                </c:pt>
                <c:pt idx="11">
                  <c:v>10.279883350376297</c:v>
                </c:pt>
                <c:pt idx="12">
                  <c:v>10.565926904932358</c:v>
                </c:pt>
              </c:numCache>
            </c:numRef>
          </c:val>
          <c:extLst>
            <c:ext xmlns:c16="http://schemas.microsoft.com/office/drawing/2014/chart" uri="{C3380CC4-5D6E-409C-BE32-E72D297353CC}">
              <c16:uniqueId val="{00000000-CA18-4FCF-84D3-C1F2F2ACA6E5}"/>
            </c:ext>
          </c:extLst>
        </c:ser>
        <c:dLbls>
          <c:showLegendKey val="0"/>
          <c:showVal val="0"/>
          <c:showCatName val="0"/>
          <c:showSerName val="0"/>
          <c:showPercent val="0"/>
          <c:showBubbleSize val="0"/>
        </c:dLbls>
        <c:gapWidth val="219"/>
        <c:overlap val="-27"/>
        <c:axId val="536221176"/>
        <c:axId val="53622156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'Social Builds'!$C$7:$C$20</c15:sqref>
                        </c15:fullRef>
                        <c15:formulaRef>
                          <c15:sqref>'Social Builds'!$C$7:$C$19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LGBF Family Group 2 Average</c:v>
                      </c:pt>
                      <c:pt idx="11">
                        <c:v>Glasgow City Region</c:v>
                      </c:pt>
                      <c:pt idx="12">
                        <c:v>Scotland</c:v>
                      </c:pt>
                    </c:strCache>
                  </c:strRef>
                </c:cat>
                <c:val>
                  <c:numRef>
                    <c:extLst>
                      <c:ext uri="{02D57815-91ED-43cb-92C2-25804820EDAC}">
                        <c15:fullRef>
                          <c15:sqref>Employment!$L$7:$L$20</c15:sqref>
                        </c15:fullRef>
                        <c15:formulaRef>
                          <c15:sqref>Employment!$L$7:$L$19</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CA18-4FCF-84D3-C1F2F2ACA6E5}"/>
                  </c:ext>
                </c:extLst>
              </c15:ser>
            </c15:filteredBarSeries>
          </c:ext>
        </c:extLst>
      </c:barChart>
      <c:catAx>
        <c:axId val="536221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1568"/>
        <c:crosses val="autoZero"/>
        <c:auto val="1"/>
        <c:lblAlgn val="ctr"/>
        <c:lblOffset val="100"/>
        <c:noMultiLvlLbl val="0"/>
      </c:catAx>
      <c:valAx>
        <c:axId val="536221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1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Builds'!$F$22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'Social Builds'!$L$6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'Social Builds'!$L$7:$L$14</c15:sqref>
                  </c15:fullRef>
                </c:ext>
              </c:extLst>
              <c:f>'Social Builds'!$L$7:$L$14</c:f>
              <c:numCache>
                <c:formatCode>#,##0</c:formatCode>
                <c:ptCount val="8"/>
                <c:pt idx="0">
                  <c:v>300</c:v>
                </c:pt>
                <c:pt idx="1">
                  <c:v>300</c:v>
                </c:pt>
                <c:pt idx="2">
                  <c:v>1900</c:v>
                </c:pt>
                <c:pt idx="3">
                  <c:v>100</c:v>
                </c:pt>
                <c:pt idx="4">
                  <c:v>1000</c:v>
                </c:pt>
                <c:pt idx="5">
                  <c:v>400</c:v>
                </c:pt>
                <c:pt idx="6">
                  <c:v>1100</c:v>
                </c:pt>
                <c:pt idx="7">
                  <c:v>300</c:v>
                </c:pt>
              </c:numCache>
            </c:numRef>
          </c:val>
          <c:extLst>
            <c:ext xmlns:c16="http://schemas.microsoft.com/office/drawing/2014/chart" uri="{C3380CC4-5D6E-409C-BE32-E72D297353CC}">
              <c16:uniqueId val="{00000000-54CE-4D30-81C5-C75E66656463}"/>
            </c:ext>
          </c:extLst>
        </c:ser>
        <c:dLbls>
          <c:showLegendKey val="0"/>
          <c:showVal val="0"/>
          <c:showCatName val="0"/>
          <c:showSerName val="0"/>
          <c:showPercent val="0"/>
          <c:showBubbleSize val="0"/>
        </c:dLbls>
        <c:gapWidth val="219"/>
        <c:axId val="536222352"/>
        <c:axId val="53622274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54CE-4D30-81C5-C75E66656463}"/>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54CE-4D30-81C5-C75E66656463}"/>
                  </c:ext>
                </c:extLst>
              </c15:ser>
            </c15:filteredBarSeries>
          </c:ext>
        </c:extLst>
      </c:barChart>
      <c:catAx>
        <c:axId val="536222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2744"/>
        <c:crosses val="autoZero"/>
        <c:auto val="1"/>
        <c:lblAlgn val="ctr"/>
        <c:lblOffset val="100"/>
        <c:noMultiLvlLbl val="0"/>
      </c:catAx>
      <c:valAx>
        <c:axId val="536222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2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Adaptations!$C$2</c:f>
          <c:strCache>
            <c:ptCount val="1"/>
            <c:pt idx="0">
              <c:v>% Dwellings with Accessibility Adaptations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Adaptations!$G$6</c:f>
              <c:strCache>
                <c:ptCount val="1"/>
                <c:pt idx="0">
                  <c:v>17/19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Adaptations!$C$7:$C$20</c15:sqref>
                  </c15:fullRef>
                </c:ext>
              </c:extLst>
              <c:f>Adaptations!$C$7:$C$19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2 Average</c:v>
                </c:pt>
                <c:pt idx="11">
                  <c:v>Glasgow City Region</c:v>
                </c:pt>
                <c:pt idx="12">
                  <c:v>Scotland</c:v>
                </c:pt>
              </c:strCache>
            </c:strRef>
          </c:cat>
          <c:val>
            <c:numRef>
              <c:extLst>
                <c:ext xmlns:c15="http://schemas.microsoft.com/office/drawing/2012/chart" uri="{02D57815-91ED-43cb-92C2-25804820EDAC}">
                  <c15:fullRef>
                    <c15:sqref>Adaptations!$G$7:$G$20</c15:sqref>
                  </c15:fullRef>
                </c:ext>
              </c:extLst>
              <c:f>Adaptations!$G$7:$G$19</c:f>
              <c:numCache>
                <c:formatCode>0.0%</c:formatCode>
                <c:ptCount val="13"/>
                <c:pt idx="0">
                  <c:v>0.16434000000000001</c:v>
                </c:pt>
                <c:pt idx="1">
                  <c:v>0.16718000000000002</c:v>
                </c:pt>
                <c:pt idx="2">
                  <c:v>0.24669000000000002</c:v>
                </c:pt>
                <c:pt idx="3">
                  <c:v>0.10979000000000001</c:v>
                </c:pt>
                <c:pt idx="4">
                  <c:v>0.33126000000000005</c:v>
                </c:pt>
                <c:pt idx="5">
                  <c:v>0.15057000000000001</c:v>
                </c:pt>
                <c:pt idx="6">
                  <c:v>0.23742000000000002</c:v>
                </c:pt>
                <c:pt idx="7">
                  <c:v>0.12798000000000001</c:v>
                </c:pt>
                <c:pt idx="9">
                  <c:v>0.33392000000000005</c:v>
                </c:pt>
                <c:pt idx="10">
                  <c:v>0.19304812584288508</c:v>
                </c:pt>
                <c:pt idx="11">
                  <c:v>0.23273134083217742</c:v>
                </c:pt>
                <c:pt idx="12">
                  <c:v>0.21</c:v>
                </c:pt>
              </c:numCache>
            </c:numRef>
          </c:val>
          <c:extLst>
            <c:ext xmlns:c16="http://schemas.microsoft.com/office/drawing/2014/chart" uri="{C3380CC4-5D6E-409C-BE32-E72D297353CC}">
              <c16:uniqueId val="{00000000-373A-4322-A3C1-5F3A5C4B3837}"/>
            </c:ext>
          </c:extLst>
        </c:ser>
        <c:dLbls>
          <c:showLegendKey val="0"/>
          <c:showVal val="0"/>
          <c:showCatName val="0"/>
          <c:showSerName val="0"/>
          <c:showPercent val="0"/>
          <c:showBubbleSize val="0"/>
        </c:dLbls>
        <c:gapWidth val="219"/>
        <c:overlap val="-27"/>
        <c:axId val="536223528"/>
        <c:axId val="536223920"/>
        <c:extLst>
          <c:ext xmlns:c15="http://schemas.microsoft.com/office/drawing/2012/chart" uri="{02D57815-91ED-43cb-92C2-25804820EDAC}">
            <c15:filteredBarSeries>
              <c15:ser>
                <c:idx val="8"/>
                <c:order val="1"/>
                <c:tx>
                  <c:strRef>
                    <c:extLst>
                      <c:ext uri="{02D57815-91ED-43cb-92C2-25804820EDAC}">
                        <c15:formulaRef>
                          <c15:sqref>Adaptations!$L$6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Adaptations!$C$7:$C$20</c15:sqref>
                        </c15:fullRef>
                        <c15:formulaRef>
                          <c15:sqref>Adaptations!$C$7:$C$19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Dundee City</c:v>
                      </c:pt>
                      <c:pt idx="10">
                        <c:v>LGBF Family Group 2 Average</c:v>
                      </c:pt>
                      <c:pt idx="11">
                        <c:v>Glasgow City Region</c:v>
                      </c:pt>
                      <c:pt idx="12">
                        <c:v>Scotland</c:v>
                      </c:pt>
                    </c:strCache>
                  </c:strRef>
                </c:cat>
                <c:val>
                  <c:numRef>
                    <c:extLst>
                      <c:ext uri="{02D57815-91ED-43cb-92C2-25804820EDAC}">
                        <c15:fullRef>
                          <c15:sqref>Adaptations!$L$7:$L$20</c15:sqref>
                        </c15:fullRef>
                        <c15:formulaRef>
                          <c15:sqref>Adaptations!$L$7:$L$19</c15:sqref>
                        </c15:formulaRef>
                      </c:ext>
                    </c:extLst>
                    <c:numCache>
                      <c:formatCode>#,##0</c:formatCode>
                      <c:ptCount val="13"/>
                      <c:pt idx="0">
                        <c:v>7800</c:v>
                      </c:pt>
                      <c:pt idx="1">
                        <c:v>6500</c:v>
                      </c:pt>
                      <c:pt idx="2">
                        <c:v>25700</c:v>
                      </c:pt>
                      <c:pt idx="3">
                        <c:v>8500</c:v>
                      </c:pt>
                      <c:pt idx="4">
                        <c:v>400</c:v>
                      </c:pt>
                      <c:pt idx="5">
                        <c:v>15800</c:v>
                      </c:pt>
                      <c:pt idx="6">
                        <c:v>14200</c:v>
                      </c:pt>
                      <c:pt idx="7">
                        <c:v>8900</c:v>
                      </c:pt>
                    </c:numCache>
                  </c:numRef>
                </c:val>
                <c:extLst>
                  <c:ext xmlns:c16="http://schemas.microsoft.com/office/drawing/2014/chart" uri="{C3380CC4-5D6E-409C-BE32-E72D297353CC}">
                    <c16:uniqueId val="{00000002-373A-4322-A3C1-5F3A5C4B3837}"/>
                  </c:ext>
                </c:extLst>
              </c15:ser>
            </c15:filteredBarSeries>
          </c:ext>
        </c:extLst>
      </c:barChart>
      <c:catAx>
        <c:axId val="536223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3920"/>
        <c:crosses val="autoZero"/>
        <c:auto val="1"/>
        <c:lblAlgn val="ctr"/>
        <c:lblOffset val="100"/>
        <c:noMultiLvlLbl val="0"/>
      </c:catAx>
      <c:valAx>
        <c:axId val="5362239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Adaptations!$F$22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Adaptations!$L$6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Adaptations!$C$7:$C$20</c15:sqref>
                  </c15:fullRef>
                </c:ext>
              </c:extLst>
              <c:f>Adaptations!$C$7:$C$14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Adaptations!$L$7:$L$20</c15:sqref>
                  </c15:fullRef>
                </c:ext>
              </c:extLst>
              <c:f>Adaptations!$L$7:$L$14</c:f>
              <c:numCache>
                <c:formatCode>#,##0</c:formatCode>
                <c:ptCount val="8"/>
                <c:pt idx="0">
                  <c:v>7800</c:v>
                </c:pt>
                <c:pt idx="1">
                  <c:v>6500</c:v>
                </c:pt>
                <c:pt idx="2">
                  <c:v>25700</c:v>
                </c:pt>
                <c:pt idx="3">
                  <c:v>8500</c:v>
                </c:pt>
                <c:pt idx="4">
                  <c:v>400</c:v>
                </c:pt>
                <c:pt idx="5">
                  <c:v>15800</c:v>
                </c:pt>
                <c:pt idx="6">
                  <c:v>14200</c:v>
                </c:pt>
                <c:pt idx="7">
                  <c:v>8900</c:v>
                </c:pt>
              </c:numCache>
            </c:numRef>
          </c:val>
          <c:extLst>
            <c:ext xmlns:c16="http://schemas.microsoft.com/office/drawing/2014/chart" uri="{C3380CC4-5D6E-409C-BE32-E72D297353CC}">
              <c16:uniqueId val="{00000000-7E95-41DE-9999-69CADD2B274C}"/>
            </c:ext>
          </c:extLst>
        </c:ser>
        <c:dLbls>
          <c:showLegendKey val="0"/>
          <c:showVal val="0"/>
          <c:showCatName val="0"/>
          <c:showSerName val="0"/>
          <c:showPercent val="0"/>
          <c:showBubbleSize val="0"/>
        </c:dLbls>
        <c:gapWidth val="219"/>
        <c:axId val="536224704"/>
        <c:axId val="536225096"/>
        <c:extLst>
          <c:ext xmlns:c15="http://schemas.microsoft.com/office/drawing/2012/chart" uri="{02D57815-91ED-43cb-92C2-25804820EDAC}">
            <c15:filteredBarSeries>
              <c15:ser>
                <c:idx val="3"/>
                <c:order val="0"/>
                <c:tx>
                  <c:strRef>
                    <c:extLst>
                      <c:ext uri="{02D57815-91ED-43cb-92C2-25804820EDAC}">
                        <c15:formulaRef>
                          <c15:sqref>Adaptations!$G$6</c15:sqref>
                        </c15:formulaRef>
                      </c:ext>
                    </c:extLst>
                    <c:strCache>
                      <c:ptCount val="1"/>
                      <c:pt idx="0">
                        <c:v>17/19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Adaptations!$C$7:$C$20</c15:sqref>
                        </c15:fullRef>
                        <c15:formulaRef>
                          <c15:sqref>Adaptations!$C$7:$C$14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Adaptations!$G$7:$G$20</c15:sqref>
                        </c15:fullRef>
                        <c15:formulaRef>
                          <c15:sqref>Adaptations!$G$7:$G$14</c15:sqref>
                        </c15:formulaRef>
                      </c:ext>
                    </c:extLst>
                    <c:numCache>
                      <c:formatCode>0.0%</c:formatCode>
                      <c:ptCount val="8"/>
                      <c:pt idx="0">
                        <c:v>0.16434000000000001</c:v>
                      </c:pt>
                      <c:pt idx="1">
                        <c:v>0.16718000000000002</c:v>
                      </c:pt>
                      <c:pt idx="2">
                        <c:v>0.24669000000000002</c:v>
                      </c:pt>
                      <c:pt idx="3">
                        <c:v>0.10979000000000001</c:v>
                      </c:pt>
                      <c:pt idx="4">
                        <c:v>0.33126000000000005</c:v>
                      </c:pt>
                      <c:pt idx="5">
                        <c:v>0.15057000000000001</c:v>
                      </c:pt>
                      <c:pt idx="6">
                        <c:v>0.23742000000000002</c:v>
                      </c:pt>
                      <c:pt idx="7">
                        <c:v>0.12798000000000001</c:v>
                      </c:pt>
                    </c:numCache>
                  </c:numRef>
                </c:val>
                <c:extLst>
                  <c:ext xmlns:c16="http://schemas.microsoft.com/office/drawing/2014/chart" uri="{C3380CC4-5D6E-409C-BE32-E72D297353CC}">
                    <c16:uniqueId val="{00000001-7E95-41DE-9999-69CADD2B274C}"/>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Adaptations!$K$6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Adaptations!$C$7:$C$20</c15:sqref>
                        </c15:fullRef>
                        <c15:formulaRef>
                          <c15:sqref>Adaptations!$C$7:$C$14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Adaptations!$K$7:$K$20</c15:sqref>
                        </c15:fullRef>
                        <c15:formulaRef>
                          <c15:sqref>Adaptations!$K$7:$K$14</c15:sqref>
                        </c15:formulaRef>
                      </c:ext>
                    </c:extLst>
                    <c:numCache>
                      <c:formatCode>0.0%</c:formatCode>
                      <c:ptCount val="8"/>
                      <c:pt idx="0">
                        <c:v>0.16958000000000004</c:v>
                      </c:pt>
                      <c:pt idx="1">
                        <c:v>0.16674000000000003</c:v>
                      </c:pt>
                      <c:pt idx="2">
                        <c:v>8.723000000000003E-2</c:v>
                      </c:pt>
                      <c:pt idx="3">
                        <c:v>0.22413000000000005</c:v>
                      </c:pt>
                      <c:pt idx="4">
                        <c:v>2.6599999999999957E-3</c:v>
                      </c:pt>
                      <c:pt idx="5">
                        <c:v>0.18335000000000004</c:v>
                      </c:pt>
                      <c:pt idx="6">
                        <c:v>9.650000000000003E-2</c:v>
                      </c:pt>
                      <c:pt idx="7">
                        <c:v>0.20594000000000004</c:v>
                      </c:pt>
                    </c:numCache>
                  </c:numRef>
                </c:val>
                <c:extLst xmlns:c15="http://schemas.microsoft.com/office/drawing/2012/chart">
                  <c:ext xmlns:c16="http://schemas.microsoft.com/office/drawing/2014/chart" uri="{C3380CC4-5D6E-409C-BE32-E72D297353CC}">
                    <c16:uniqueId val="{00000002-7E95-41DE-9999-69CADD2B274C}"/>
                  </c:ext>
                </c:extLst>
              </c15:ser>
            </c15:filteredBarSeries>
          </c:ext>
        </c:extLst>
      </c:barChart>
      <c:catAx>
        <c:axId val="536224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5096"/>
        <c:crosses val="autoZero"/>
        <c:auto val="1"/>
        <c:lblAlgn val="ctr"/>
        <c:lblOffset val="100"/>
        <c:noMultiLvlLbl val="0"/>
      </c:catAx>
      <c:valAx>
        <c:axId val="536225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4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SHQS!$C$2</c:f>
          <c:strCache>
            <c:ptCount val="1"/>
            <c:pt idx="0">
              <c:v>% Dwellings that fail the Scottish Household Quality Standard</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SHQS!$G$6</c:f>
              <c:strCache>
                <c:ptCount val="1"/>
                <c:pt idx="0">
                  <c:v>17/19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SHQS!$C$7:$C$20</c15:sqref>
                  </c15:fullRef>
                </c:ext>
              </c:extLst>
              <c:f>SHQS!$C$7:$C$19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Clackmannanshire</c:v>
                </c:pt>
                <c:pt idx="10">
                  <c:v>LGBF Family Group 3 Average</c:v>
                </c:pt>
                <c:pt idx="11">
                  <c:v>Glasgow City Region</c:v>
                </c:pt>
                <c:pt idx="12">
                  <c:v>Scotland</c:v>
                </c:pt>
              </c:strCache>
            </c:strRef>
          </c:cat>
          <c:val>
            <c:numRef>
              <c:extLst>
                <c:ext xmlns:c15="http://schemas.microsoft.com/office/drawing/2012/chart" uri="{02D57815-91ED-43cb-92C2-25804820EDAC}">
                  <c15:fullRef>
                    <c15:sqref>SHQS!$G$7:$G$20</c15:sqref>
                  </c15:fullRef>
                </c:ext>
              </c:extLst>
              <c:f>SHQS!$G$7:$G$19</c:f>
              <c:numCache>
                <c:formatCode>0.0%</c:formatCode>
                <c:ptCount val="13"/>
                <c:pt idx="0">
                  <c:v>0.48164000000000001</c:v>
                </c:pt>
                <c:pt idx="1">
                  <c:v>0.46623000000000003</c:v>
                </c:pt>
                <c:pt idx="2">
                  <c:v>0.35469000000000001</c:v>
                </c:pt>
                <c:pt idx="3">
                  <c:v>0.45604000000000006</c:v>
                </c:pt>
                <c:pt idx="4">
                  <c:v>0.37366000000000005</c:v>
                </c:pt>
                <c:pt idx="5">
                  <c:v>0.35599000000000003</c:v>
                </c:pt>
                <c:pt idx="6">
                  <c:v>0.42219000000000001</c:v>
                </c:pt>
                <c:pt idx="7">
                  <c:v>0.48655000000000004</c:v>
                </c:pt>
                <c:pt idx="9">
                  <c:v>0.24381000000000003</c:v>
                </c:pt>
                <c:pt idx="10">
                  <c:v>0.39401268700502451</c:v>
                </c:pt>
                <c:pt idx="11">
                  <c:v>0.39327822964152664</c:v>
                </c:pt>
                <c:pt idx="12">
                  <c:v>0.41</c:v>
                </c:pt>
              </c:numCache>
            </c:numRef>
          </c:val>
          <c:extLst>
            <c:ext xmlns:c16="http://schemas.microsoft.com/office/drawing/2014/chart" uri="{C3380CC4-5D6E-409C-BE32-E72D297353CC}">
              <c16:uniqueId val="{00000000-D421-4E18-A799-9FB3CFB0D063}"/>
            </c:ext>
          </c:extLst>
        </c:ser>
        <c:dLbls>
          <c:showLegendKey val="0"/>
          <c:showVal val="0"/>
          <c:showCatName val="0"/>
          <c:showSerName val="0"/>
          <c:showPercent val="0"/>
          <c:showBubbleSize val="0"/>
        </c:dLbls>
        <c:gapWidth val="219"/>
        <c:overlap val="-27"/>
        <c:axId val="536225880"/>
        <c:axId val="536226272"/>
        <c:extLst>
          <c:ext xmlns:c15="http://schemas.microsoft.com/office/drawing/2012/chart" uri="{02D57815-91ED-43cb-92C2-25804820EDAC}">
            <c15:filteredBarSeries>
              <c15:ser>
                <c:idx val="8"/>
                <c:order val="1"/>
                <c:tx>
                  <c:strRef>
                    <c:extLst>
                      <c:ext uri="{02D57815-91ED-43cb-92C2-25804820EDAC}">
                        <c15:formulaRef>
                          <c15:sqref>SHQS!$L$6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SHQS!$C$7:$C$20</c15:sqref>
                        </c15:fullRef>
                        <c15:formulaRef>
                          <c15:sqref>SHQS!$C$7:$C$19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Clackmannanshire</c:v>
                      </c:pt>
                      <c:pt idx="10">
                        <c:v>LGBF Family Group 3 Average</c:v>
                      </c:pt>
                      <c:pt idx="11">
                        <c:v>Glasgow City Region</c:v>
                      </c:pt>
                      <c:pt idx="12">
                        <c:v>Scotland</c:v>
                      </c:pt>
                    </c:strCache>
                  </c:strRef>
                </c:cat>
                <c:val>
                  <c:numRef>
                    <c:extLst>
                      <c:ext uri="{02D57815-91ED-43cb-92C2-25804820EDAC}">
                        <c15:fullRef>
                          <c15:sqref>SHQS!$L$7:$L$20</c15:sqref>
                        </c15:fullRef>
                        <c15:formulaRef>
                          <c15:sqref>SHQS!$L$7:$L$19</c15:sqref>
                        </c15:formulaRef>
                      </c:ext>
                    </c:extLst>
                    <c:numCache>
                      <c:formatCode>#,##0</c:formatCode>
                      <c:ptCount val="13"/>
                      <c:pt idx="0">
                        <c:v>-11000</c:v>
                      </c:pt>
                      <c:pt idx="1">
                        <c:v>-8700</c:v>
                      </c:pt>
                      <c:pt idx="2">
                        <c:v>-32700</c:v>
                      </c:pt>
                      <c:pt idx="3">
                        <c:v>-8000</c:v>
                      </c:pt>
                      <c:pt idx="4">
                        <c:v>-19800</c:v>
                      </c:pt>
                      <c:pt idx="5">
                        <c:v>-9800</c:v>
                      </c:pt>
                      <c:pt idx="6">
                        <c:v>-26300</c:v>
                      </c:pt>
                      <c:pt idx="7">
                        <c:v>-10400</c:v>
                      </c:pt>
                    </c:numCache>
                  </c:numRef>
                </c:val>
                <c:extLst>
                  <c:ext xmlns:c16="http://schemas.microsoft.com/office/drawing/2014/chart" uri="{C3380CC4-5D6E-409C-BE32-E72D297353CC}">
                    <c16:uniqueId val="{00000002-D421-4E18-A799-9FB3CFB0D063}"/>
                  </c:ext>
                </c:extLst>
              </c15:ser>
            </c15:filteredBarSeries>
          </c:ext>
        </c:extLst>
      </c:barChart>
      <c:catAx>
        <c:axId val="536225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6272"/>
        <c:crosses val="autoZero"/>
        <c:auto val="1"/>
        <c:lblAlgn val="ctr"/>
        <c:lblOffset val="100"/>
        <c:noMultiLvlLbl val="0"/>
      </c:catAx>
      <c:valAx>
        <c:axId val="53622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5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SHQS!$F$22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SHQS!$L$6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SHQS!$C$7:$C$20</c15:sqref>
                  </c15:fullRef>
                </c:ext>
              </c:extLst>
              <c:f>SHQS!$C$7:$C$14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SHQS!$L$7:$L$20</c15:sqref>
                  </c15:fullRef>
                </c:ext>
              </c:extLst>
              <c:f>SHQS!$L$7:$L$14</c:f>
              <c:numCache>
                <c:formatCode>#,##0</c:formatCode>
                <c:ptCount val="8"/>
                <c:pt idx="0">
                  <c:v>-11000</c:v>
                </c:pt>
                <c:pt idx="1">
                  <c:v>-8700</c:v>
                </c:pt>
                <c:pt idx="2">
                  <c:v>-32700</c:v>
                </c:pt>
                <c:pt idx="3">
                  <c:v>-8000</c:v>
                </c:pt>
                <c:pt idx="4">
                  <c:v>-19800</c:v>
                </c:pt>
                <c:pt idx="5">
                  <c:v>-9800</c:v>
                </c:pt>
                <c:pt idx="6">
                  <c:v>-26300</c:v>
                </c:pt>
                <c:pt idx="7">
                  <c:v>-10400</c:v>
                </c:pt>
              </c:numCache>
            </c:numRef>
          </c:val>
          <c:extLst>
            <c:ext xmlns:c16="http://schemas.microsoft.com/office/drawing/2014/chart" uri="{C3380CC4-5D6E-409C-BE32-E72D297353CC}">
              <c16:uniqueId val="{00000000-1138-4E31-A13E-17F67A61DB8C}"/>
            </c:ext>
          </c:extLst>
        </c:ser>
        <c:dLbls>
          <c:showLegendKey val="0"/>
          <c:showVal val="0"/>
          <c:showCatName val="0"/>
          <c:showSerName val="0"/>
          <c:showPercent val="0"/>
          <c:showBubbleSize val="0"/>
        </c:dLbls>
        <c:gapWidth val="219"/>
        <c:axId val="536227056"/>
        <c:axId val="537554960"/>
        <c:extLst>
          <c:ext xmlns:c15="http://schemas.microsoft.com/office/drawing/2012/chart" uri="{02D57815-91ED-43cb-92C2-25804820EDAC}">
            <c15:filteredBarSeries>
              <c15:ser>
                <c:idx val="3"/>
                <c:order val="0"/>
                <c:tx>
                  <c:strRef>
                    <c:extLst>
                      <c:ext uri="{02D57815-91ED-43cb-92C2-25804820EDAC}">
                        <c15:formulaRef>
                          <c15:sqref>SHQS!$G$6</c15:sqref>
                        </c15:formulaRef>
                      </c:ext>
                    </c:extLst>
                    <c:strCache>
                      <c:ptCount val="1"/>
                      <c:pt idx="0">
                        <c:v>17/19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SHQS!$C$7:$C$20</c15:sqref>
                        </c15:fullRef>
                        <c15:formulaRef>
                          <c15:sqref>SHQS!$C$7:$C$14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SHQS!$G$7:$G$20</c15:sqref>
                        </c15:fullRef>
                        <c15:formulaRef>
                          <c15:sqref>SHQS!$G$7:$G$14</c15:sqref>
                        </c15:formulaRef>
                      </c:ext>
                    </c:extLst>
                    <c:numCache>
                      <c:formatCode>0.0%</c:formatCode>
                      <c:ptCount val="8"/>
                      <c:pt idx="0">
                        <c:v>0.48164000000000001</c:v>
                      </c:pt>
                      <c:pt idx="1">
                        <c:v>0.46623000000000003</c:v>
                      </c:pt>
                      <c:pt idx="2">
                        <c:v>0.35469000000000001</c:v>
                      </c:pt>
                      <c:pt idx="3">
                        <c:v>0.45604000000000006</c:v>
                      </c:pt>
                      <c:pt idx="4">
                        <c:v>0.37366000000000005</c:v>
                      </c:pt>
                      <c:pt idx="5">
                        <c:v>0.35599000000000003</c:v>
                      </c:pt>
                      <c:pt idx="6">
                        <c:v>0.42219000000000001</c:v>
                      </c:pt>
                      <c:pt idx="7">
                        <c:v>0.48655000000000004</c:v>
                      </c:pt>
                    </c:numCache>
                  </c:numRef>
                </c:val>
                <c:extLst>
                  <c:ext xmlns:c16="http://schemas.microsoft.com/office/drawing/2014/chart" uri="{C3380CC4-5D6E-409C-BE32-E72D297353CC}">
                    <c16:uniqueId val="{00000001-1138-4E31-A13E-17F67A61DB8C}"/>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SHQS!$K$6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SHQS!$C$7:$C$20</c15:sqref>
                        </c15:fullRef>
                        <c15:formulaRef>
                          <c15:sqref>SHQS!$C$7:$C$14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SHQS!$K$7:$K$20</c15:sqref>
                        </c15:fullRef>
                        <c15:formulaRef>
                          <c15:sqref>SHQS!$K$7:$K$14</c15:sqref>
                        </c15:formulaRef>
                      </c:ext>
                    </c:extLst>
                    <c:numCache>
                      <c:formatCode>0.0%</c:formatCode>
                      <c:ptCount val="8"/>
                      <c:pt idx="0">
                        <c:v>-0.23782999999999999</c:v>
                      </c:pt>
                      <c:pt idx="1">
                        <c:v>-0.22242000000000001</c:v>
                      </c:pt>
                      <c:pt idx="2">
                        <c:v>-0.11087999999999998</c:v>
                      </c:pt>
                      <c:pt idx="3">
                        <c:v>-0.21223000000000003</c:v>
                      </c:pt>
                      <c:pt idx="4">
                        <c:v>-0.12985000000000002</c:v>
                      </c:pt>
                      <c:pt idx="5">
                        <c:v>-0.11218</c:v>
                      </c:pt>
                      <c:pt idx="6">
                        <c:v>-0.17837999999999998</c:v>
                      </c:pt>
                      <c:pt idx="7">
                        <c:v>-0.24274000000000001</c:v>
                      </c:pt>
                    </c:numCache>
                  </c:numRef>
                </c:val>
                <c:extLst xmlns:c15="http://schemas.microsoft.com/office/drawing/2012/chart">
                  <c:ext xmlns:c16="http://schemas.microsoft.com/office/drawing/2014/chart" uri="{C3380CC4-5D6E-409C-BE32-E72D297353CC}">
                    <c16:uniqueId val="{00000002-1138-4E31-A13E-17F67A61DB8C}"/>
                  </c:ext>
                </c:extLst>
              </c15:ser>
            </c15:filteredBarSeries>
          </c:ext>
        </c:extLst>
      </c:barChart>
      <c:catAx>
        <c:axId val="536227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4960"/>
        <c:crosses val="autoZero"/>
        <c:auto val="1"/>
        <c:lblAlgn val="ctr"/>
        <c:lblOffset val="100"/>
        <c:noMultiLvlLbl val="0"/>
      </c:catAx>
      <c:valAx>
        <c:axId val="53755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227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Disrepair!$C$2</c:f>
          <c:strCache>
            <c:ptCount val="1"/>
            <c:pt idx="0">
              <c:v>% Dwellings that are in Disrepair</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Disrepair!$G$6</c:f>
              <c:strCache>
                <c:ptCount val="1"/>
                <c:pt idx="0">
                  <c:v>17/19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Disrepair!$C$7:$C$20</c15:sqref>
                  </c15:fullRef>
                </c:ext>
              </c:extLst>
              <c:f>Disrepair!$C$7:$C$19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North Ayrshire</c:v>
                </c:pt>
                <c:pt idx="10">
                  <c:v>LGBF Family Group 3 Average</c:v>
                </c:pt>
                <c:pt idx="11">
                  <c:v>Glasgow City Region</c:v>
                </c:pt>
                <c:pt idx="12">
                  <c:v>Scotland</c:v>
                </c:pt>
              </c:strCache>
            </c:strRef>
          </c:cat>
          <c:val>
            <c:numRef>
              <c:extLst>
                <c:ext xmlns:c15="http://schemas.microsoft.com/office/drawing/2012/chart" uri="{02D57815-91ED-43cb-92C2-25804820EDAC}">
                  <c15:fullRef>
                    <c15:sqref>Disrepair!$G$7:$G$20</c15:sqref>
                  </c15:fullRef>
                </c:ext>
              </c:extLst>
              <c:f>Disrepair!$G$7:$G$19</c:f>
              <c:numCache>
                <c:formatCode>0.0%</c:formatCode>
                <c:ptCount val="13"/>
                <c:pt idx="0">
                  <c:v>0.80710000000000004</c:v>
                </c:pt>
                <c:pt idx="1">
                  <c:v>0.66009000000000007</c:v>
                </c:pt>
                <c:pt idx="2">
                  <c:v>0.79720000000000002</c:v>
                </c:pt>
                <c:pt idx="3">
                  <c:v>0.66387000000000007</c:v>
                </c:pt>
                <c:pt idx="4">
                  <c:v>0.71742000000000006</c:v>
                </c:pt>
                <c:pt idx="5">
                  <c:v>0.62008000000000008</c:v>
                </c:pt>
                <c:pt idx="6">
                  <c:v>0.68225000000000002</c:v>
                </c:pt>
                <c:pt idx="7">
                  <c:v>0.79198000000000002</c:v>
                </c:pt>
                <c:pt idx="9">
                  <c:v>0.52871000000000001</c:v>
                </c:pt>
                <c:pt idx="10">
                  <c:v>0.63810362149889255</c:v>
                </c:pt>
                <c:pt idx="11">
                  <c:v>0.73272109364065818</c:v>
                </c:pt>
                <c:pt idx="12">
                  <c:v>0.71</c:v>
                </c:pt>
              </c:numCache>
            </c:numRef>
          </c:val>
          <c:extLst>
            <c:ext xmlns:c16="http://schemas.microsoft.com/office/drawing/2014/chart" uri="{C3380CC4-5D6E-409C-BE32-E72D297353CC}">
              <c16:uniqueId val="{00000000-605C-430E-9EA8-E65F3D8CE5F5}"/>
            </c:ext>
          </c:extLst>
        </c:ser>
        <c:dLbls>
          <c:showLegendKey val="0"/>
          <c:showVal val="0"/>
          <c:showCatName val="0"/>
          <c:showSerName val="0"/>
          <c:showPercent val="0"/>
          <c:showBubbleSize val="0"/>
        </c:dLbls>
        <c:gapWidth val="219"/>
        <c:overlap val="-27"/>
        <c:axId val="537555744"/>
        <c:axId val="537556136"/>
        <c:extLst>
          <c:ext xmlns:c15="http://schemas.microsoft.com/office/drawing/2012/chart" uri="{02D57815-91ED-43cb-92C2-25804820EDAC}">
            <c15:filteredBarSeries>
              <c15:ser>
                <c:idx val="8"/>
                <c:order val="1"/>
                <c:tx>
                  <c:strRef>
                    <c:extLst>
                      <c:ext uri="{02D57815-91ED-43cb-92C2-25804820EDAC}">
                        <c15:formulaRef>
                          <c15:sqref>Disrepair!$L$6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Disrepair!$C$7:$C$20</c15:sqref>
                        </c15:fullRef>
                        <c15:formulaRef>
                          <c15:sqref>Disrepair!$C$7:$C$19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North Ayrshire</c:v>
                      </c:pt>
                      <c:pt idx="10">
                        <c:v>LGBF Family Group 3 Average</c:v>
                      </c:pt>
                      <c:pt idx="11">
                        <c:v>Glasgow City Region</c:v>
                      </c:pt>
                      <c:pt idx="12">
                        <c:v>Scotland</c:v>
                      </c:pt>
                    </c:strCache>
                  </c:strRef>
                </c:cat>
                <c:val>
                  <c:numRef>
                    <c:extLst>
                      <c:ext uri="{02D57815-91ED-43cb-92C2-25804820EDAC}">
                        <c15:fullRef>
                          <c15:sqref>Disrepair!$L$7:$L$20</c15:sqref>
                        </c15:fullRef>
                        <c15:formulaRef>
                          <c15:sqref>Disrepair!$L$7:$L$19</c15:sqref>
                        </c15:formulaRef>
                      </c:ext>
                    </c:extLst>
                    <c:numCache>
                      <c:formatCode>#,##0</c:formatCode>
                      <c:ptCount val="13"/>
                      <c:pt idx="0">
                        <c:v>-12900</c:v>
                      </c:pt>
                      <c:pt idx="1">
                        <c:v>-5200</c:v>
                      </c:pt>
                      <c:pt idx="2">
                        <c:v>-79100</c:v>
                      </c:pt>
                      <c:pt idx="3">
                        <c:v>-5100</c:v>
                      </c:pt>
                      <c:pt idx="4">
                        <c:v>-28800</c:v>
                      </c:pt>
                      <c:pt idx="5">
                        <c:v>-8000</c:v>
                      </c:pt>
                      <c:pt idx="6">
                        <c:v>-22700</c:v>
                      </c:pt>
                      <c:pt idx="7">
                        <c:v>-11300</c:v>
                      </c:pt>
                    </c:numCache>
                  </c:numRef>
                </c:val>
                <c:extLst>
                  <c:ext xmlns:c16="http://schemas.microsoft.com/office/drawing/2014/chart" uri="{C3380CC4-5D6E-409C-BE32-E72D297353CC}">
                    <c16:uniqueId val="{00000002-605C-430E-9EA8-E65F3D8CE5F5}"/>
                  </c:ext>
                </c:extLst>
              </c15:ser>
            </c15:filteredBarSeries>
          </c:ext>
        </c:extLst>
      </c:barChart>
      <c:catAx>
        <c:axId val="537555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6136"/>
        <c:crosses val="autoZero"/>
        <c:auto val="1"/>
        <c:lblAlgn val="ctr"/>
        <c:lblOffset val="100"/>
        <c:noMultiLvlLbl val="0"/>
      </c:catAx>
      <c:valAx>
        <c:axId val="5375561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'Claimant Count'!$L$6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Count'!$C$7:$C$20</c15:sqref>
                  </c15:fullRef>
                </c:ext>
              </c:extLst>
              <c:f>'Claimant Count'!$C$7:$C$14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'Claimant Count'!$L$7:$L$20</c15:sqref>
                  </c15:fullRef>
                </c:ext>
              </c:extLst>
              <c:f>'Claimant Count'!$L$7:$L$14</c:f>
              <c:numCache>
                <c:formatCode>#,##0</c:formatCode>
                <c:ptCount val="8"/>
                <c:pt idx="0">
                  <c:v>-400</c:v>
                </c:pt>
                <c:pt idx="1">
                  <c:v>-200</c:v>
                </c:pt>
                <c:pt idx="2">
                  <c:v>-17000</c:v>
                </c:pt>
                <c:pt idx="3">
                  <c:v>-1100</c:v>
                </c:pt>
                <c:pt idx="4">
                  <c:v>-4300</c:v>
                </c:pt>
                <c:pt idx="5">
                  <c:v>-2000</c:v>
                </c:pt>
                <c:pt idx="6">
                  <c:v>-3200</c:v>
                </c:pt>
                <c:pt idx="7">
                  <c:v>-1500</c:v>
                </c:pt>
              </c:numCache>
            </c:numRef>
          </c:val>
          <c:extLst>
            <c:ext xmlns:c16="http://schemas.microsoft.com/office/drawing/2014/chart" uri="{C3380CC4-5D6E-409C-BE32-E72D297353CC}">
              <c16:uniqueId val="{00000000-5FFC-4E9B-A30A-B2D2638872AA}"/>
            </c:ext>
          </c:extLst>
        </c:ser>
        <c:dLbls>
          <c:showLegendKey val="0"/>
          <c:showVal val="0"/>
          <c:showCatName val="0"/>
          <c:showSerName val="0"/>
          <c:showPercent val="0"/>
          <c:showBubbleSize val="0"/>
        </c:dLbls>
        <c:gapWidth val="219"/>
        <c:axId val="472932320"/>
        <c:axId val="472932712"/>
        <c:extLst>
          <c:ext xmlns:c15="http://schemas.microsoft.com/office/drawing/2012/chart" uri="{02D57815-91ED-43cb-92C2-25804820EDAC}">
            <c15:filteredBarSeries>
              <c15:ser>
                <c:idx val="3"/>
                <c:order val="0"/>
                <c:tx>
                  <c:strRef>
                    <c:extLst>
                      <c:ext uri="{02D57815-91ED-43cb-92C2-25804820EDAC}">
                        <c15:formulaRef>
                          <c15:sqref>'Claimant Count'!$G$6</c15:sqref>
                        </c15:formulaRef>
                      </c:ext>
                    </c:extLst>
                    <c:strCache>
                      <c:ptCount val="1"/>
                      <c:pt idx="0">
                        <c:v>Sep-24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'Claimant Count'!$C$7:$C$20</c15:sqref>
                        </c15:fullRef>
                        <c15:formulaRef>
                          <c15:sqref>'Claimant Count'!$C$7:$C$14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'Claimant Count'!$G$7:$G$20</c15:sqref>
                        </c15:fullRef>
                        <c15:formulaRef>
                          <c15:sqref>'Claimant Count'!$G$7:$G$14</c15:sqref>
                        </c15:formulaRef>
                      </c:ext>
                    </c:extLst>
                    <c:numCache>
                      <c:formatCode>0.0</c:formatCode>
                      <c:ptCount val="8"/>
                      <c:pt idx="0">
                        <c:v>2.1</c:v>
                      </c:pt>
                      <c:pt idx="1">
                        <c:v>2</c:v>
                      </c:pt>
                      <c:pt idx="2">
                        <c:v>5.3</c:v>
                      </c:pt>
                      <c:pt idx="3">
                        <c:v>3.7</c:v>
                      </c:pt>
                      <c:pt idx="4">
                        <c:v>3.5</c:v>
                      </c:pt>
                      <c:pt idx="5">
                        <c:v>3.2</c:v>
                      </c:pt>
                      <c:pt idx="6">
                        <c:v>3.1</c:v>
                      </c:pt>
                      <c:pt idx="7">
                        <c:v>4.2</c:v>
                      </c:pt>
                    </c:numCache>
                  </c:numRef>
                </c:val>
                <c:extLst>
                  <c:ext xmlns:c16="http://schemas.microsoft.com/office/drawing/2014/chart" uri="{C3380CC4-5D6E-409C-BE32-E72D297353CC}">
                    <c16:uniqueId val="{00000001-5FFC-4E9B-A30A-B2D2638872A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'Claimant Count'!$K$6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Count'!$C$7:$C$20</c15:sqref>
                        </c15:fullRef>
                        <c15:formulaRef>
                          <c15:sqref>'Claimant Count'!$C$7:$C$14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'Claimant Count'!$K$7:$K$20</c15:sqref>
                        </c15:fullRef>
                        <c15:formulaRef>
                          <c15:sqref>'Claimant Count'!$K$7:$K$14</c15:sqref>
                        </c15:formulaRef>
                      </c:ext>
                    </c:extLst>
                    <c:numCache>
                      <c:formatCode>0.0</c:formatCode>
                      <c:ptCount val="8"/>
                      <c:pt idx="0">
                        <c:v>-0.60000000000000009</c:v>
                      </c:pt>
                      <c:pt idx="1">
                        <c:v>-0.5</c:v>
                      </c:pt>
                      <c:pt idx="2">
                        <c:v>-3.8</c:v>
                      </c:pt>
                      <c:pt idx="3">
                        <c:v>-2.2000000000000002</c:v>
                      </c:pt>
                      <c:pt idx="4">
                        <c:v>-2</c:v>
                      </c:pt>
                      <c:pt idx="5">
                        <c:v>-1.7000000000000002</c:v>
                      </c:pt>
                      <c:pt idx="6">
                        <c:v>-1.6</c:v>
                      </c:pt>
                      <c:pt idx="7">
                        <c:v>-2.7</c:v>
                      </c:pt>
                    </c:numCache>
                  </c:numRef>
                </c:val>
                <c:extLst xmlns:c15="http://schemas.microsoft.com/office/drawing/2012/chart">
                  <c:ext xmlns:c16="http://schemas.microsoft.com/office/drawing/2014/chart" uri="{C3380CC4-5D6E-409C-BE32-E72D297353CC}">
                    <c16:uniqueId val="{00000002-5FFC-4E9B-A30A-B2D2638872AA}"/>
                  </c:ext>
                </c:extLst>
              </c15:ser>
            </c15:filteredBarSeries>
          </c:ext>
        </c:extLst>
      </c:barChart>
      <c:catAx>
        <c:axId val="47293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712"/>
        <c:crosses val="autoZero"/>
        <c:auto val="1"/>
        <c:lblAlgn val="ctr"/>
        <c:lblOffset val="100"/>
        <c:noMultiLvlLbl val="0"/>
      </c:catAx>
      <c:valAx>
        <c:axId val="47293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Disrepair!$F$22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Disrepair!$L$6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Disrepair!$C$7:$C$20</c15:sqref>
                  </c15:fullRef>
                </c:ext>
              </c:extLst>
              <c:f>Disrepair!$C$7:$C$14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Disrepair!$L$7:$L$20</c15:sqref>
                  </c15:fullRef>
                </c:ext>
              </c:extLst>
              <c:f>Disrepair!$L$7:$L$14</c:f>
              <c:numCache>
                <c:formatCode>#,##0</c:formatCode>
                <c:ptCount val="8"/>
                <c:pt idx="0">
                  <c:v>-12900</c:v>
                </c:pt>
                <c:pt idx="1">
                  <c:v>-5200</c:v>
                </c:pt>
                <c:pt idx="2">
                  <c:v>-79100</c:v>
                </c:pt>
                <c:pt idx="3">
                  <c:v>-5100</c:v>
                </c:pt>
                <c:pt idx="4">
                  <c:v>-28800</c:v>
                </c:pt>
                <c:pt idx="5">
                  <c:v>-8000</c:v>
                </c:pt>
                <c:pt idx="6">
                  <c:v>-22700</c:v>
                </c:pt>
                <c:pt idx="7">
                  <c:v>-11300</c:v>
                </c:pt>
              </c:numCache>
            </c:numRef>
          </c:val>
          <c:extLst>
            <c:ext xmlns:c16="http://schemas.microsoft.com/office/drawing/2014/chart" uri="{C3380CC4-5D6E-409C-BE32-E72D297353CC}">
              <c16:uniqueId val="{00000000-F177-4457-96AD-5A76EB3D485A}"/>
            </c:ext>
          </c:extLst>
        </c:ser>
        <c:dLbls>
          <c:showLegendKey val="0"/>
          <c:showVal val="0"/>
          <c:showCatName val="0"/>
          <c:showSerName val="0"/>
          <c:showPercent val="0"/>
          <c:showBubbleSize val="0"/>
        </c:dLbls>
        <c:gapWidth val="219"/>
        <c:axId val="537556920"/>
        <c:axId val="537557312"/>
        <c:extLst>
          <c:ext xmlns:c15="http://schemas.microsoft.com/office/drawing/2012/chart" uri="{02D57815-91ED-43cb-92C2-25804820EDAC}">
            <c15:filteredBarSeries>
              <c15:ser>
                <c:idx val="3"/>
                <c:order val="0"/>
                <c:tx>
                  <c:strRef>
                    <c:extLst>
                      <c:ext uri="{02D57815-91ED-43cb-92C2-25804820EDAC}">
                        <c15:formulaRef>
                          <c15:sqref>Disrepair!$G$6</c15:sqref>
                        </c15:formulaRef>
                      </c:ext>
                    </c:extLst>
                    <c:strCache>
                      <c:ptCount val="1"/>
                      <c:pt idx="0">
                        <c:v>17/19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Disrepair!$C$7:$C$20</c15:sqref>
                        </c15:fullRef>
                        <c15:formulaRef>
                          <c15:sqref>Disrepair!$C$7:$C$14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Disrepair!$G$7:$G$20</c15:sqref>
                        </c15:fullRef>
                        <c15:formulaRef>
                          <c15:sqref>Disrepair!$G$7:$G$14</c15:sqref>
                        </c15:formulaRef>
                      </c:ext>
                    </c:extLst>
                    <c:numCache>
                      <c:formatCode>0.0%</c:formatCode>
                      <c:ptCount val="8"/>
                      <c:pt idx="0">
                        <c:v>0.80710000000000004</c:v>
                      </c:pt>
                      <c:pt idx="1">
                        <c:v>0.66009000000000007</c:v>
                      </c:pt>
                      <c:pt idx="2">
                        <c:v>0.79720000000000002</c:v>
                      </c:pt>
                      <c:pt idx="3">
                        <c:v>0.66387000000000007</c:v>
                      </c:pt>
                      <c:pt idx="4">
                        <c:v>0.71742000000000006</c:v>
                      </c:pt>
                      <c:pt idx="5">
                        <c:v>0.62008000000000008</c:v>
                      </c:pt>
                      <c:pt idx="6">
                        <c:v>0.68225000000000002</c:v>
                      </c:pt>
                      <c:pt idx="7">
                        <c:v>0.79198000000000002</c:v>
                      </c:pt>
                    </c:numCache>
                  </c:numRef>
                </c:val>
                <c:extLst>
                  <c:ext xmlns:c16="http://schemas.microsoft.com/office/drawing/2014/chart" uri="{C3380CC4-5D6E-409C-BE32-E72D297353CC}">
                    <c16:uniqueId val="{00000001-F177-4457-96AD-5A76EB3D485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Disrepair!$K$6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Disrepair!$C$7:$C$20</c15:sqref>
                        </c15:fullRef>
                        <c15:formulaRef>
                          <c15:sqref>Disrepair!$C$7:$C$14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Disrepair!$K$7:$K$20</c15:sqref>
                        </c15:fullRef>
                        <c15:formulaRef>
                          <c15:sqref>Disrepair!$K$7:$K$14</c15:sqref>
                        </c15:formulaRef>
                      </c:ext>
                    </c:extLst>
                    <c:numCache>
                      <c:formatCode>0.0%</c:formatCode>
                      <c:ptCount val="8"/>
                      <c:pt idx="0">
                        <c:v>-0.27839000000000003</c:v>
                      </c:pt>
                      <c:pt idx="1">
                        <c:v>-0.13138000000000005</c:v>
                      </c:pt>
                      <c:pt idx="2">
                        <c:v>-0.26849000000000001</c:v>
                      </c:pt>
                      <c:pt idx="3">
                        <c:v>-0.13516000000000006</c:v>
                      </c:pt>
                      <c:pt idx="4">
                        <c:v>-0.18871000000000004</c:v>
                      </c:pt>
                      <c:pt idx="5">
                        <c:v>-9.1370000000000062E-2</c:v>
                      </c:pt>
                      <c:pt idx="6">
                        <c:v>-0.15354000000000001</c:v>
                      </c:pt>
                      <c:pt idx="7">
                        <c:v>-0.26327</c:v>
                      </c:pt>
                    </c:numCache>
                  </c:numRef>
                </c:val>
                <c:extLst xmlns:c15="http://schemas.microsoft.com/office/drawing/2012/chart">
                  <c:ext xmlns:c16="http://schemas.microsoft.com/office/drawing/2014/chart" uri="{C3380CC4-5D6E-409C-BE32-E72D297353CC}">
                    <c16:uniqueId val="{00000002-F177-4457-96AD-5A76EB3D485A}"/>
                  </c:ext>
                </c:extLst>
              </c15:ser>
            </c15:filteredBarSeries>
          </c:ext>
        </c:extLst>
      </c:barChart>
      <c:catAx>
        <c:axId val="537556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7312"/>
        <c:crosses val="autoZero"/>
        <c:auto val="1"/>
        <c:lblAlgn val="ctr"/>
        <c:lblOffset val="100"/>
        <c:noMultiLvlLbl val="0"/>
      </c:catAx>
      <c:valAx>
        <c:axId val="537557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6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'V&amp;DL'!$F$22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'V&amp;DL'!$K$6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'V&amp;DL'!$K$7:$K$14</c15:sqref>
                  </c15:fullRef>
                </c:ext>
              </c:extLst>
              <c:f>'V&amp;DL'!$K$7:$K$14</c:f>
              <c:numCache>
                <c:formatCode>0.0</c:formatCode>
                <c:ptCount val="8"/>
                <c:pt idx="0">
                  <c:v>-68.5</c:v>
                </c:pt>
                <c:pt idx="1">
                  <c:v>-37.400000000000006</c:v>
                </c:pt>
                <c:pt idx="2">
                  <c:v>-828.08</c:v>
                </c:pt>
                <c:pt idx="3">
                  <c:v>-141.64999999999998</c:v>
                </c:pt>
                <c:pt idx="4">
                  <c:v>-1278.1500000000001</c:v>
                </c:pt>
                <c:pt idx="5">
                  <c:v>-239</c:v>
                </c:pt>
                <c:pt idx="6">
                  <c:v>-307.88</c:v>
                </c:pt>
                <c:pt idx="7">
                  <c:v>-138.13999999999999</c:v>
                </c:pt>
              </c:numCache>
            </c:numRef>
          </c:val>
          <c:extLst>
            <c:ext xmlns:c16="http://schemas.microsoft.com/office/drawing/2014/chart" uri="{C3380CC4-5D6E-409C-BE32-E72D297353CC}">
              <c16:uniqueId val="{00000000-6D0D-43BD-BBD0-152905844EDB}"/>
            </c:ext>
          </c:extLst>
        </c:ser>
        <c:dLbls>
          <c:showLegendKey val="0"/>
          <c:showVal val="0"/>
          <c:showCatName val="0"/>
          <c:showSerName val="0"/>
          <c:showPercent val="0"/>
          <c:showBubbleSize val="0"/>
        </c:dLbls>
        <c:gapWidth val="219"/>
        <c:axId val="537558096"/>
        <c:axId val="53755848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6D0D-43BD-BBD0-152905844ED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6D0D-43BD-BBD0-152905844EDB}"/>
                  </c:ext>
                </c:extLst>
              </c15:ser>
            </c15:filteredBarSeries>
          </c:ext>
        </c:extLst>
      </c:barChart>
      <c:catAx>
        <c:axId val="537558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8488"/>
        <c:crosses val="autoZero"/>
        <c:auto val="1"/>
        <c:lblAlgn val="ctr"/>
        <c:lblOffset val="100"/>
        <c:noMultiLvlLbl val="0"/>
      </c:catAx>
      <c:valAx>
        <c:axId val="537558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'V&amp;DL'!$C$2</c:f>
          <c:strCache>
            <c:ptCount val="1"/>
            <c:pt idx="0">
              <c:v>Total Vacant &amp; Derelict Land (Ha)</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'V&amp;DL'!$G$6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'V&amp;DL'!$G$7:$G$20</c15:sqref>
                  </c15:fullRef>
                </c:ext>
              </c:extLst>
              <c:f>'V&amp;DL'!$G$7:$G$14</c:f>
              <c:numCache>
                <c:formatCode>#,##0.0</c:formatCode>
                <c:ptCount val="8"/>
                <c:pt idx="0">
                  <c:v>74.3</c:v>
                </c:pt>
                <c:pt idx="1">
                  <c:v>43.2</c:v>
                </c:pt>
                <c:pt idx="2">
                  <c:v>833.88</c:v>
                </c:pt>
                <c:pt idx="3">
                  <c:v>147.44999999999999</c:v>
                </c:pt>
                <c:pt idx="4">
                  <c:v>1283.95</c:v>
                </c:pt>
                <c:pt idx="5">
                  <c:v>244.8</c:v>
                </c:pt>
                <c:pt idx="6">
                  <c:v>313.68</c:v>
                </c:pt>
                <c:pt idx="7">
                  <c:v>143.94</c:v>
                </c:pt>
              </c:numCache>
            </c:numRef>
          </c:val>
          <c:extLst>
            <c:ext xmlns:c16="http://schemas.microsoft.com/office/drawing/2014/chart" uri="{C3380CC4-5D6E-409C-BE32-E72D297353CC}">
              <c16:uniqueId val="{00000000-543B-41A8-AB57-881840EE641A}"/>
            </c:ext>
          </c:extLst>
        </c:ser>
        <c:dLbls>
          <c:showLegendKey val="0"/>
          <c:showVal val="0"/>
          <c:showCatName val="0"/>
          <c:showSerName val="0"/>
          <c:showPercent val="0"/>
          <c:showBubbleSize val="0"/>
        </c:dLbls>
        <c:gapWidth val="219"/>
        <c:overlap val="-27"/>
        <c:axId val="537559272"/>
        <c:axId val="53755966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Employment!$L$7:$L$20</c15:sqref>
                        </c15:fullRef>
                        <c15:formulaRef>
                          <c15:sqref>Employment!$L$7:$L$14</c15:sqref>
                        </c15:formulaRef>
                      </c:ext>
                    </c:extLst>
                    <c:numCache>
                      <c:formatCode>#,##0</c:formatCode>
                      <c:ptCount val="8"/>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543B-41A8-AB57-881840EE641A}"/>
                  </c:ext>
                </c:extLst>
              </c15:ser>
            </c15:filteredBarSeries>
          </c:ext>
        </c:extLst>
      </c:barChart>
      <c:catAx>
        <c:axId val="537559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9664"/>
        <c:crosses val="autoZero"/>
        <c:auto val="1"/>
        <c:lblAlgn val="ctr"/>
        <c:lblOffset val="100"/>
        <c:noMultiLvlLbl val="0"/>
      </c:catAx>
      <c:valAx>
        <c:axId val="537559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59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'DL %'!$F$22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'DL %'!$L$6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'DL %'!$L$7:$L$14</c15:sqref>
                  </c15:fullRef>
                </c:ext>
              </c:extLst>
              <c:f>'DL %'!$L$7:$L$14</c:f>
              <c:numCache>
                <c:formatCode>#,##0</c:formatCode>
                <c:ptCount val="8"/>
                <c:pt idx="0">
                  <c:v>0</c:v>
                </c:pt>
                <c:pt idx="1">
                  <c:v>0</c:v>
                </c:pt>
                <c:pt idx="2">
                  <c:v>-500</c:v>
                </c:pt>
                <c:pt idx="3">
                  <c:v>-100</c:v>
                </c:pt>
                <c:pt idx="4">
                  <c:v>-1200</c:v>
                </c:pt>
                <c:pt idx="5">
                  <c:v>-100</c:v>
                </c:pt>
                <c:pt idx="6">
                  <c:v>-300</c:v>
                </c:pt>
                <c:pt idx="7">
                  <c:v>-100</c:v>
                </c:pt>
              </c:numCache>
            </c:numRef>
          </c:val>
          <c:extLst>
            <c:ext xmlns:c16="http://schemas.microsoft.com/office/drawing/2014/chart" uri="{C3380CC4-5D6E-409C-BE32-E72D297353CC}">
              <c16:uniqueId val="{00000000-E7F1-471F-9119-FF4C5AAAB8F8}"/>
            </c:ext>
          </c:extLst>
        </c:ser>
        <c:dLbls>
          <c:showLegendKey val="0"/>
          <c:showVal val="0"/>
          <c:showCatName val="0"/>
          <c:showSerName val="0"/>
          <c:showPercent val="0"/>
          <c:showBubbleSize val="0"/>
        </c:dLbls>
        <c:gapWidth val="219"/>
        <c:axId val="537560448"/>
        <c:axId val="537560840"/>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E7F1-471F-9119-FF4C5AAAB8F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E7F1-471F-9119-FF4C5AAAB8F8}"/>
                  </c:ext>
                </c:extLst>
              </c15:ser>
            </c15:filteredBarSeries>
          </c:ext>
        </c:extLst>
      </c:barChart>
      <c:catAx>
        <c:axId val="537560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60840"/>
        <c:crosses val="autoZero"/>
        <c:auto val="1"/>
        <c:lblAlgn val="ctr"/>
        <c:lblOffset val="100"/>
        <c:noMultiLvlLbl val="0"/>
      </c:catAx>
      <c:valAx>
        <c:axId val="537560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6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'DL %'!$C$2</c:f>
          <c:strCache>
            <c:ptCount val="1"/>
            <c:pt idx="0">
              <c:v>Derelict Land as a % of Total Area</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'DL %'!$G$6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'DL %'!$G$7:$G$20</c15:sqref>
                  </c15:fullRef>
                </c:ext>
              </c:extLst>
              <c:f>'DL %'!$G$7:$G$14</c:f>
              <c:numCache>
                <c:formatCode>0.0</c:formatCode>
                <c:ptCount val="8"/>
                <c:pt idx="0">
                  <c:v>0.24591947769314471</c:v>
                </c:pt>
                <c:pt idx="1">
                  <c:v>0.18148339950514988</c:v>
                </c:pt>
                <c:pt idx="2">
                  <c:v>2.9349658314350795</c:v>
                </c:pt>
                <c:pt idx="3">
                  <c:v>0.33493856887077855</c:v>
                </c:pt>
                <c:pt idx="4">
                  <c:v>2.5499332810878359</c:v>
                </c:pt>
                <c:pt idx="5">
                  <c:v>0.48940240263218304</c:v>
                </c:pt>
                <c:pt idx="6">
                  <c:v>0.1539376447974386</c:v>
                </c:pt>
                <c:pt idx="7">
                  <c:v>0.75366403607666277</c:v>
                </c:pt>
              </c:numCache>
            </c:numRef>
          </c:val>
          <c:extLst>
            <c:ext xmlns:c16="http://schemas.microsoft.com/office/drawing/2014/chart" uri="{C3380CC4-5D6E-409C-BE32-E72D297353CC}">
              <c16:uniqueId val="{00000000-1C32-4F1B-823E-4C06AAC51CAF}"/>
            </c:ext>
          </c:extLst>
        </c:ser>
        <c:dLbls>
          <c:showLegendKey val="0"/>
          <c:showVal val="0"/>
          <c:showCatName val="0"/>
          <c:showSerName val="0"/>
          <c:showPercent val="0"/>
          <c:showBubbleSize val="0"/>
        </c:dLbls>
        <c:gapWidth val="219"/>
        <c:overlap val="-27"/>
        <c:axId val="537561624"/>
        <c:axId val="537562016"/>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Employment!$L$7:$L$20</c15:sqref>
                        </c15:fullRef>
                        <c15:formulaRef>
                          <c15:sqref>Employment!$L$7:$L$14</c15:sqref>
                        </c15:formulaRef>
                      </c:ext>
                    </c:extLst>
                    <c:numCache>
                      <c:formatCode>#,##0</c:formatCode>
                      <c:ptCount val="8"/>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1C32-4F1B-823E-4C06AAC51CAF}"/>
                  </c:ext>
                </c:extLst>
              </c15:ser>
            </c15:filteredBarSeries>
          </c:ext>
        </c:extLst>
      </c:barChart>
      <c:catAx>
        <c:axId val="537561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62016"/>
        <c:crosses val="autoZero"/>
        <c:auto val="1"/>
        <c:lblAlgn val="ctr"/>
        <c:lblOffset val="100"/>
        <c:noMultiLvlLbl val="0"/>
      </c:catAx>
      <c:valAx>
        <c:axId val="537562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561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'SIMD V&amp;DL'!$C$2</c:f>
          <c:strCache>
            <c:ptCount val="1"/>
            <c:pt idx="0">
              <c:v>Total Vacant &amp; Derelict Land (Ha) in bottom 15% SIMD areas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'SIMD V&amp;DL'!$G$7:$G$14</c:f>
              <c:strCache>
                <c:ptCount val="8"/>
                <c:pt idx="0">
                  <c:v>0.0</c:v>
                </c:pt>
                <c:pt idx="1">
                  <c:v>0.5</c:v>
                </c:pt>
                <c:pt idx="2">
                  <c:v>497.3</c:v>
                </c:pt>
                <c:pt idx="3">
                  <c:v>33.2</c:v>
                </c:pt>
                <c:pt idx="4">
                  <c:v>56.5</c:v>
                </c:pt>
                <c:pt idx="5">
                  <c:v>48.9</c:v>
                </c:pt>
                <c:pt idx="6">
                  <c:v>47.6</c:v>
                </c:pt>
                <c:pt idx="7">
                  <c:v>46.9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'SIMD V&amp;DL'!$C$7:$C$14</c15:sqref>
                  </c15:fullRef>
                </c:ext>
              </c:extLst>
              <c:f>'SIMD V&amp;DL'!$C$7:$C$14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'SIMD V&amp;DL'!$G$7:$G$14</c15:sqref>
                  </c15:fullRef>
                </c:ext>
              </c:extLst>
              <c:f>'SIMD V&amp;DL'!$G$7:$G$14</c:f>
              <c:numCache>
                <c:formatCode>#,##0.0</c:formatCode>
                <c:ptCount val="8"/>
                <c:pt idx="0">
                  <c:v>0</c:v>
                </c:pt>
                <c:pt idx="1">
                  <c:v>0.54</c:v>
                </c:pt>
                <c:pt idx="2">
                  <c:v>497.32</c:v>
                </c:pt>
                <c:pt idx="3">
                  <c:v>33.200000000000003</c:v>
                </c:pt>
                <c:pt idx="4">
                  <c:v>56.54</c:v>
                </c:pt>
                <c:pt idx="5">
                  <c:v>48.88</c:v>
                </c:pt>
                <c:pt idx="6">
                  <c:v>47.56</c:v>
                </c:pt>
                <c:pt idx="7">
                  <c:v>46.87</c:v>
                </c:pt>
              </c:numCache>
            </c:numRef>
          </c:val>
          <c:extLst>
            <c:ext xmlns:c16="http://schemas.microsoft.com/office/drawing/2014/chart" uri="{C3380CC4-5D6E-409C-BE32-E72D297353CC}">
              <c16:uniqueId val="{00000000-5F94-4592-A1FA-271577240C79}"/>
            </c:ext>
          </c:extLst>
        </c:ser>
        <c:dLbls>
          <c:showLegendKey val="0"/>
          <c:showVal val="0"/>
          <c:showCatName val="0"/>
          <c:showSerName val="0"/>
          <c:showPercent val="0"/>
          <c:showBubbleSize val="0"/>
        </c:dLbls>
        <c:gapWidth val="219"/>
        <c:overlap val="-27"/>
        <c:axId val="538644520"/>
        <c:axId val="53864491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'SIMD V&amp;DL'!$C$7:$C$14</c15:sqref>
                        </c15:fullRef>
                        <c15:formulaRef>
                          <c15:sqref>'SIMD V&amp;DL'!$C$7:$C$14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Employment!$L$7:$L$20</c15:sqref>
                        </c15:fullRef>
                        <c15:formulaRef>
                          <c15:sqref>(Employment!$L$7:$L$14,Employment!$L$16:$L$20)</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5F94-4592-A1FA-271577240C79}"/>
                  </c:ext>
                </c:extLst>
              </c15:ser>
            </c15:filteredBarSeries>
          </c:ext>
        </c:extLst>
      </c:barChart>
      <c:catAx>
        <c:axId val="538644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4912"/>
        <c:crosses val="autoZero"/>
        <c:auto val="1"/>
        <c:lblAlgn val="ctr"/>
        <c:lblOffset val="100"/>
        <c:noMultiLvlLbl val="0"/>
      </c:catAx>
      <c:valAx>
        <c:axId val="538644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4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'SIMD V&amp;DL'!$F$22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'SIMD V&amp;DL'!$K$6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'SIMD V&amp;DL'!$K$7:$K$14</c15:sqref>
                  </c15:fullRef>
                </c:ext>
              </c:extLst>
              <c:f>'SIMD V&amp;DL'!$K$7:$K$14</c:f>
              <c:numCache>
                <c:formatCode>0.0</c:formatCode>
                <c:ptCount val="8"/>
                <c:pt idx="0">
                  <c:v>0</c:v>
                </c:pt>
                <c:pt idx="1">
                  <c:v>-0.54</c:v>
                </c:pt>
                <c:pt idx="2">
                  <c:v>-497.32</c:v>
                </c:pt>
                <c:pt idx="3">
                  <c:v>-33.200000000000003</c:v>
                </c:pt>
                <c:pt idx="4">
                  <c:v>-56.54</c:v>
                </c:pt>
                <c:pt idx="5">
                  <c:v>-48.88</c:v>
                </c:pt>
                <c:pt idx="6">
                  <c:v>-47.56</c:v>
                </c:pt>
                <c:pt idx="7">
                  <c:v>-46.87</c:v>
                </c:pt>
              </c:numCache>
            </c:numRef>
          </c:val>
          <c:extLst>
            <c:ext xmlns:c16="http://schemas.microsoft.com/office/drawing/2014/chart" uri="{C3380CC4-5D6E-409C-BE32-E72D297353CC}">
              <c16:uniqueId val="{00000000-2A24-49D7-A68C-38A3D811895A}"/>
            </c:ext>
          </c:extLst>
        </c:ser>
        <c:dLbls>
          <c:showLegendKey val="0"/>
          <c:showVal val="0"/>
          <c:showCatName val="0"/>
          <c:showSerName val="0"/>
          <c:showPercent val="0"/>
          <c:showBubbleSize val="0"/>
        </c:dLbls>
        <c:gapWidth val="219"/>
        <c:axId val="538645696"/>
        <c:axId val="53864608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2A24-49D7-A68C-38A3D811895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2A24-49D7-A68C-38A3D811895A}"/>
                  </c:ext>
                </c:extLst>
              </c15:ser>
            </c15:filteredBarSeries>
          </c:ext>
        </c:extLst>
      </c:barChart>
      <c:catAx>
        <c:axId val="538645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6088"/>
        <c:crosses val="autoZero"/>
        <c:auto val="1"/>
        <c:lblAlgn val="ctr"/>
        <c:lblOffset val="100"/>
        <c:noMultiLvlLbl val="0"/>
      </c:catAx>
      <c:valAx>
        <c:axId val="538646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56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'Net Migration'!$I$22</c:f>
          <c:strCache>
            <c:ptCount val="1"/>
            <c:pt idx="0">
              <c:v>Glasgow City Cumulative Net Migration 20010/11 to 2020/21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'Net Migration'!$H$6</c:f>
              <c:strCache>
                <c:ptCount val="1"/>
                <c:pt idx="0">
                  <c:v>Aged 65+</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Cumulative Net Migration</c:v>
              </c:pt>
            </c:strLit>
          </c:cat>
          <c:val>
            <c:numRef>
              <c:f>'Net Migration'!$D$22</c:f>
              <c:numCache>
                <c:formatCode>#,##0</c:formatCode>
                <c:ptCount val="1"/>
                <c:pt idx="0">
                  <c:v>-2487</c:v>
                </c:pt>
              </c:numCache>
            </c:numRef>
          </c:val>
          <c:extLst>
            <c:ext xmlns:c16="http://schemas.microsoft.com/office/drawing/2014/chart" uri="{C3380CC4-5D6E-409C-BE32-E72D297353CC}">
              <c16:uniqueId val="{00000000-31D1-4E72-BEB1-04E54216306F}"/>
            </c:ext>
          </c:extLst>
        </c:ser>
        <c:ser>
          <c:idx val="1"/>
          <c:order val="1"/>
          <c:tx>
            <c:strRef>
              <c:f>'Net Migration'!$G$6</c:f>
              <c:strCache>
                <c:ptCount val="1"/>
                <c:pt idx="0">
                  <c:v>Aged 45-64</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Cumulative Net Migration</c:v>
              </c:pt>
            </c:strLit>
          </c:cat>
          <c:val>
            <c:numRef>
              <c:f>'Net Migration'!$E$22</c:f>
              <c:numCache>
                <c:formatCode>#,##0</c:formatCode>
                <c:ptCount val="1"/>
                <c:pt idx="0">
                  <c:v>-3271</c:v>
                </c:pt>
              </c:numCache>
            </c:numRef>
          </c:val>
          <c:extLst>
            <c:ext xmlns:c16="http://schemas.microsoft.com/office/drawing/2014/chart" uri="{C3380CC4-5D6E-409C-BE32-E72D297353CC}">
              <c16:uniqueId val="{00000001-31D1-4E72-BEB1-04E54216306F}"/>
            </c:ext>
          </c:extLst>
        </c:ser>
        <c:ser>
          <c:idx val="2"/>
          <c:order val="2"/>
          <c:tx>
            <c:strRef>
              <c:f>'Net Migration'!$F$6</c:f>
              <c:strCache>
                <c:ptCount val="1"/>
                <c:pt idx="0">
                  <c:v>Aged 30-44</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Cumulative Net Migration</c:v>
              </c:pt>
            </c:strLit>
          </c:cat>
          <c:val>
            <c:numRef>
              <c:f>'Net Migration'!$F$22</c:f>
              <c:numCache>
                <c:formatCode>#,##0</c:formatCode>
                <c:ptCount val="1"/>
                <c:pt idx="0">
                  <c:v>-13795</c:v>
                </c:pt>
              </c:numCache>
            </c:numRef>
          </c:val>
          <c:extLst>
            <c:ext xmlns:c16="http://schemas.microsoft.com/office/drawing/2014/chart" uri="{C3380CC4-5D6E-409C-BE32-E72D297353CC}">
              <c16:uniqueId val="{00000002-31D1-4E72-BEB1-04E54216306F}"/>
            </c:ext>
          </c:extLst>
        </c:ser>
        <c:ser>
          <c:idx val="3"/>
          <c:order val="3"/>
          <c:tx>
            <c:strRef>
              <c:f>'Net Migration'!$E$6</c:f>
              <c:strCache>
                <c:ptCount val="1"/>
                <c:pt idx="0">
                  <c:v>Aged 15-29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Cumulative Net Migration</c:v>
              </c:pt>
            </c:strLit>
          </c:cat>
          <c:val>
            <c:numRef>
              <c:f>'Net Migration'!$G$22</c:f>
              <c:numCache>
                <c:formatCode>#,##0</c:formatCode>
                <c:ptCount val="1"/>
                <c:pt idx="0">
                  <c:v>71672</c:v>
                </c:pt>
              </c:numCache>
            </c:numRef>
          </c:val>
          <c:extLst>
            <c:ext xmlns:c16="http://schemas.microsoft.com/office/drawing/2014/chart" uri="{C3380CC4-5D6E-409C-BE32-E72D297353CC}">
              <c16:uniqueId val="{00000003-31D1-4E72-BEB1-04E54216306F}"/>
            </c:ext>
          </c:extLst>
        </c:ser>
        <c:ser>
          <c:idx val="4"/>
          <c:order val="4"/>
          <c:tx>
            <c:strRef>
              <c:f>'Net Migration'!$D$6</c:f>
              <c:strCache>
                <c:ptCount val="1"/>
                <c:pt idx="0">
                  <c:v>Aged 0-14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Cumulative Net Migration</c:v>
              </c:pt>
            </c:strLit>
          </c:cat>
          <c:val>
            <c:numRef>
              <c:f>'Net Migration'!$H$22</c:f>
              <c:numCache>
                <c:formatCode>#,##0</c:formatCode>
                <c:ptCount val="1"/>
                <c:pt idx="0">
                  <c:v>-8652</c:v>
                </c:pt>
              </c:numCache>
            </c:numRef>
          </c:val>
          <c:extLst>
            <c:ext xmlns:c16="http://schemas.microsoft.com/office/drawing/2014/chart" uri="{C3380CC4-5D6E-409C-BE32-E72D297353CC}">
              <c16:uniqueId val="{00000004-31D1-4E72-BEB1-04E54216306F}"/>
            </c:ext>
          </c:extLst>
        </c:ser>
        <c:dLbls>
          <c:showLegendKey val="0"/>
          <c:showVal val="0"/>
          <c:showCatName val="0"/>
          <c:showSerName val="0"/>
          <c:showPercent val="0"/>
          <c:showBubbleSize val="0"/>
        </c:dLbls>
        <c:gapWidth val="401"/>
        <c:overlap val="-50"/>
        <c:axId val="538646872"/>
        <c:axId val="538647264"/>
      </c:barChart>
      <c:catAx>
        <c:axId val="53864687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7264"/>
        <c:crosses val="autoZero"/>
        <c:auto val="1"/>
        <c:lblAlgn val="ctr"/>
        <c:lblOffset val="100"/>
        <c:noMultiLvlLbl val="0"/>
      </c:catAx>
      <c:valAx>
        <c:axId val="5386472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6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'Housing Affordability'!$C$2</c:f>
          <c:strCache>
            <c:ptCount val="1"/>
            <c:pt idx="0">
              <c:v>Housing Affordability Ratio (Average House Price / Gross Disposable Household Income per head)</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'Housing Affordability'!$G$6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 Affordability'!$C$7:$C$20</c15:sqref>
                  </c15:fullRef>
                </c:ext>
              </c:extLst>
              <c:f>'Housing Affordability'!$C$7:$C$19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Inverclyde</c:v>
                </c:pt>
                <c:pt idx="10">
                  <c:v>LGBF Family Group 3 Average</c:v>
                </c:pt>
                <c:pt idx="11">
                  <c:v>Glasgow City Region</c:v>
                </c:pt>
                <c:pt idx="12">
                  <c:v>Scotland</c:v>
                </c:pt>
              </c:strCache>
            </c:strRef>
          </c:cat>
          <c:val>
            <c:numRef>
              <c:extLst>
                <c:ext xmlns:c15="http://schemas.microsoft.com/office/drawing/2012/chart" uri="{02D57815-91ED-43cb-92C2-25804820EDAC}">
                  <c15:fullRef>
                    <c15:sqref>'Housing Affordability'!$G$7:$G$20</c15:sqref>
                  </c15:fullRef>
                </c:ext>
              </c:extLst>
              <c:f>'Housing Affordability'!$G$7:$G$19</c:f>
              <c:numCache>
                <c:formatCode>0.0</c:formatCode>
                <c:ptCount val="13"/>
                <c:pt idx="0">
                  <c:v>10.536963668549271</c:v>
                </c:pt>
                <c:pt idx="1">
                  <c:v>11.799536600017163</c:v>
                </c:pt>
                <c:pt idx="2">
                  <c:v>9.5176812891674132</c:v>
                </c:pt>
                <c:pt idx="3">
                  <c:v>5.18530647890399</c:v>
                </c:pt>
                <c:pt idx="4">
                  <c:v>7.3576270204507273</c:v>
                </c:pt>
                <c:pt idx="5">
                  <c:v>7.7566161000996567</c:v>
                </c:pt>
                <c:pt idx="6">
                  <c:v>8.0909606266749119</c:v>
                </c:pt>
                <c:pt idx="7">
                  <c:v>6.7942809878293753</c:v>
                </c:pt>
                <c:pt idx="9">
                  <c:v>5.18530647890399</c:v>
                </c:pt>
                <c:pt idx="10">
                  <c:v>8.9952019750573768</c:v>
                </c:pt>
                <c:pt idx="11">
                  <c:v>8.5822195534549781</c:v>
                </c:pt>
                <c:pt idx="12">
                  <c:v>9.169638308711157</c:v>
                </c:pt>
              </c:numCache>
            </c:numRef>
          </c:val>
          <c:extLst>
            <c:ext xmlns:c16="http://schemas.microsoft.com/office/drawing/2014/chart" uri="{C3380CC4-5D6E-409C-BE32-E72D297353CC}">
              <c16:uniqueId val="{00000000-B8A2-4EF3-B33B-06CD06E4E5A5}"/>
            </c:ext>
          </c:extLst>
        </c:ser>
        <c:dLbls>
          <c:showLegendKey val="0"/>
          <c:showVal val="0"/>
          <c:showCatName val="0"/>
          <c:showSerName val="0"/>
          <c:showPercent val="0"/>
          <c:showBubbleSize val="0"/>
        </c:dLbls>
        <c:gapWidth val="219"/>
        <c:overlap val="-27"/>
        <c:axId val="538648048"/>
        <c:axId val="53864844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'Housing Affordability'!$C$7:$C$20</c15:sqref>
                        </c15:fullRef>
                        <c15:formulaRef>
                          <c15:sqref>'Housing Affordability'!$C$7:$C$19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Inverclyde</c:v>
                      </c:pt>
                      <c:pt idx="10">
                        <c:v>LGBF Family Group 3 Average</c:v>
                      </c:pt>
                      <c:pt idx="11">
                        <c:v>Glasgow City Region</c:v>
                      </c:pt>
                      <c:pt idx="12">
                        <c:v>Scotland</c:v>
                      </c:pt>
                    </c:strCache>
                  </c:strRef>
                </c:cat>
                <c:val>
                  <c:numRef>
                    <c:extLst>
                      <c:ext uri="{02D57815-91ED-43cb-92C2-25804820EDAC}">
                        <c15:fullRef>
                          <c15:sqref>Employment!$L$7:$L$20</c15:sqref>
                        </c15:fullRef>
                        <c15:formulaRef>
                          <c15:sqref>Employment!$L$7:$L$19</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B8A2-4EF3-B33B-06CD06E4E5A5}"/>
                  </c:ext>
                </c:extLst>
              </c15:ser>
            </c15:filteredBarSeries>
          </c:ext>
        </c:extLst>
      </c:barChart>
      <c:catAx>
        <c:axId val="538648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8440"/>
        <c:crosses val="autoZero"/>
        <c:auto val="1"/>
        <c:lblAlgn val="ctr"/>
        <c:lblOffset val="100"/>
        <c:noMultiLvlLbl val="0"/>
      </c:catAx>
      <c:valAx>
        <c:axId val="538648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'Housing Affordability'!$F$22</c:f>
          <c:strCache>
            <c:ptCount val="1"/>
            <c:pt idx="0">
              <c:v>% Point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 Affordability'!$C$7:$C$14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'Housing Affordability'!$I$7:$I$14</c:f>
              <c:numCache>
                <c:formatCode>0.0</c:formatCode>
                <c:ptCount val="8"/>
                <c:pt idx="0">
                  <c:v>-5.3516571896452811</c:v>
                </c:pt>
                <c:pt idx="1">
                  <c:v>-6.6142301211131729</c:v>
                </c:pt>
                <c:pt idx="2">
                  <c:v>-4.3323748102634232</c:v>
                </c:pt>
                <c:pt idx="3">
                  <c:v>0</c:v>
                </c:pt>
                <c:pt idx="4">
                  <c:v>-2.1723205415467373</c:v>
                </c:pt>
                <c:pt idx="5">
                  <c:v>-2.5713096211956668</c:v>
                </c:pt>
                <c:pt idx="6">
                  <c:v>-2.9056541477709219</c:v>
                </c:pt>
                <c:pt idx="7">
                  <c:v>-1.6089745089253853</c:v>
                </c:pt>
              </c:numCache>
            </c:numRef>
          </c:val>
          <c:extLst>
            <c:ext xmlns:c16="http://schemas.microsoft.com/office/drawing/2014/chart" uri="{C3380CC4-5D6E-409C-BE32-E72D297353CC}">
              <c16:uniqueId val="{00000002-E797-4344-88E7-55753602EB5D}"/>
            </c:ext>
          </c:extLst>
        </c:ser>
        <c:dLbls>
          <c:showLegendKey val="0"/>
          <c:showVal val="0"/>
          <c:showCatName val="0"/>
          <c:showSerName val="0"/>
          <c:showPercent val="0"/>
          <c:showBubbleSize val="0"/>
        </c:dLbls>
        <c:gapWidth val="219"/>
        <c:axId val="538649224"/>
        <c:axId val="538649616"/>
        <c:extLst/>
      </c:barChart>
      <c:catAx>
        <c:axId val="538649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9616"/>
        <c:crosses val="autoZero"/>
        <c:auto val="1"/>
        <c:lblAlgn val="ctr"/>
        <c:lblOffset val="100"/>
        <c:noMultiLvlLbl val="0"/>
      </c:catAx>
      <c:valAx>
        <c:axId val="538649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49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Households'!$C$2</c:f>
          <c:strCache>
            <c:ptCount val="1"/>
            <c:pt idx="0">
              <c:v>% of Households that are Workless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'Workless Households'!$G$6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'Workless Households'!$C$7:$C$20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LGBF Family Group 4 Average</c:v>
                </c:pt>
                <c:pt idx="11">
                  <c:v>Glasgow City Region</c:v>
                </c:pt>
                <c:pt idx="12">
                  <c:v>Scotland</c:v>
                </c:pt>
                <c:pt idx="13">
                  <c:v>United Kingdom</c:v>
                </c:pt>
              </c:strCache>
            </c:strRef>
          </c:cat>
          <c:val>
            <c:numRef>
              <c:f>'Workless Households'!$G$7:$G$20</c:f>
              <c:numCache>
                <c:formatCode>0.0</c:formatCode>
                <c:ptCount val="14"/>
                <c:pt idx="0">
                  <c:v>16.832810182470421</c:v>
                </c:pt>
                <c:pt idx="1">
                  <c:v>11.223728147711649</c:v>
                </c:pt>
                <c:pt idx="2">
                  <c:v>20.408615136876008</c:v>
                </c:pt>
                <c:pt idx="3">
                  <c:v>18.126657377859679</c:v>
                </c:pt>
                <c:pt idx="4">
                  <c:v>17.776565247139729</c:v>
                </c:pt>
                <c:pt idx="5">
                  <c:v>17.064513884055955</c:v>
                </c:pt>
                <c:pt idx="6">
                  <c:v>14.283133799636724</c:v>
                </c:pt>
                <c:pt idx="7">
                  <c:v>23.917096172825968</c:v>
                </c:pt>
                <c:pt idx="9">
                  <c:v>8.0837094788674602</c:v>
                </c:pt>
                <c:pt idx="10">
                  <c:v>17.785249546975493</c:v>
                </c:pt>
                <c:pt idx="11">
                  <c:v>18.235810263284609</c:v>
                </c:pt>
                <c:pt idx="12">
                  <c:v>17.411213010467797</c:v>
                </c:pt>
                <c:pt idx="13">
                  <c:v>13.888453323453035</c:v>
                </c:pt>
              </c:numCache>
            </c:numRef>
          </c:val>
          <c:extLst>
            <c:ext xmlns:c16="http://schemas.microsoft.com/office/drawing/2014/chart" uri="{C3380CC4-5D6E-409C-BE32-E72D297353CC}">
              <c16:uniqueId val="{00000000-F5DA-48BE-A3BC-96CC69E44847}"/>
            </c:ext>
          </c:extLst>
        </c:ser>
        <c:dLbls>
          <c:showLegendKey val="0"/>
          <c:showVal val="0"/>
          <c:showCatName val="0"/>
          <c:showSerName val="0"/>
          <c:showPercent val="0"/>
          <c:showBubbleSize val="0"/>
        </c:dLbls>
        <c:gapWidth val="219"/>
        <c:overlap val="-27"/>
        <c:axId val="472933496"/>
        <c:axId val="47293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'Workless Households'!$C$7:$C$20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Midlothian</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F5DA-48BE-A3BC-96CC69E44847}"/>
                  </c:ext>
                </c:extLst>
              </c15:ser>
            </c15:filteredBarSeries>
          </c:ext>
        </c:extLst>
      </c:barChart>
      <c:catAx>
        <c:axId val="47293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888"/>
        <c:crosses val="autoZero"/>
        <c:auto val="1"/>
        <c:lblAlgn val="ctr"/>
        <c:lblOffset val="100"/>
        <c:noMultiLvlLbl val="0"/>
      </c:catAx>
      <c:valAx>
        <c:axId val="47293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Procurement!$C$2</c:f>
          <c:strCache>
            <c:ptCount val="1"/>
            <c:pt idx="0">
              <c:v>% of Procurement spend spent on local enterprises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Procurement!$G$6</c:f>
              <c:strCache>
                <c:ptCount val="1"/>
                <c:pt idx="0">
                  <c:v>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Procurement!$C$7:$C$20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10">
                  <c:v>Highland</c:v>
                </c:pt>
                <c:pt idx="11">
                  <c:v>LGBF Family Group 4 Average</c:v>
                </c:pt>
                <c:pt idx="12">
                  <c:v>Glasgow City Region</c:v>
                </c:pt>
                <c:pt idx="13">
                  <c:v>Scotland</c:v>
                </c:pt>
              </c:strCache>
            </c:strRef>
          </c:cat>
          <c:val>
            <c:numRef>
              <c:f>Procurement!$G$7:$G$20</c:f>
              <c:numCache>
                <c:formatCode>0.0</c:formatCode>
                <c:ptCount val="14"/>
                <c:pt idx="0">
                  <c:v>12.1828387867206</c:v>
                </c:pt>
                <c:pt idx="1">
                  <c:v>11.906399350746199</c:v>
                </c:pt>
                <c:pt idx="2">
                  <c:v>36.7532025012733</c:v>
                </c:pt>
                <c:pt idx="3">
                  <c:v>24.001207465267697</c:v>
                </c:pt>
                <c:pt idx="4">
                  <c:v>27.806623267733499</c:v>
                </c:pt>
                <c:pt idx="5">
                  <c:v>19.345868070227802</c:v>
                </c:pt>
                <c:pt idx="6">
                  <c:v>18.114430572975802</c:v>
                </c:pt>
                <c:pt idx="7">
                  <c:v>16.704052091068601</c:v>
                </c:pt>
                <c:pt idx="10">
                  <c:v>49.0877880076903</c:v>
                </c:pt>
                <c:pt idx="11">
                  <c:v>27.820785218706863</c:v>
                </c:pt>
                <c:pt idx="12">
                  <c:v>20.851827763251688</c:v>
                </c:pt>
                <c:pt idx="13">
                  <c:v>29.619142281546303</c:v>
                </c:pt>
              </c:numCache>
            </c:numRef>
          </c:val>
          <c:extLst>
            <c:ext xmlns:c16="http://schemas.microsoft.com/office/drawing/2014/chart" uri="{C3380CC4-5D6E-409C-BE32-E72D297353CC}">
              <c16:uniqueId val="{00000000-CAB4-4582-9450-6DCBA1A0E686}"/>
            </c:ext>
          </c:extLst>
        </c:ser>
        <c:dLbls>
          <c:showLegendKey val="0"/>
          <c:showVal val="0"/>
          <c:showCatName val="0"/>
          <c:showSerName val="0"/>
          <c:showPercent val="0"/>
          <c:showBubbleSize val="0"/>
        </c:dLbls>
        <c:gapWidth val="219"/>
        <c:overlap val="-27"/>
        <c:axId val="538650400"/>
        <c:axId val="538650792"/>
        <c:extLst>
          <c:ext xmlns:c15="http://schemas.microsoft.com/office/drawing/2012/chart" uri="{02D57815-91ED-43cb-92C2-25804820EDAC}">
            <c15:filteredBarSeries>
              <c15:ser>
                <c:idx val="8"/>
                <c:order val="1"/>
                <c:tx>
                  <c:strRef>
                    <c:extLst>
                      <c:ext uri="{02D57815-91ED-43cb-92C2-25804820EDAC}">
                        <c15:formulaRef>
                          <c15:sqref>'SME Procurement'!#REF!</c15:sqref>
                        </c15:formulaRef>
                      </c:ext>
                    </c:extLst>
                    <c:strCache>
                      <c:ptCount val="1"/>
                      <c:pt idx="0">
                        <c:v>#REF!</c:v>
                      </c:pt>
                    </c:strCache>
                  </c:strRef>
                </c:tx>
                <c:spPr>
                  <a:solidFill>
                    <a:schemeClr val="accent3">
                      <a:lumMod val="60000"/>
                    </a:schemeClr>
                  </a:solidFill>
                  <a:ln>
                    <a:noFill/>
                  </a:ln>
                  <a:effectLst/>
                </c:spPr>
                <c:invertIfNegative val="0"/>
                <c:cat>
                  <c:strRef>
                    <c:extLst>
                      <c:ext uri="{02D57815-91ED-43cb-92C2-25804820EDAC}">
                        <c15:formulaRef>
                          <c15:sqref>Procurement!$C$7:$C$20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10">
                        <c:v>Highland</c:v>
                      </c:pt>
                      <c:pt idx="11">
                        <c:v>LGBF Family Group 4 Average</c:v>
                      </c:pt>
                      <c:pt idx="12">
                        <c:v>Glasgow City Region</c:v>
                      </c:pt>
                      <c:pt idx="13">
                        <c:v>Scotland</c:v>
                      </c:pt>
                    </c:strCache>
                  </c:strRef>
                </c:cat>
                <c:val>
                  <c:numRef>
                    <c:extLst>
                      <c:ext uri="{02D57815-91ED-43cb-92C2-25804820EDAC}">
                        <c15:formulaRef>
                          <c15:sqref>'SME Procurement'!#REF!</c15:sqref>
                        </c15:formulaRef>
                      </c:ext>
                    </c:extLst>
                    <c:numCache>
                      <c:formatCode>General</c:formatCode>
                      <c:ptCount val="1"/>
                      <c:pt idx="0">
                        <c:v>1</c:v>
                      </c:pt>
                    </c:numCache>
                  </c:numRef>
                </c:val>
                <c:extLst>
                  <c:ext xmlns:c16="http://schemas.microsoft.com/office/drawing/2014/chart" uri="{C3380CC4-5D6E-409C-BE32-E72D297353CC}">
                    <c16:uniqueId val="{00000002-CAB4-4582-9450-6DCBA1A0E686}"/>
                  </c:ext>
                </c:extLst>
              </c15:ser>
            </c15:filteredBarSeries>
          </c:ext>
        </c:extLst>
      </c:barChart>
      <c:catAx>
        <c:axId val="538650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792"/>
        <c:crosses val="autoZero"/>
        <c:auto val="1"/>
        <c:lblAlgn val="ctr"/>
        <c:lblOffset val="100"/>
        <c:noMultiLvlLbl val="0"/>
      </c:catAx>
      <c:valAx>
        <c:axId val="538650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Procurement!$F$23</c:f>
          <c:strCache>
            <c:ptCount val="1"/>
            <c:pt idx="0">
              <c:v>% Point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Procurement!$I$6</c:f>
              <c:strCache>
                <c:ptCount val="1"/>
                <c:pt idx="0">
                  <c:v>% Point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Procurement!$C$7:$C$14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extLst/>
            </c:strRef>
          </c:cat>
          <c:val>
            <c:numRef>
              <c:f>Procurement!$I$7:$I$14</c:f>
              <c:numCache>
                <c:formatCode>0.0</c:formatCode>
                <c:ptCount val="8"/>
                <c:pt idx="0">
                  <c:v>36.904949220969698</c:v>
                </c:pt>
                <c:pt idx="1">
                  <c:v>37.181388656944101</c:v>
                </c:pt>
                <c:pt idx="2">
                  <c:v>12.334585506417</c:v>
                </c:pt>
                <c:pt idx="3">
                  <c:v>25.086580542422602</c:v>
                </c:pt>
                <c:pt idx="4">
                  <c:v>21.2811647399568</c:v>
                </c:pt>
                <c:pt idx="5">
                  <c:v>29.741919937462498</c:v>
                </c:pt>
                <c:pt idx="6">
                  <c:v>30.973357434714497</c:v>
                </c:pt>
                <c:pt idx="7">
                  <c:v>32.383735916621703</c:v>
                </c:pt>
              </c:numCache>
            </c:numRef>
          </c:val>
          <c:extLst>
            <c:ext xmlns:c16="http://schemas.microsoft.com/office/drawing/2014/chart" uri="{C3380CC4-5D6E-409C-BE32-E72D297353CC}">
              <c16:uniqueId val="{00000000-23E9-4BE4-9939-4E28AAF741CB}"/>
            </c:ext>
          </c:extLst>
        </c:ser>
        <c:dLbls>
          <c:showLegendKey val="0"/>
          <c:showVal val="0"/>
          <c:showCatName val="0"/>
          <c:showSerName val="0"/>
          <c:showPercent val="0"/>
          <c:showBubbleSize val="0"/>
        </c:dLbls>
        <c:gapWidth val="219"/>
        <c:axId val="538651576"/>
        <c:axId val="538651968"/>
        <c:extLst>
          <c:ext xmlns:c15="http://schemas.microsoft.com/office/drawing/2012/chart" uri="{02D57815-91ED-43cb-92C2-25804820EDAC}">
            <c15:filteredBarSeries>
              <c15:ser>
                <c:idx val="3"/>
                <c:order val="0"/>
                <c:tx>
                  <c:strRef>
                    <c:extLst>
                      <c:ext uri="{02D57815-91ED-43cb-92C2-25804820EDAC}">
                        <c15:formulaRef>
                          <c15:sqref>Procurement!$G$6</c15:sqref>
                        </c15:formulaRef>
                      </c:ext>
                    </c:extLst>
                    <c:strCache>
                      <c:ptCount val="1"/>
                      <c:pt idx="0">
                        <c:v>22/23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Procurement!$C$7:$C$14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ormulaRef>
                          <c15:sqref>Procurement!$G$7:$G$14</c15:sqref>
                        </c15:formulaRef>
                      </c:ext>
                    </c:extLst>
                    <c:numCache>
                      <c:formatCode>0.0</c:formatCode>
                      <c:ptCount val="8"/>
                      <c:pt idx="0">
                        <c:v>12.1828387867206</c:v>
                      </c:pt>
                      <c:pt idx="1">
                        <c:v>11.906399350746199</c:v>
                      </c:pt>
                      <c:pt idx="2">
                        <c:v>36.7532025012733</c:v>
                      </c:pt>
                      <c:pt idx="3">
                        <c:v>24.001207465267697</c:v>
                      </c:pt>
                      <c:pt idx="4">
                        <c:v>27.806623267733499</c:v>
                      </c:pt>
                      <c:pt idx="5">
                        <c:v>19.345868070227802</c:v>
                      </c:pt>
                      <c:pt idx="6">
                        <c:v>18.114430572975802</c:v>
                      </c:pt>
                      <c:pt idx="7">
                        <c:v>16.704052091068601</c:v>
                      </c:pt>
                    </c:numCache>
                  </c:numRef>
                </c:val>
                <c:extLst>
                  <c:ext xmlns:c16="http://schemas.microsoft.com/office/drawing/2014/chart" uri="{C3380CC4-5D6E-409C-BE32-E72D297353CC}">
                    <c16:uniqueId val="{00000001-23E9-4BE4-9939-4E28AAF741C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Procurement!$I$6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Procurement!$C$7:$C$14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xmlns:c15="http://schemas.microsoft.com/office/drawing/2012/chart">
                      <c:ext xmlns:c15="http://schemas.microsoft.com/office/drawing/2012/chart" uri="{02D57815-91ED-43cb-92C2-25804820EDAC}">
                        <c15:formulaRef>
                          <c15:sqref>Procurement!$I$7:$I$14</c15:sqref>
                        </c15:formulaRef>
                      </c:ext>
                    </c:extLst>
                    <c:numCache>
                      <c:formatCode>0.0</c:formatCode>
                      <c:ptCount val="8"/>
                      <c:pt idx="0">
                        <c:v>36.904949220969698</c:v>
                      </c:pt>
                      <c:pt idx="1">
                        <c:v>37.181388656944101</c:v>
                      </c:pt>
                      <c:pt idx="2">
                        <c:v>12.334585506417</c:v>
                      </c:pt>
                      <c:pt idx="3">
                        <c:v>25.086580542422602</c:v>
                      </c:pt>
                      <c:pt idx="4">
                        <c:v>21.2811647399568</c:v>
                      </c:pt>
                      <c:pt idx="5">
                        <c:v>29.741919937462498</c:v>
                      </c:pt>
                      <c:pt idx="6">
                        <c:v>30.973357434714497</c:v>
                      </c:pt>
                      <c:pt idx="7">
                        <c:v>32.383735916621703</c:v>
                      </c:pt>
                    </c:numCache>
                  </c:numRef>
                </c:val>
                <c:extLst xmlns:c15="http://schemas.microsoft.com/office/drawing/2012/chart">
                  <c:ext xmlns:c16="http://schemas.microsoft.com/office/drawing/2014/chart" uri="{C3380CC4-5D6E-409C-BE32-E72D297353CC}">
                    <c16:uniqueId val="{00000002-23E9-4BE4-9939-4E28AAF741CB}"/>
                  </c:ext>
                </c:extLst>
              </c15:ser>
            </c15:filteredBarSeries>
          </c:ext>
        </c:extLst>
      </c:barChart>
      <c:catAx>
        <c:axId val="538651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968"/>
        <c:crosses val="autoZero"/>
        <c:auto val="1"/>
        <c:lblAlgn val="ctr"/>
        <c:lblOffset val="100"/>
        <c:noMultiLvlLbl val="0"/>
      </c:catAx>
      <c:valAx>
        <c:axId val="53865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Enterprises'!$C$2</c:f>
          <c:strCache>
            <c:ptCount val="1"/>
            <c:pt idx="0">
              <c:v>Social Enterprise Rate (per 10,000 total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'Social Enterprises'!$G$6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Enterprises'!$C$7:$C$20</c15:sqref>
                  </c15:fullRef>
                </c:ext>
              </c:extLst>
              <c:f>'Social Enterprises'!$C$7:$C$19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strCache>
            </c:strRef>
          </c:cat>
          <c:val>
            <c:numRef>
              <c:extLst>
                <c:ext xmlns:c15="http://schemas.microsoft.com/office/drawing/2012/chart" uri="{02D57815-91ED-43cb-92C2-25804820EDAC}">
                  <c15:fullRef>
                    <c15:sqref>'Social Enterprises'!$G$7:$G$20</c15:sqref>
                  </c15:fullRef>
                </c:ext>
              </c:extLst>
              <c:f>'Social Enterprises'!$G$7:$G$19</c:f>
              <c:numCache>
                <c:formatCode>0.0</c:formatCode>
                <c:ptCount val="13"/>
                <c:pt idx="0">
                  <c:v>5.0505050505050502</c:v>
                </c:pt>
                <c:pt idx="1">
                  <c:v>5.6947608200455582</c:v>
                </c:pt>
                <c:pt idx="2">
                  <c:v>12.847763450002363</c:v>
                </c:pt>
                <c:pt idx="3">
                  <c:v>8.0834419817470664</c:v>
                </c:pt>
                <c:pt idx="4">
                  <c:v>3.3391915641476273</c:v>
                </c:pt>
                <c:pt idx="5">
                  <c:v>5.5018339446482161</c:v>
                </c:pt>
                <c:pt idx="6">
                  <c:v>5.4861606174255346</c:v>
                </c:pt>
                <c:pt idx="7">
                  <c:v>7.9735732999202646</c:v>
                </c:pt>
                <c:pt idx="9">
                  <c:v>46.643417611159549</c:v>
                </c:pt>
                <c:pt idx="10">
                  <c:v>9.9036474408867647</c:v>
                </c:pt>
                <c:pt idx="11">
                  <c:v>7.830963673630527</c:v>
                </c:pt>
                <c:pt idx="12">
                  <c:v>11.034872899140495</c:v>
                </c:pt>
              </c:numCache>
            </c:numRef>
          </c:val>
          <c:extLst>
            <c:ext xmlns:c16="http://schemas.microsoft.com/office/drawing/2014/chart" uri="{C3380CC4-5D6E-409C-BE32-E72D297353CC}">
              <c16:uniqueId val="{00000000-272B-4E74-B1F5-9D5C7C450665}"/>
            </c:ext>
          </c:extLst>
        </c:ser>
        <c:dLbls>
          <c:showLegendKey val="0"/>
          <c:showVal val="0"/>
          <c:showCatName val="0"/>
          <c:showSerName val="0"/>
          <c:showPercent val="0"/>
          <c:showBubbleSize val="0"/>
        </c:dLbls>
        <c:gapWidth val="219"/>
        <c:overlap val="-27"/>
        <c:axId val="539230664"/>
        <c:axId val="539231056"/>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'Social Enterprises'!$C$7:$C$20</c15:sqref>
                        </c15:fullRef>
                        <c15:formulaRef>
                          <c15:sqref>'Social Enterprises'!$C$7:$C$19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strCache>
                  </c:strRef>
                </c:cat>
                <c:val>
                  <c:numRef>
                    <c:extLst>
                      <c:ext uri="{02D57815-91ED-43cb-92C2-25804820EDAC}">
                        <c15:fullRef>
                          <c15:sqref>Employment!$L$7:$L$20</c15:sqref>
                        </c15:fullRef>
                        <c15:formulaRef>
                          <c15:sqref>Employment!$L$7:$L$19</c15:sqref>
                        </c15:formulaRef>
                      </c:ext>
                    </c:extLst>
                    <c:numCache>
                      <c:formatCode>#,##0</c:formatCode>
                      <c:ptCount val="13"/>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272B-4E74-B1F5-9D5C7C450665}"/>
                  </c:ext>
                </c:extLst>
              </c15:ser>
            </c15:filteredBarSeries>
          </c:ext>
        </c:extLst>
      </c:barChart>
      <c:catAx>
        <c:axId val="53923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056"/>
        <c:crosses val="autoZero"/>
        <c:auto val="1"/>
        <c:lblAlgn val="ctr"/>
        <c:lblOffset val="100"/>
        <c:noMultiLvlLbl val="0"/>
      </c:catAx>
      <c:valAx>
        <c:axId val="53923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v>+'Degree-level 'Degree-level Quals'!$J$6</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'Social Enterprises'!$K$7:$K$14</c15:sqref>
                  </c15:fullRef>
                </c:ext>
              </c:extLst>
              <c:f>'Social Enterprises'!$K$7:$K$14</c:f>
              <c:numCache>
                <c:formatCode>#,##0</c:formatCode>
                <c:ptCount val="8"/>
                <c:pt idx="0">
                  <c:v>400</c:v>
                </c:pt>
                <c:pt idx="1">
                  <c:v>400</c:v>
                </c:pt>
                <c:pt idx="2">
                  <c:v>2200</c:v>
                </c:pt>
                <c:pt idx="3">
                  <c:v>300</c:v>
                </c:pt>
                <c:pt idx="4">
                  <c:v>1500</c:v>
                </c:pt>
                <c:pt idx="5">
                  <c:v>700</c:v>
                </c:pt>
                <c:pt idx="6">
                  <c:v>1300</c:v>
                </c:pt>
                <c:pt idx="7">
                  <c:v>300</c:v>
                </c:pt>
              </c:numCache>
            </c:numRef>
          </c:val>
          <c:extLst>
            <c:ext xmlns:c16="http://schemas.microsoft.com/office/drawing/2014/chart" uri="{C3380CC4-5D6E-409C-BE32-E72D297353CC}">
              <c16:uniqueId val="{00000000-B56C-4C9D-9096-4A1A3E7B9F04}"/>
            </c:ext>
          </c:extLst>
        </c:ser>
        <c:dLbls>
          <c:showLegendKey val="0"/>
          <c:showVal val="0"/>
          <c:showCatName val="0"/>
          <c:showSerName val="0"/>
          <c:showPercent val="0"/>
          <c:showBubbleSize val="0"/>
        </c:dLbls>
        <c:gapWidth val="219"/>
        <c:axId val="539231840"/>
        <c:axId val="539232232"/>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B56C-4C9D-9096-4A1A3E7B9F04}"/>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B56C-4C9D-9096-4A1A3E7B9F04}"/>
                  </c:ext>
                </c:extLst>
              </c15:ser>
            </c15:filteredBarSeries>
          </c:ext>
        </c:extLst>
      </c:barChart>
      <c:catAx>
        <c:axId val="539231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2232"/>
        <c:crosses val="autoZero"/>
        <c:auto val="1"/>
        <c:lblAlgn val="ctr"/>
        <c:lblOffset val="100"/>
        <c:noMultiLvlLbl val="0"/>
      </c:catAx>
      <c:valAx>
        <c:axId val="539232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GVA!$C$2</c:f>
          <c:strCache>
            <c:ptCount val="1"/>
            <c:pt idx="0">
              <c:v>Total GVA (£m)</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GVA!$G$7:$G$14</c:f>
              <c:numCache>
                <c:formatCode>#,##0</c:formatCode>
                <c:ptCount val="8"/>
                <c:pt idx="0">
                  <c:v>1605</c:v>
                </c:pt>
                <c:pt idx="1">
                  <c:v>1232</c:v>
                </c:pt>
                <c:pt idx="2">
                  <c:v>25845</c:v>
                </c:pt>
                <c:pt idx="3">
                  <c:v>1129</c:v>
                </c:pt>
                <c:pt idx="4">
                  <c:v>9208</c:v>
                </c:pt>
                <c:pt idx="5">
                  <c:v>4857</c:v>
                </c:pt>
                <c:pt idx="6">
                  <c:v>7463</c:v>
                </c:pt>
                <c:pt idx="7">
                  <c:v>2029</c:v>
                </c:pt>
              </c:numCache>
            </c:numRef>
          </c:val>
          <c:extLst>
            <c:ext xmlns:c16="http://schemas.microsoft.com/office/drawing/2014/chart" uri="{C3380CC4-5D6E-409C-BE32-E72D297353CC}">
              <c16:uniqueId val="{00000002-F50E-4AB9-B663-00AACD3018E6}"/>
            </c:ext>
          </c:extLst>
        </c:ser>
        <c:dLbls>
          <c:showLegendKey val="0"/>
          <c:showVal val="0"/>
          <c:showCatName val="0"/>
          <c:showSerName val="0"/>
          <c:showPercent val="0"/>
          <c:showBubbleSize val="0"/>
        </c:dLbls>
        <c:gapWidth val="219"/>
        <c:overlap val="-27"/>
        <c:axId val="539233016"/>
        <c:axId val="539233408"/>
        <c:extLst/>
      </c:barChart>
      <c:catAx>
        <c:axId val="539233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408"/>
        <c:crosses val="autoZero"/>
        <c:auto val="1"/>
        <c:lblAlgn val="ctr"/>
        <c:lblOffset val="100"/>
        <c:noMultiLvlLbl val="0"/>
      </c:catAx>
      <c:valAx>
        <c:axId val="5392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phw'!$C$2</c:f>
          <c:strCache>
            <c:ptCount val="1"/>
            <c:pt idx="0">
              <c:v>GVA per hour worked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'GVA phw'!$G$6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 phw'!$C$7:$C$20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Clackmannanshire</c:v>
                </c:pt>
                <c:pt idx="10">
                  <c:v>LGBF Family Group 4 Average</c:v>
                </c:pt>
                <c:pt idx="11">
                  <c:v>Glasgow City Region</c:v>
                </c:pt>
                <c:pt idx="12">
                  <c:v>Scotland</c:v>
                </c:pt>
                <c:pt idx="13">
                  <c:v>United Kingdom</c:v>
                </c:pt>
              </c:strCache>
            </c:strRef>
          </c:cat>
          <c:val>
            <c:numRef>
              <c:f>'GVA phw'!$G$7:$G$20</c:f>
              <c:numCache>
                <c:formatCode>0.0</c:formatCode>
                <c:ptCount val="14"/>
                <c:pt idx="0">
                  <c:v>35.1</c:v>
                </c:pt>
                <c:pt idx="1">
                  <c:v>35</c:v>
                </c:pt>
                <c:pt idx="2">
                  <c:v>36</c:v>
                </c:pt>
                <c:pt idx="3">
                  <c:v>27.1</c:v>
                </c:pt>
                <c:pt idx="4">
                  <c:v>40.700000000000003</c:v>
                </c:pt>
                <c:pt idx="5">
                  <c:v>37</c:v>
                </c:pt>
                <c:pt idx="6">
                  <c:v>36.200000000000003</c:v>
                </c:pt>
                <c:pt idx="7">
                  <c:v>36.1</c:v>
                </c:pt>
                <c:pt idx="9">
                  <c:v>49.6</c:v>
                </c:pt>
                <c:pt idx="10">
                  <c:v>37.65</c:v>
                </c:pt>
                <c:pt idx="11">
                  <c:v>36</c:v>
                </c:pt>
                <c:pt idx="12">
                  <c:v>38</c:v>
                </c:pt>
                <c:pt idx="13">
                  <c:v>39.1</c:v>
                </c:pt>
              </c:numCache>
            </c:numRef>
          </c:val>
          <c:extLst>
            <c:ext xmlns:c16="http://schemas.microsoft.com/office/drawing/2014/chart" uri="{C3380CC4-5D6E-409C-BE32-E72D297353CC}">
              <c16:uniqueId val="{00000000-6DBC-48C3-BAC4-B4D20122461B}"/>
            </c:ext>
          </c:extLst>
        </c:ser>
        <c:dLbls>
          <c:showLegendKey val="0"/>
          <c:showVal val="0"/>
          <c:showCatName val="0"/>
          <c:showSerName val="0"/>
          <c:showPercent val="0"/>
          <c:showBubbleSize val="0"/>
        </c:dLbls>
        <c:gapWidth val="219"/>
        <c:overlap val="-27"/>
        <c:axId val="539234192"/>
        <c:axId val="5392345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'GVA phw'!$C$7:$C$20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Clackmannanshire</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6DBC-48C3-BAC4-B4D20122461B}"/>
                  </c:ext>
                </c:extLst>
              </c15:ser>
            </c15:filteredBarSeries>
          </c:ext>
        </c:extLst>
      </c:barChart>
      <c:catAx>
        <c:axId val="539234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584"/>
        <c:crosses val="autoZero"/>
        <c:auto val="1"/>
        <c:lblAlgn val="ctr"/>
        <c:lblOffset val="100"/>
        <c:noMultiLvlLbl val="0"/>
      </c:catAx>
      <c:valAx>
        <c:axId val="539234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'GVA phw'!$K$6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'GVA phw'!$K$7:$K$14</c15:sqref>
                  </c15:fullRef>
                </c:ext>
              </c:extLst>
              <c:f>'GVA phw'!$K$7:$K$14</c:f>
              <c:numCache>
                <c:formatCode>0.0</c:formatCode>
                <c:ptCount val="8"/>
                <c:pt idx="0">
                  <c:v>14.5</c:v>
                </c:pt>
                <c:pt idx="1">
                  <c:v>14.600000000000001</c:v>
                </c:pt>
                <c:pt idx="2">
                  <c:v>13.600000000000001</c:v>
                </c:pt>
                <c:pt idx="3">
                  <c:v>22.5</c:v>
                </c:pt>
                <c:pt idx="4">
                  <c:v>8.8999999999999986</c:v>
                </c:pt>
                <c:pt idx="5">
                  <c:v>12.600000000000001</c:v>
                </c:pt>
                <c:pt idx="6">
                  <c:v>13.399999999999999</c:v>
                </c:pt>
                <c:pt idx="7">
                  <c:v>13.5</c:v>
                </c:pt>
              </c:numCache>
            </c:numRef>
          </c:val>
          <c:extLst>
            <c:ext xmlns:c16="http://schemas.microsoft.com/office/drawing/2014/chart" uri="{C3380CC4-5D6E-409C-BE32-E72D297353CC}">
              <c16:uniqueId val="{00000000-B5CB-4831-BD86-A292F455B67D}"/>
            </c:ext>
          </c:extLst>
        </c:ser>
        <c:dLbls>
          <c:showLegendKey val="0"/>
          <c:showVal val="0"/>
          <c:showCatName val="0"/>
          <c:showSerName val="0"/>
          <c:showPercent val="0"/>
          <c:showBubbleSize val="0"/>
        </c:dLbls>
        <c:gapWidth val="219"/>
        <c:axId val="539235368"/>
        <c:axId val="539235760"/>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B5CB-4831-BD86-A292F455B67D}"/>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B5CB-4831-BD86-A292F455B67D}"/>
                  </c:ext>
                </c:extLst>
              </c15:ser>
            </c15:filteredBarSeries>
          </c:ext>
        </c:extLst>
      </c:barChart>
      <c:catAx>
        <c:axId val="539235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760"/>
        <c:crosses val="autoZero"/>
        <c:auto val="1"/>
        <c:lblAlgn val="ctr"/>
        <c:lblOffset val="100"/>
        <c:noMultiLvlLbl val="0"/>
      </c:catAx>
      <c:valAx>
        <c:axId val="539235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'R&amp;D'!$C$2</c:f>
          <c:strCache>
            <c:ptCount val="1"/>
            <c:pt idx="0">
              <c:v>Business Expenditure in R&amp;D (per head of total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'R&amp;D'!$G$6</c:f>
              <c:strCache>
                <c:ptCount val="1"/>
                <c:pt idx="0">
                  <c:v>2020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'R&amp;D'!$C$7:$C$20</c15:sqref>
                  </c15:fullRef>
                </c:ext>
              </c:extLst>
              <c:f>('R&amp;D'!$C$8:$C$13,'R&amp;D'!$C$15:$C$19)</c:f>
              <c:strCache>
                <c:ptCount val="11"/>
                <c:pt idx="0">
                  <c:v>East Renfrewshire</c:v>
                </c:pt>
                <c:pt idx="1">
                  <c:v>Glasgow City</c:v>
                </c:pt>
                <c:pt idx="2">
                  <c:v>Inverclyde</c:v>
                </c:pt>
                <c:pt idx="3">
                  <c:v>North Lanarkshire</c:v>
                </c:pt>
                <c:pt idx="4">
                  <c:v>Renfrewshire</c:v>
                </c:pt>
                <c:pt idx="5">
                  <c:v>South Lanarkshire</c:v>
                </c:pt>
                <c:pt idx="7">
                  <c:v>West Lothian</c:v>
                </c:pt>
                <c:pt idx="8">
                  <c:v>LGBF Family Group 4 Average</c:v>
                </c:pt>
                <c:pt idx="9">
                  <c:v>Glasgow City Region</c:v>
                </c:pt>
                <c:pt idx="10">
                  <c:v>Scotland</c:v>
                </c:pt>
              </c:strCache>
            </c:strRef>
          </c:cat>
          <c:val>
            <c:numRef>
              <c:extLst>
                <c:ext xmlns:c15="http://schemas.microsoft.com/office/drawing/2012/chart" uri="{02D57815-91ED-43cb-92C2-25804820EDAC}">
                  <c15:fullRef>
                    <c15:sqref>'R&amp;D'!$G$7:$G$20</c15:sqref>
                  </c15:fullRef>
                </c:ext>
              </c:extLst>
              <c:f>('R&amp;D'!$G$8:$G$13,'R&amp;D'!$G$15:$G$19)</c:f>
              <c:numCache>
                <c:formatCode>0.0</c:formatCode>
                <c:ptCount val="11"/>
                <c:pt idx="0">
                  <c:v>56.953987091401203</c:v>
                </c:pt>
                <c:pt idx="1">
                  <c:v>322.13202441633632</c:v>
                </c:pt>
                <c:pt idx="2">
                  <c:v>165.4814430314041</c:v>
                </c:pt>
                <c:pt idx="3">
                  <c:v>205.98874362431846</c:v>
                </c:pt>
                <c:pt idx="4">
                  <c:v>199.63208651541336</c:v>
                </c:pt>
                <c:pt idx="5">
                  <c:v>87.073748519418984</c:v>
                </c:pt>
                <c:pt idx="7">
                  <c:v>981.28604069198127</c:v>
                </c:pt>
                <c:pt idx="8">
                  <c:v>42.459050059600081</c:v>
                </c:pt>
                <c:pt idx="9">
                  <c:v>20.916901255954958</c:v>
                </c:pt>
                <c:pt idx="10">
                  <c:v>262.94566410537868</c:v>
                </c:pt>
              </c:numCache>
            </c:numRef>
          </c:val>
          <c:extLst>
            <c:ext xmlns:c16="http://schemas.microsoft.com/office/drawing/2014/chart" uri="{C3380CC4-5D6E-409C-BE32-E72D297353CC}">
              <c16:uniqueId val="{00000000-C980-4F29-87C3-5F1F5C6CF490}"/>
            </c:ext>
          </c:extLst>
        </c:ser>
        <c:dLbls>
          <c:showLegendKey val="0"/>
          <c:showVal val="0"/>
          <c:showCatName val="0"/>
          <c:showSerName val="0"/>
          <c:showPercent val="0"/>
          <c:showBubbleSize val="0"/>
        </c:dLbls>
        <c:gapWidth val="219"/>
        <c:overlap val="-27"/>
        <c:axId val="539236936"/>
        <c:axId val="539237328"/>
        <c:extLst>
          <c:ext xmlns:c15="http://schemas.microsoft.com/office/drawing/2012/chart" uri="{02D57815-91ED-43cb-92C2-25804820EDAC}">
            <c15:filteredBarSeries>
              <c15:ser>
                <c:idx val="8"/>
                <c:order val="1"/>
                <c:tx>
                  <c:strRef>
                    <c:extLst>
                      <c:ext uri="{02D57815-91ED-43cb-92C2-25804820EDAC}">
                        <c15:formulaRef>
                          <c15:sqref>'R&amp;D'!$L$6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'R&amp;D'!$C$7:$C$20</c15:sqref>
                        </c15:fullRef>
                        <c15:formulaRef>
                          <c15:sqref>('R&amp;D'!$C$8:$C$13,'R&amp;D'!$C$15:$C$19)</c15:sqref>
                        </c15:formulaRef>
                      </c:ext>
                    </c:extLst>
                    <c:strCache>
                      <c:ptCount val="11"/>
                      <c:pt idx="0">
                        <c:v>East Renfrewshire</c:v>
                      </c:pt>
                      <c:pt idx="1">
                        <c:v>Glasgow City</c:v>
                      </c:pt>
                      <c:pt idx="2">
                        <c:v>Inverclyde</c:v>
                      </c:pt>
                      <c:pt idx="3">
                        <c:v>North Lanarkshire</c:v>
                      </c:pt>
                      <c:pt idx="4">
                        <c:v>Renfrewshire</c:v>
                      </c:pt>
                      <c:pt idx="5">
                        <c:v>South Lanarkshire</c:v>
                      </c:pt>
                      <c:pt idx="7">
                        <c:v>West Lothian</c:v>
                      </c:pt>
                      <c:pt idx="8">
                        <c:v>LGBF Family Group 4 Average</c:v>
                      </c:pt>
                      <c:pt idx="9">
                        <c:v>Glasgow City Region</c:v>
                      </c:pt>
                      <c:pt idx="10">
                        <c:v>Scotland</c:v>
                      </c:pt>
                    </c:strCache>
                  </c:strRef>
                </c:cat>
                <c:val>
                  <c:numRef>
                    <c:extLst>
                      <c:ext uri="{02D57815-91ED-43cb-92C2-25804820EDAC}">
                        <c15:fullRef>
                          <c15:sqref>'R&amp;D'!$L$7:$L$20</c15:sqref>
                        </c15:fullRef>
                        <c15:formulaRef>
                          <c15:sqref>('R&amp;D'!$L$8:$L$13,'R&amp;D'!$L$15:$L$19)</c15:sqref>
                        </c15:formulaRef>
                      </c:ext>
                    </c:extLst>
                    <c:numCache>
                      <c:formatCode>#,##0</c:formatCode>
                      <c:ptCount val="11"/>
                      <c:pt idx="0">
                        <c:v>887900</c:v>
                      </c:pt>
                      <c:pt idx="1">
                        <c:v>4189800</c:v>
                      </c:pt>
                      <c:pt idx="2">
                        <c:v>628700</c:v>
                      </c:pt>
                      <c:pt idx="3">
                        <c:v>2644900</c:v>
                      </c:pt>
                      <c:pt idx="4">
                        <c:v>1402200</c:v>
                      </c:pt>
                      <c:pt idx="5">
                        <c:v>2868800</c:v>
                      </c:pt>
                    </c:numCache>
                  </c:numRef>
                </c:val>
                <c:extLst>
                  <c:ext xmlns:c16="http://schemas.microsoft.com/office/drawing/2014/chart" uri="{C3380CC4-5D6E-409C-BE32-E72D297353CC}">
                    <c16:uniqueId val="{00000002-C980-4F29-87C3-5F1F5C6CF490}"/>
                  </c:ext>
                </c:extLst>
              </c15:ser>
            </c15:filteredBarSeries>
          </c:ext>
        </c:extLst>
      </c:barChart>
      <c:catAx>
        <c:axId val="539236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7328"/>
        <c:crosses val="autoZero"/>
        <c:auto val="1"/>
        <c:lblAlgn val="ctr"/>
        <c:lblOffset val="100"/>
        <c:noMultiLvlLbl val="0"/>
      </c:catAx>
      <c:valAx>
        <c:axId val="539237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6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'R&amp;D'!$G$22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'R&amp;D'!$C$7:$C$14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'R&amp;D'!$L$7:$L$14</c:f>
              <c:numCache>
                <c:formatCode>#,##0</c:formatCode>
                <c:ptCount val="8"/>
                <c:pt idx="0">
                  <c:v>1043600</c:v>
                </c:pt>
                <c:pt idx="1">
                  <c:v>887900</c:v>
                </c:pt>
                <c:pt idx="2">
                  <c:v>4189800</c:v>
                </c:pt>
                <c:pt idx="3">
                  <c:v>628700</c:v>
                </c:pt>
                <c:pt idx="4">
                  <c:v>2644900</c:v>
                </c:pt>
                <c:pt idx="5">
                  <c:v>1402200</c:v>
                </c:pt>
                <c:pt idx="6">
                  <c:v>2868800</c:v>
                </c:pt>
                <c:pt idx="7">
                  <c:v>596600</c:v>
                </c:pt>
              </c:numCache>
            </c:numRef>
          </c:val>
          <c:extLst>
            <c:ext xmlns:c16="http://schemas.microsoft.com/office/drawing/2014/chart" uri="{C3380CC4-5D6E-409C-BE32-E72D297353CC}">
              <c16:uniqueId val="{00000005-21ED-492B-97D3-170601B6F03B}"/>
            </c:ext>
          </c:extLst>
        </c:ser>
        <c:dLbls>
          <c:showLegendKey val="0"/>
          <c:showVal val="0"/>
          <c:showCatName val="0"/>
          <c:showSerName val="0"/>
          <c:showPercent val="0"/>
          <c:showBubbleSize val="0"/>
        </c:dLbls>
        <c:gapWidth val="219"/>
        <c:axId val="539238112"/>
        <c:axId val="539238504"/>
        <c:extLst/>
      </c:barChart>
      <c:catAx>
        <c:axId val="539238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8504"/>
        <c:crosses val="autoZero"/>
        <c:auto val="1"/>
        <c:lblAlgn val="ctr"/>
        <c:lblOffset val="100"/>
        <c:noMultiLvlLbl val="0"/>
      </c:catAx>
      <c:valAx>
        <c:axId val="539238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 Rate'!$C$2</c:f>
          <c:strCache>
            <c:ptCount val="1"/>
            <c:pt idx="0">
              <c:v>Enterprise Rate (per 10,000 working-age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'Enterprise Rate'!$G$6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'Enterprise Rate'!$C$7:$C$20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f>'Enterprise Rate'!$G$7:$G$20</c:f>
              <c:numCache>
                <c:formatCode>0.0</c:formatCode>
                <c:ptCount val="14"/>
                <c:pt idx="0">
                  <c:v>439.28261041321008</c:v>
                </c:pt>
                <c:pt idx="1">
                  <c:v>471.72311443260719</c:v>
                </c:pt>
                <c:pt idx="2">
                  <c:v>446.19476361582849</c:v>
                </c:pt>
                <c:pt idx="3">
                  <c:v>304.80921201174078</c:v>
                </c:pt>
                <c:pt idx="4">
                  <c:v>348.32013559198475</c:v>
                </c:pt>
                <c:pt idx="5">
                  <c:v>393.82708753682897</c:v>
                </c:pt>
                <c:pt idx="6">
                  <c:v>441.62732979707044</c:v>
                </c:pt>
                <c:pt idx="7">
                  <c:v>318.87295524969375</c:v>
                </c:pt>
                <c:pt idx="9">
                  <c:v>1135.4596080133072</c:v>
                </c:pt>
                <c:pt idx="10">
                  <c:v>435.94351040553437</c:v>
                </c:pt>
                <c:pt idx="11">
                  <c:v>432.05126533025532</c:v>
                </c:pt>
                <c:pt idx="12">
                  <c:v>498.07527325394625</c:v>
                </c:pt>
                <c:pt idx="13">
                  <c:v>641.58288868670979</c:v>
                </c:pt>
              </c:numCache>
            </c:numRef>
          </c:val>
          <c:extLst>
            <c:ext xmlns:c16="http://schemas.microsoft.com/office/drawing/2014/chart" uri="{C3380CC4-5D6E-409C-BE32-E72D297353CC}">
              <c16:uniqueId val="{00000000-7653-411F-A5E6-8E117F83AE15}"/>
            </c:ext>
          </c:extLst>
        </c:ser>
        <c:dLbls>
          <c:showLegendKey val="0"/>
          <c:showVal val="0"/>
          <c:showCatName val="0"/>
          <c:showSerName val="0"/>
          <c:showPercent val="0"/>
          <c:showBubbleSize val="0"/>
        </c:dLbls>
        <c:gapWidth val="219"/>
        <c:overlap val="-27"/>
        <c:axId val="539239288"/>
        <c:axId val="53923968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'Enterprise Rate'!$C$7:$C$20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7653-411F-A5E6-8E117F83AE15}"/>
                  </c:ext>
                </c:extLst>
              </c15:ser>
            </c15:filteredBarSeries>
          </c:ext>
        </c:extLst>
      </c:barChart>
      <c:catAx>
        <c:axId val="539239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9680"/>
        <c:crosses val="autoZero"/>
        <c:auto val="1"/>
        <c:lblAlgn val="ctr"/>
        <c:lblOffset val="100"/>
        <c:noMultiLvlLbl val="0"/>
      </c:catAx>
      <c:valAx>
        <c:axId val="539239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'Workless Households'!$L$6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'Workless Households'!$L$7:$L$14</c15:sqref>
                  </c15:fullRef>
                </c:ext>
              </c:extLst>
              <c:f>'Workless Households'!$L$7:$L$14</c:f>
              <c:numCache>
                <c:formatCode>#,##0</c:formatCode>
                <c:ptCount val="8"/>
                <c:pt idx="0">
                  <c:v>-2600</c:v>
                </c:pt>
                <c:pt idx="1">
                  <c:v>-800</c:v>
                </c:pt>
                <c:pt idx="2">
                  <c:v>-30600</c:v>
                </c:pt>
                <c:pt idx="3">
                  <c:v>-2200</c:v>
                </c:pt>
                <c:pt idx="4">
                  <c:v>-11200</c:v>
                </c:pt>
                <c:pt idx="5">
                  <c:v>-5200</c:v>
                </c:pt>
                <c:pt idx="6">
                  <c:v>-6100</c:v>
                </c:pt>
                <c:pt idx="7">
                  <c:v>-4300</c:v>
                </c:pt>
              </c:numCache>
            </c:numRef>
          </c:val>
          <c:extLst>
            <c:ext xmlns:c16="http://schemas.microsoft.com/office/drawing/2014/chart" uri="{C3380CC4-5D6E-409C-BE32-E72D297353CC}">
              <c16:uniqueId val="{00000000-3F9F-4410-8B70-AC8938A3E6F7}"/>
            </c:ext>
          </c:extLst>
        </c:ser>
        <c:dLbls>
          <c:showLegendKey val="0"/>
          <c:showVal val="0"/>
          <c:showCatName val="0"/>
          <c:showSerName val="0"/>
          <c:showPercent val="0"/>
          <c:showBubbleSize val="0"/>
        </c:dLbls>
        <c:gapWidth val="219"/>
        <c:axId val="472934672"/>
        <c:axId val="47293506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3F9F-4410-8B70-AC8938A3E6F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3F9F-4410-8B70-AC8938A3E6F7}"/>
                  </c:ext>
                </c:extLst>
              </c15:ser>
            </c15:filteredBarSeries>
          </c:ext>
        </c:extLst>
      </c:barChart>
      <c:catAx>
        <c:axId val="47293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5064"/>
        <c:crosses val="autoZero"/>
        <c:auto val="1"/>
        <c:lblAlgn val="ctr"/>
        <c:lblOffset val="100"/>
        <c:noMultiLvlLbl val="0"/>
      </c:catAx>
      <c:valAx>
        <c:axId val="47293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 Rate'!$F$22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'Enterprise Rate'!$C$7:$C$14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f>'Enterprise Rate'!$L$7:$L$14</c:f>
              <c:numCache>
                <c:formatCode>#,##0</c:formatCode>
                <c:ptCount val="8"/>
                <c:pt idx="0">
                  <c:v>4400</c:v>
                </c:pt>
                <c:pt idx="1">
                  <c:v>3700</c:v>
                </c:pt>
                <c:pt idx="2">
                  <c:v>30300</c:v>
                </c:pt>
                <c:pt idx="3">
                  <c:v>4000</c:v>
                </c:pt>
                <c:pt idx="4">
                  <c:v>17300</c:v>
                </c:pt>
                <c:pt idx="5">
                  <c:v>8700</c:v>
                </c:pt>
                <c:pt idx="6">
                  <c:v>14200</c:v>
                </c:pt>
                <c:pt idx="7">
                  <c:v>4500</c:v>
                </c:pt>
              </c:numCache>
            </c:numRef>
          </c:val>
          <c:extLst>
            <c:ext xmlns:c16="http://schemas.microsoft.com/office/drawing/2014/chart" uri="{C3380CC4-5D6E-409C-BE32-E72D297353CC}">
              <c16:uniqueId val="{00000005-7006-4D55-BF3D-DE4DCA86AFFF}"/>
            </c:ext>
          </c:extLst>
        </c:ser>
        <c:dLbls>
          <c:showLegendKey val="0"/>
          <c:showVal val="0"/>
          <c:showCatName val="0"/>
          <c:showSerName val="0"/>
          <c:showPercent val="0"/>
          <c:showBubbleSize val="0"/>
        </c:dLbls>
        <c:gapWidth val="219"/>
        <c:axId val="539240464"/>
        <c:axId val="539240856"/>
        <c:extLst/>
      </c:barChart>
      <c:catAx>
        <c:axId val="5392404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0856"/>
        <c:crosses val="autoZero"/>
        <c:auto val="1"/>
        <c:lblAlgn val="ctr"/>
        <c:lblOffset val="100"/>
        <c:noMultiLvlLbl val="0"/>
      </c:catAx>
      <c:valAx>
        <c:axId val="53924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0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Births'!$C$2</c:f>
          <c:strCache>
            <c:ptCount val="1"/>
            <c:pt idx="0">
              <c:v>Business Birth Rate (per 10,000 16-64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'Business Births'!$G$6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Births'!$C$7:$C$20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Glasgow City</c:v>
                </c:pt>
                <c:pt idx="10">
                  <c:v>LGBF Family Group 4 Average</c:v>
                </c:pt>
                <c:pt idx="11">
                  <c:v>Glasgow City Region</c:v>
                </c:pt>
                <c:pt idx="12">
                  <c:v>Scotland</c:v>
                </c:pt>
                <c:pt idx="13">
                  <c:v>United Kingdom</c:v>
                </c:pt>
              </c:strCache>
            </c:strRef>
          </c:cat>
          <c:val>
            <c:numRef>
              <c:f>'Business Births'!$G$7:$G$20</c:f>
              <c:numCache>
                <c:formatCode>0.0</c:formatCode>
                <c:ptCount val="14"/>
                <c:pt idx="0">
                  <c:v>54.515287982934346</c:v>
                </c:pt>
                <c:pt idx="1">
                  <c:v>57.419480221197503</c:v>
                </c:pt>
                <c:pt idx="2">
                  <c:v>69.451085941733965</c:v>
                </c:pt>
                <c:pt idx="3">
                  <c:v>40.025452082349801</c:v>
                </c:pt>
                <c:pt idx="4">
                  <c:v>51.94047803464521</c:v>
                </c:pt>
                <c:pt idx="5">
                  <c:v>48.12035153183119</c:v>
                </c:pt>
                <c:pt idx="6">
                  <c:v>57.180398072898925</c:v>
                </c:pt>
                <c:pt idx="7">
                  <c:v>45.038553001369174</c:v>
                </c:pt>
                <c:pt idx="9">
                  <c:v>69.451085941733965</c:v>
                </c:pt>
                <c:pt idx="10">
                  <c:v>59.941811267577151</c:v>
                </c:pt>
                <c:pt idx="11">
                  <c:v>58.423994112850295</c:v>
                </c:pt>
                <c:pt idx="12">
                  <c:v>54.562598509778908</c:v>
                </c:pt>
                <c:pt idx="13">
                  <c:v>79.887987758341055</c:v>
                </c:pt>
              </c:numCache>
            </c:numRef>
          </c:val>
          <c:extLst>
            <c:ext xmlns:c16="http://schemas.microsoft.com/office/drawing/2014/chart" uri="{C3380CC4-5D6E-409C-BE32-E72D297353CC}">
              <c16:uniqueId val="{00000000-0CE3-482C-A7D1-00E9A8ABC9C0}"/>
            </c:ext>
          </c:extLst>
        </c:ser>
        <c:dLbls>
          <c:showLegendKey val="0"/>
          <c:showVal val="0"/>
          <c:showCatName val="0"/>
          <c:showSerName val="0"/>
          <c:showPercent val="0"/>
          <c:showBubbleSize val="0"/>
        </c:dLbls>
        <c:gapWidth val="219"/>
        <c:overlap val="-27"/>
        <c:axId val="539241640"/>
        <c:axId val="539242032"/>
        <c:extLst>
          <c:ext xmlns:c15="http://schemas.microsoft.com/office/drawing/2012/chart" uri="{02D57815-91ED-43cb-92C2-25804820EDAC}">
            <c15:filteredBarSeries>
              <c15:ser>
                <c:idx val="8"/>
                <c:order val="1"/>
                <c:tx>
                  <c:strRef>
                    <c:extLst>
                      <c:ext uri="{02D57815-91ED-43cb-92C2-25804820EDAC}">
                        <c15:formulaRef>
                          <c15:sqref>'Business Births'!$L$6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'Business Births'!$C$7:$C$20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Glasgow City</c:v>
                      </c:pt>
                      <c:pt idx="10">
                        <c:v>LGBF Family Group 4 Average</c:v>
                      </c:pt>
                      <c:pt idx="11">
                        <c:v>Glasgow City Region</c:v>
                      </c:pt>
                      <c:pt idx="12">
                        <c:v>Scotland</c:v>
                      </c:pt>
                      <c:pt idx="13">
                        <c:v>United Kingdom</c:v>
                      </c:pt>
                    </c:strCache>
                  </c:strRef>
                </c:cat>
                <c:val>
                  <c:numRef>
                    <c:extLst>
                      <c:ext uri="{02D57815-91ED-43cb-92C2-25804820EDAC}">
                        <c15:formulaRef>
                          <c15:sqref>'Business Births'!$L$7:$L$20</c15:sqref>
                        </c15:formulaRef>
                      </c:ext>
                    </c:extLst>
                    <c:numCache>
                      <c:formatCode>#,##0</c:formatCode>
                      <c:ptCount val="14"/>
                      <c:pt idx="0">
                        <c:v>100</c:v>
                      </c:pt>
                      <c:pt idx="1">
                        <c:v>100</c:v>
                      </c:pt>
                      <c:pt idx="2">
                        <c:v>0</c:v>
                      </c:pt>
                      <c:pt idx="3">
                        <c:v>100</c:v>
                      </c:pt>
                      <c:pt idx="4">
                        <c:v>400</c:v>
                      </c:pt>
                      <c:pt idx="5">
                        <c:v>200</c:v>
                      </c:pt>
                      <c:pt idx="6">
                        <c:v>200</c:v>
                      </c:pt>
                      <c:pt idx="7">
                        <c:v>100</c:v>
                      </c:pt>
                    </c:numCache>
                  </c:numRef>
                </c:val>
                <c:extLst>
                  <c:ext xmlns:c16="http://schemas.microsoft.com/office/drawing/2014/chart" uri="{C3380CC4-5D6E-409C-BE32-E72D297353CC}">
                    <c16:uniqueId val="{00000001-0CE3-482C-A7D1-00E9A8ABC9C0}"/>
                  </c:ext>
                </c:extLst>
              </c15:ser>
            </c15:filteredBarSeries>
          </c:ext>
        </c:extLst>
      </c:barChart>
      <c:catAx>
        <c:axId val="539241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2032"/>
        <c:crosses val="autoZero"/>
        <c:auto val="1"/>
        <c:lblAlgn val="ctr"/>
        <c:lblOffset val="100"/>
        <c:noMultiLvlLbl val="0"/>
      </c:catAx>
      <c:valAx>
        <c:axId val="53924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1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Births'!$F$22</c:f>
          <c:strCache>
            <c:ptCount val="1"/>
            <c:pt idx="0">
              <c:v>Volume Change Required to match Geographic Area - Top Performing Scottish Local Authority</c:v>
            </c:pt>
          </c:strCache>
        </c:strRef>
      </c:tx>
      <c:layout>
        <c:manualLayout>
          <c:xMode val="edge"/>
          <c:yMode val="edge"/>
          <c:x val="0.12569663518748259"/>
          <c:y val="6.990293399676905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'Business Births'!$L$6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'Business Births'!$C$7:$C$20</c15:sqref>
                  </c15:fullRef>
                </c:ext>
              </c:extLst>
              <c:f>'Business Births'!$C$7:$C$14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'Business Births'!$L$7:$L$20</c15:sqref>
                  </c15:fullRef>
                </c:ext>
              </c:extLst>
              <c:f>'Business Births'!$L$7:$L$14</c:f>
              <c:numCache>
                <c:formatCode>#,##0</c:formatCode>
                <c:ptCount val="8"/>
                <c:pt idx="0">
                  <c:v>100</c:v>
                </c:pt>
                <c:pt idx="1">
                  <c:v>100</c:v>
                </c:pt>
                <c:pt idx="2">
                  <c:v>0</c:v>
                </c:pt>
                <c:pt idx="3">
                  <c:v>100</c:v>
                </c:pt>
                <c:pt idx="4">
                  <c:v>400</c:v>
                </c:pt>
                <c:pt idx="5">
                  <c:v>200</c:v>
                </c:pt>
                <c:pt idx="6">
                  <c:v>200</c:v>
                </c:pt>
                <c:pt idx="7">
                  <c:v>100</c:v>
                </c:pt>
              </c:numCache>
            </c:numRef>
          </c:val>
          <c:extLst>
            <c:ext xmlns:c16="http://schemas.microsoft.com/office/drawing/2014/chart" uri="{C3380CC4-5D6E-409C-BE32-E72D297353CC}">
              <c16:uniqueId val="{00000000-4E49-4616-87B1-2C106965A47B}"/>
            </c:ext>
          </c:extLst>
        </c:ser>
        <c:dLbls>
          <c:showLegendKey val="0"/>
          <c:showVal val="0"/>
          <c:showCatName val="0"/>
          <c:showSerName val="0"/>
          <c:showPercent val="0"/>
          <c:showBubbleSize val="0"/>
        </c:dLbls>
        <c:gapWidth val="219"/>
        <c:axId val="539242816"/>
        <c:axId val="539243208"/>
        <c:extLst>
          <c:ext xmlns:c15="http://schemas.microsoft.com/office/drawing/2012/chart" uri="{02D57815-91ED-43cb-92C2-25804820EDAC}">
            <c15:filteredBarSeries>
              <c15:ser>
                <c:idx val="3"/>
                <c:order val="0"/>
                <c:tx>
                  <c:strRef>
                    <c:extLst>
                      <c:ext uri="{02D57815-91ED-43cb-92C2-25804820EDAC}">
                        <c15:formulaRef>
                          <c15:sqref>'Business Births'!$G$6</c15:sqref>
                        </c15:formulaRef>
                      </c:ext>
                    </c:extLst>
                    <c:strCache>
                      <c:ptCount val="1"/>
                      <c:pt idx="0">
                        <c:v>2022</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'Business Births'!$C$7:$C$20</c15:sqref>
                        </c15:fullRef>
                        <c15:formulaRef>
                          <c15:sqref>'Business Births'!$C$7:$C$14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'Business Births'!$G$7:$G$20</c15:sqref>
                        </c15:fullRef>
                        <c15:formulaRef>
                          <c15:sqref>'Business Births'!$G$7:$G$14</c15:sqref>
                        </c15:formulaRef>
                      </c:ext>
                    </c:extLst>
                    <c:numCache>
                      <c:formatCode>0.0</c:formatCode>
                      <c:ptCount val="8"/>
                      <c:pt idx="0">
                        <c:v>54.515287982934346</c:v>
                      </c:pt>
                      <c:pt idx="1">
                        <c:v>57.419480221197503</c:v>
                      </c:pt>
                      <c:pt idx="2">
                        <c:v>69.451085941733965</c:v>
                      </c:pt>
                      <c:pt idx="3">
                        <c:v>40.025452082349801</c:v>
                      </c:pt>
                      <c:pt idx="4">
                        <c:v>51.94047803464521</c:v>
                      </c:pt>
                      <c:pt idx="5">
                        <c:v>48.12035153183119</c:v>
                      </c:pt>
                      <c:pt idx="6">
                        <c:v>57.180398072898925</c:v>
                      </c:pt>
                      <c:pt idx="7">
                        <c:v>45.038553001369174</c:v>
                      </c:pt>
                    </c:numCache>
                  </c:numRef>
                </c:val>
                <c:extLst>
                  <c:ext xmlns:c16="http://schemas.microsoft.com/office/drawing/2014/chart" uri="{C3380CC4-5D6E-409C-BE32-E72D297353CC}">
                    <c16:uniqueId val="{00000001-4E49-4616-87B1-2C106965A47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'Business Births'!$K$6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'Business Births'!$C$7:$C$20</c15:sqref>
                        </c15:fullRef>
                        <c15:formulaRef>
                          <c15:sqref>'Business Births'!$C$7:$C$14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'Business Births'!$K$7:$K$20</c15:sqref>
                        </c15:fullRef>
                        <c15:formulaRef>
                          <c15:sqref>'Business Births'!$K$7:$K$14</c15:sqref>
                        </c15:formulaRef>
                      </c:ext>
                    </c:extLst>
                    <c:numCache>
                      <c:formatCode>0.0</c:formatCode>
                      <c:ptCount val="8"/>
                      <c:pt idx="0">
                        <c:v>14.935797958799618</c:v>
                      </c:pt>
                      <c:pt idx="1">
                        <c:v>12.031605720536461</c:v>
                      </c:pt>
                      <c:pt idx="2">
                        <c:v>0</c:v>
                      </c:pt>
                      <c:pt idx="3">
                        <c:v>29.425633859384163</c:v>
                      </c:pt>
                      <c:pt idx="4">
                        <c:v>17.510607907088755</c:v>
                      </c:pt>
                      <c:pt idx="5">
                        <c:v>21.330734409902774</c:v>
                      </c:pt>
                      <c:pt idx="6">
                        <c:v>12.27068786883504</c:v>
                      </c:pt>
                      <c:pt idx="7">
                        <c:v>24.412532940364791</c:v>
                      </c:pt>
                    </c:numCache>
                  </c:numRef>
                </c:val>
                <c:extLst xmlns:c15="http://schemas.microsoft.com/office/drawing/2012/chart">
                  <c:ext xmlns:c16="http://schemas.microsoft.com/office/drawing/2014/chart" uri="{C3380CC4-5D6E-409C-BE32-E72D297353CC}">
                    <c16:uniqueId val="{00000002-4E49-4616-87B1-2C106965A47B}"/>
                  </c:ext>
                </c:extLst>
              </c15:ser>
            </c15:filteredBarSeries>
            <c15:filteredBarSeries>
              <c15:ser>
                <c:idx val="0"/>
                <c:order val="3"/>
                <c:spPr>
                  <a:solidFill>
                    <a:schemeClr val="accent1"/>
                  </a:solidFill>
                  <a:ln>
                    <a:noFill/>
                  </a:ln>
                  <a:effectLst/>
                </c:spPr>
                <c:invertIfNegative val="0"/>
                <c:cat>
                  <c:strRef>
                    <c:extLst>
                      <c:ext xmlns:c15="http://schemas.microsoft.com/office/drawing/2012/chart" uri="{02D57815-91ED-43cb-92C2-25804820EDAC}">
                        <c15:fullRef>
                          <c15:sqref>'Gap Analysis'!$B$10</c15:sqref>
                        </c15:fullRef>
                        <c15:formulaRef>
                          <c15:sqref>'Gap Analysis'!$B$10</c15:sqref>
                        </c15:formulaRef>
                      </c:ext>
                    </c:extLst>
                    <c:strCache>
                      <c:ptCount val="1"/>
                      <c:pt idx="0">
                        <c:v>Enterprise Rate (per 10,000 working-age population)</c:v>
                      </c:pt>
                    </c:strCache>
                  </c:strRef>
                </c:cat>
                <c:val>
                  <c:numRef>
                    <c:extLst>
                      <c:ext xmlns:c15="http://schemas.microsoft.com/office/drawing/2012/chart" uri="{02D57815-91ED-43cb-92C2-25804820EDAC}">
                        <c15:fullRef>
                          <c15:sqref>'Gap Analysis'!$C$10</c15:sqref>
                        </c15:fullRef>
                        <c15:formulaRef>
                          <c15:sqref>'Gap Analysis'!$C$10</c15:sqref>
                        </c15:formulaRef>
                      </c:ext>
                    </c:extLst>
                    <c:numCache>
                      <c:formatCode>0.0</c:formatCode>
                      <c:ptCount val="1"/>
                      <c:pt idx="0">
                        <c:v>446.19476361582849</c:v>
                      </c:pt>
                    </c:numCache>
                  </c:numRef>
                </c:val>
                <c:extLst xmlns:c15="http://schemas.microsoft.com/office/drawing/2012/chart">
                  <c:ext xmlns:c16="http://schemas.microsoft.com/office/drawing/2014/chart" uri="{C3380CC4-5D6E-409C-BE32-E72D297353CC}">
                    <c16:uniqueId val="{00000000-8856-46D2-9B68-FAF77BC6674C}"/>
                  </c:ext>
                </c:extLst>
              </c15:ser>
            </c15:filteredBarSeries>
            <c15:filteredBarSeries>
              <c15:ser>
                <c:idx val="1"/>
                <c:order val="4"/>
                <c:spPr>
                  <a:solidFill>
                    <a:schemeClr val="accent2"/>
                  </a:solidFill>
                  <a:ln>
                    <a:noFill/>
                  </a:ln>
                  <a:effectLst/>
                </c:spPr>
                <c:invertIfNegative val="0"/>
                <c:cat>
                  <c:strRef>
                    <c:extLst>
                      <c:ext xmlns:c15="http://schemas.microsoft.com/office/drawing/2012/chart" uri="{02D57815-91ED-43cb-92C2-25804820EDAC}">
                        <c15:fullRef>
                          <c15:sqref>'Gap Analysis'!$B$10</c15:sqref>
                        </c15:fullRef>
                        <c15:formulaRef>
                          <c15:sqref>'Gap Analysis'!$B$10</c15:sqref>
                        </c15:formulaRef>
                      </c:ext>
                    </c:extLst>
                    <c:strCache>
                      <c:ptCount val="1"/>
                      <c:pt idx="0">
                        <c:v>Enterprise Rate (per 10,000 working-age population)</c:v>
                      </c:pt>
                    </c:strCache>
                  </c:strRef>
                </c:cat>
                <c:val>
                  <c:numRef>
                    <c:extLst>
                      <c:ext xmlns:c15="http://schemas.microsoft.com/office/drawing/2012/chart" uri="{02D57815-91ED-43cb-92C2-25804820EDAC}">
                        <c15:fullRef>
                          <c15:sqref>'Gap Analysis'!$H$10</c15:sqref>
                        </c15:fullRef>
                        <c15:formulaRef>
                          <c15:sqref>'Gap Analysis'!$H$10</c15:sqref>
                        </c15:formulaRef>
                      </c:ext>
                    </c:extLst>
                    <c:numCache>
                      <c:formatCode>0.0</c:formatCode>
                      <c:ptCount val="1"/>
                      <c:pt idx="0">
                        <c:v>689.26484439747867</c:v>
                      </c:pt>
                    </c:numCache>
                  </c:numRef>
                </c:val>
                <c:extLst xmlns:c15="http://schemas.microsoft.com/office/drawing/2012/chart">
                  <c:ext xmlns:c16="http://schemas.microsoft.com/office/drawing/2014/chart" uri="{C3380CC4-5D6E-409C-BE32-E72D297353CC}">
                    <c16:uniqueId val="{00000001-8856-46D2-9B68-FAF77BC6674C}"/>
                  </c:ext>
                </c:extLst>
              </c15:ser>
            </c15:filteredBarSeries>
            <c15:filteredBarSeries>
              <c15:ser>
                <c:idx val="2"/>
                <c:order val="5"/>
                <c:spPr>
                  <a:solidFill>
                    <a:schemeClr val="accent3"/>
                  </a:solidFill>
                  <a:ln>
                    <a:noFill/>
                  </a:ln>
                  <a:effectLst/>
                </c:spPr>
                <c:invertIfNegative val="0"/>
                <c:cat>
                  <c:strRef>
                    <c:extLst>
                      <c:ext xmlns:c15="http://schemas.microsoft.com/office/drawing/2012/chart" uri="{02D57815-91ED-43cb-92C2-25804820EDAC}">
                        <c15:fullRef>
                          <c15:sqref>'Gap Analysis'!$B$10</c15:sqref>
                        </c15:fullRef>
                        <c15:formulaRef>
                          <c15:sqref>'Gap Analysis'!$B$10</c15:sqref>
                        </c15:formulaRef>
                      </c:ext>
                    </c:extLst>
                    <c:strCache>
                      <c:ptCount val="1"/>
                      <c:pt idx="0">
                        <c:v>Enterprise Rate (per 10,000 working-age population)</c:v>
                      </c:pt>
                    </c:strCache>
                  </c:strRef>
                </c:cat>
                <c:val>
                  <c:numRef>
                    <c:extLst>
                      <c:ext xmlns:c15="http://schemas.microsoft.com/office/drawing/2012/chart" uri="{02D57815-91ED-43cb-92C2-25804820EDAC}">
                        <c15:fullRef>
                          <c15:sqref>'Gap Analysis'!$I$10</c15:sqref>
                        </c15:fullRef>
                        <c15:formulaRef>
                          <c15:sqref>'Gap Analysis'!$I$10</c15:sqref>
                        </c15:formulaRef>
                      </c:ext>
                    </c:extLst>
                    <c:numCache>
                      <c:formatCode>#,##0</c:formatCode>
                      <c:ptCount val="1"/>
                      <c:pt idx="0">
                        <c:v>30300</c:v>
                      </c:pt>
                    </c:numCache>
                  </c:numRef>
                </c:val>
                <c:extLst xmlns:c15="http://schemas.microsoft.com/office/drawing/2012/chart">
                  <c:ext xmlns:c16="http://schemas.microsoft.com/office/drawing/2014/chart" uri="{C3380CC4-5D6E-409C-BE32-E72D297353CC}">
                    <c16:uniqueId val="{00000002-8856-46D2-9B68-FAF77BC6674C}"/>
                  </c:ext>
                </c:extLst>
              </c15:ser>
            </c15:filteredBarSeries>
          </c:ext>
        </c:extLst>
      </c:barChart>
      <c:catAx>
        <c:axId val="539242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3208"/>
        <c:crosses val="autoZero"/>
        <c:auto val="1"/>
        <c:lblAlgn val="ctr"/>
        <c:lblOffset val="100"/>
        <c:noMultiLvlLbl val="0"/>
      </c:catAx>
      <c:valAx>
        <c:axId val="539243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2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Deaths'!$C$2</c:f>
          <c:strCache>
            <c:ptCount val="1"/>
            <c:pt idx="0">
              <c:v>Business Death Rate (per 10,000 16-64 Population)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'Business Deaths'!$G$6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Deaths'!$C$7:$C$20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f>'Business Deaths'!$G$7:$G$20</c:f>
              <c:numCache>
                <c:formatCode>0.0</c:formatCode>
                <c:ptCount val="14"/>
                <c:pt idx="0">
                  <c:v>60.04582444497116</c:v>
                </c:pt>
                <c:pt idx="1">
                  <c:v>62.719739933923428</c:v>
                </c:pt>
                <c:pt idx="2">
                  <c:v>61.481289194321867</c:v>
                </c:pt>
                <c:pt idx="3">
                  <c:v>43.104333011761327</c:v>
                </c:pt>
                <c:pt idx="4">
                  <c:v>50.801432463710007</c:v>
                </c:pt>
                <c:pt idx="5">
                  <c:v>50.230893265683434</c:v>
                </c:pt>
                <c:pt idx="6">
                  <c:v>53.530585429947934</c:v>
                </c:pt>
                <c:pt idx="7">
                  <c:v>40.534697701232254</c:v>
                </c:pt>
                <c:pt idx="9">
                  <c:v>34.562211981566819</c:v>
                </c:pt>
                <c:pt idx="10">
                  <c:v>59.402402392278368</c:v>
                </c:pt>
                <c:pt idx="11">
                  <c:v>55.357770308346097</c:v>
                </c:pt>
                <c:pt idx="12">
                  <c:v>56.789053244942117</c:v>
                </c:pt>
                <c:pt idx="13">
                  <c:v>81.918827307647845</c:v>
                </c:pt>
              </c:numCache>
            </c:numRef>
          </c:val>
          <c:extLst>
            <c:ext xmlns:c16="http://schemas.microsoft.com/office/drawing/2014/chart" uri="{C3380CC4-5D6E-409C-BE32-E72D297353CC}">
              <c16:uniqueId val="{00000000-D926-40C6-8FBA-FE14EEAAE4BD}"/>
            </c:ext>
          </c:extLst>
        </c:ser>
        <c:dLbls>
          <c:showLegendKey val="0"/>
          <c:showVal val="0"/>
          <c:showCatName val="0"/>
          <c:showSerName val="0"/>
          <c:showPercent val="0"/>
          <c:showBubbleSize val="0"/>
        </c:dLbls>
        <c:gapWidth val="219"/>
        <c:overlap val="-27"/>
        <c:axId val="539243992"/>
        <c:axId val="5392443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'Business Deaths'!$C$7:$C$20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D926-40C6-8FBA-FE14EEAAE4BD}"/>
                  </c:ext>
                </c:extLst>
              </c15:ser>
            </c15:filteredBarSeries>
          </c:ext>
        </c:extLst>
      </c:barChart>
      <c:catAx>
        <c:axId val="539243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4384"/>
        <c:crosses val="autoZero"/>
        <c:auto val="1"/>
        <c:lblAlgn val="ctr"/>
        <c:lblOffset val="100"/>
        <c:noMultiLvlLbl val="0"/>
      </c:catAx>
      <c:valAx>
        <c:axId val="539244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3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Deaths'!$F$22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'Business Deaths'!$L$6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(Employment!$C$7:$C$14,Employment!$C$20)</c:f>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'Business Deaths'!$L$7:$L$14</c15:sqref>
                  </c15:fullRef>
                </c:ext>
              </c:extLst>
              <c:f>'Business Deaths'!$L$7:$L$14</c:f>
              <c:numCache>
                <c:formatCode>#,##0</c:formatCode>
                <c:ptCount val="8"/>
                <c:pt idx="0">
                  <c:v>-200</c:v>
                </c:pt>
                <c:pt idx="1">
                  <c:v>-200</c:v>
                </c:pt>
                <c:pt idx="2">
                  <c:v>-1200</c:v>
                </c:pt>
                <c:pt idx="3">
                  <c:v>0</c:v>
                </c:pt>
                <c:pt idx="4">
                  <c:v>-300</c:v>
                </c:pt>
                <c:pt idx="5">
                  <c:v>-200</c:v>
                </c:pt>
                <c:pt idx="6">
                  <c:v>-400</c:v>
                </c:pt>
                <c:pt idx="7">
                  <c:v>0</c:v>
                </c:pt>
              </c:numCache>
            </c:numRef>
          </c:val>
          <c:extLst>
            <c:ext xmlns:c16="http://schemas.microsoft.com/office/drawing/2014/chart" uri="{C3380CC4-5D6E-409C-BE32-E72D297353CC}">
              <c16:uniqueId val="{00000000-6DAF-4D8F-A80E-3F9F129E0058}"/>
            </c:ext>
          </c:extLst>
        </c:ser>
        <c:dLbls>
          <c:showLegendKey val="0"/>
          <c:showVal val="0"/>
          <c:showCatName val="0"/>
          <c:showSerName val="0"/>
          <c:showPercent val="0"/>
          <c:showBubbleSize val="0"/>
        </c:dLbls>
        <c:gapWidth val="219"/>
        <c:axId val="539245168"/>
        <c:axId val="539245560"/>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uri="{02D57815-91ED-43cb-92C2-25804820EDAC}">
                        <c15:fullRef>
                          <c15:sqref>Employment!$G$7:$G$20</c15:sqref>
                        </c15:fullRef>
                        <c15:formulaRef>
                          <c15:sqref>(Employment!$G$7:$G$14,Employment!$G$20)</c15:sqref>
                        </c15:formulaRef>
                      </c:ext>
                    </c:extLst>
                    <c:numCache>
                      <c:formatCode>0.0</c:formatCode>
                      <c:ptCount val="9"/>
                      <c:pt idx="0">
                        <c:v>73.5</c:v>
                      </c:pt>
                      <c:pt idx="1">
                        <c:v>77.5</c:v>
                      </c:pt>
                      <c:pt idx="2">
                        <c:v>71.2</c:v>
                      </c:pt>
                      <c:pt idx="3">
                        <c:v>68.400000000000006</c:v>
                      </c:pt>
                      <c:pt idx="4">
                        <c:v>70.5</c:v>
                      </c:pt>
                      <c:pt idx="5">
                        <c:v>76.8</c:v>
                      </c:pt>
                      <c:pt idx="6">
                        <c:v>77.099999999999994</c:v>
                      </c:pt>
                      <c:pt idx="7">
                        <c:v>71.900000000000006</c:v>
                      </c:pt>
                      <c:pt idx="8">
                        <c:v>75.7</c:v>
                      </c:pt>
                    </c:numCache>
                  </c:numRef>
                </c:val>
                <c:extLst>
                  <c:ext xmlns:c16="http://schemas.microsoft.com/office/drawing/2014/chart" uri="{C3380CC4-5D6E-409C-BE32-E72D297353CC}">
                    <c16:uniqueId val="{00000001-6DAF-4D8F-A80E-3F9F129E005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(Employment!$C$7:$C$14,Employment!$C$20)</c15:sqref>
                        </c15:formulaRef>
                      </c:ext>
                    </c:extLst>
                    <c:strCache>
                      <c:ptCount val="9"/>
                      <c:pt idx="0">
                        <c:v>East Dunbartonshire</c:v>
                      </c:pt>
                      <c:pt idx="1">
                        <c:v>East Renfrewshire</c:v>
                      </c:pt>
                      <c:pt idx="2">
                        <c:v>Glasgow City</c:v>
                      </c:pt>
                      <c:pt idx="3">
                        <c:v>Inverclyde</c:v>
                      </c:pt>
                      <c:pt idx="4">
                        <c:v>North Lanarkshire</c:v>
                      </c:pt>
                      <c:pt idx="5">
                        <c:v>Renfrewshire</c:v>
                      </c:pt>
                      <c:pt idx="6">
                        <c:v>South Lanarkshire</c:v>
                      </c:pt>
                      <c:pt idx="7">
                        <c:v>West Dunbartonshire</c:v>
                      </c:pt>
                      <c:pt idx="8">
                        <c:v>United Kingdom</c:v>
                      </c:pt>
                    </c:strCache>
                  </c:strRef>
                </c:cat>
                <c:val>
                  <c:numRef>
                    <c:extLst>
                      <c:ext xmlns:c15="http://schemas.microsoft.com/office/drawing/2012/chart" uri="{02D57815-91ED-43cb-92C2-25804820EDAC}">
                        <c15:fullRef>
                          <c15:sqref>Employment!$K$7:$K$20</c15:sqref>
                        </c15:fullRef>
                        <c15:formulaRef>
                          <c15:sqref>(Employment!$K$7:$K$14,Employment!$K$20)</c15:sqref>
                        </c15:formulaRef>
                      </c:ext>
                    </c:extLst>
                    <c:numCache>
                      <c:formatCode>0.0</c:formatCode>
                      <c:ptCount val="9"/>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6DAF-4D8F-A80E-3F9F129E0058}"/>
                  </c:ext>
                </c:extLst>
              </c15:ser>
            </c15:filteredBarSeries>
          </c:ext>
        </c:extLst>
      </c:barChart>
      <c:catAx>
        <c:axId val="53924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5560"/>
        <c:crosses val="autoZero"/>
        <c:auto val="1"/>
        <c:lblAlgn val="ctr"/>
        <c:lblOffset val="100"/>
        <c:noMultiLvlLbl val="0"/>
      </c:catAx>
      <c:valAx>
        <c:axId val="53924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4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Survival'!$C$2</c:f>
          <c:strCache>
            <c:ptCount val="1"/>
            <c:pt idx="0">
              <c:v>New Enterprise Survival Rate % (3 Year)</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'Business Survival'!$G$6</c:f>
              <c:strCache>
                <c:ptCount val="1"/>
                <c:pt idx="0">
                  <c:v>2019</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Survival'!$C$7:$C$20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f>'Business Survival'!$G$7:$G$20</c:f>
              <c:numCache>
                <c:formatCode>0.0</c:formatCode>
                <c:ptCount val="14"/>
                <c:pt idx="0">
                  <c:v>56.92307692307692</c:v>
                </c:pt>
                <c:pt idx="1">
                  <c:v>61.194029850746269</c:v>
                </c:pt>
                <c:pt idx="2">
                  <c:v>57.557251908396942</c:v>
                </c:pt>
                <c:pt idx="3">
                  <c:v>52.380952380952387</c:v>
                </c:pt>
                <c:pt idx="4">
                  <c:v>54.112554112554115</c:v>
                </c:pt>
                <c:pt idx="5">
                  <c:v>57.575757575757578</c:v>
                </c:pt>
                <c:pt idx="6">
                  <c:v>56.277056277056282</c:v>
                </c:pt>
                <c:pt idx="7">
                  <c:v>43.75</c:v>
                </c:pt>
                <c:pt idx="9">
                  <c:v>81.818181818181827</c:v>
                </c:pt>
                <c:pt idx="10">
                  <c:v>56.907216494845358</c:v>
                </c:pt>
                <c:pt idx="11">
                  <c:v>56.22057834566241</c:v>
                </c:pt>
                <c:pt idx="12">
                  <c:v>57.398452611218566</c:v>
                </c:pt>
                <c:pt idx="13">
                  <c:v>55.925238782381633</c:v>
                </c:pt>
              </c:numCache>
            </c:numRef>
          </c:val>
          <c:extLst>
            <c:ext xmlns:c16="http://schemas.microsoft.com/office/drawing/2014/chart" uri="{C3380CC4-5D6E-409C-BE32-E72D297353CC}">
              <c16:uniqueId val="{00000000-FF1D-4FBF-9E58-FDDB341AF8F0}"/>
            </c:ext>
          </c:extLst>
        </c:ser>
        <c:dLbls>
          <c:showLegendKey val="0"/>
          <c:showVal val="0"/>
          <c:showCatName val="0"/>
          <c:showSerName val="0"/>
          <c:showPercent val="0"/>
          <c:showBubbleSize val="0"/>
        </c:dLbls>
        <c:gapWidth val="219"/>
        <c:overlap val="-27"/>
        <c:axId val="538796072"/>
        <c:axId val="538796464"/>
        <c:extLst>
          <c:ext xmlns:c15="http://schemas.microsoft.com/office/drawing/2012/chart" uri="{02D57815-91ED-43cb-92C2-25804820EDAC}">
            <c15:filteredBarSeries>
              <c15:ser>
                <c:idx val="8"/>
                <c:order val="1"/>
                <c:tx>
                  <c:strRef>
                    <c:extLst>
                      <c:ext uri="{02D57815-91ED-43cb-92C2-25804820EDAC}">
                        <c15:formulaRef>
                          <c15:sqref>'Business Survival'!$L$6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'Business Survival'!$C$7:$C$20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Shetland Islands</c:v>
                      </c:pt>
                      <c:pt idx="10">
                        <c:v>LGBF Family Group 4 Average</c:v>
                      </c:pt>
                      <c:pt idx="11">
                        <c:v>Glasgow City Region</c:v>
                      </c:pt>
                      <c:pt idx="12">
                        <c:v>Scotland</c:v>
                      </c:pt>
                      <c:pt idx="13">
                        <c:v>United Kingdom</c:v>
                      </c:pt>
                    </c:strCache>
                  </c:strRef>
                </c:cat>
                <c:val>
                  <c:numRef>
                    <c:extLst>
                      <c:ext uri="{02D57815-91ED-43cb-92C2-25804820EDAC}">
                        <c15:formulaRef>
                          <c15:sqref>'Business Survival'!$L$7:$L$20</c15:sqref>
                        </c15:formulaRef>
                      </c:ext>
                    </c:extLst>
                    <c:numCache>
                      <c:formatCode>#,##0</c:formatCode>
                      <c:ptCount val="14"/>
                      <c:pt idx="0">
                        <c:v>100</c:v>
                      </c:pt>
                      <c:pt idx="1">
                        <c:v>100</c:v>
                      </c:pt>
                      <c:pt idx="2">
                        <c:v>800</c:v>
                      </c:pt>
                      <c:pt idx="3">
                        <c:v>100</c:v>
                      </c:pt>
                      <c:pt idx="4">
                        <c:v>300</c:v>
                      </c:pt>
                      <c:pt idx="5">
                        <c:v>100</c:v>
                      </c:pt>
                      <c:pt idx="6">
                        <c:v>200</c:v>
                      </c:pt>
                      <c:pt idx="7">
                        <c:v>200</c:v>
                      </c:pt>
                    </c:numCache>
                  </c:numRef>
                </c:val>
                <c:extLst>
                  <c:ext xmlns:c16="http://schemas.microsoft.com/office/drawing/2014/chart" uri="{C3380CC4-5D6E-409C-BE32-E72D297353CC}">
                    <c16:uniqueId val="{00000001-FF1D-4FBF-9E58-FDDB341AF8F0}"/>
                  </c:ext>
                </c:extLst>
              </c15:ser>
            </c15:filteredBarSeries>
          </c:ext>
        </c:extLst>
      </c:barChart>
      <c:catAx>
        <c:axId val="538796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796464"/>
        <c:crosses val="autoZero"/>
        <c:auto val="1"/>
        <c:lblAlgn val="ctr"/>
        <c:lblOffset val="100"/>
        <c:noMultiLvlLbl val="0"/>
      </c:catAx>
      <c:valAx>
        <c:axId val="538796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79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'Business Survival'!$G$22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'Business Survival'!$L$6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'Business Survival'!$C$7:$C$20</c15:sqref>
                  </c15:fullRef>
                </c:ext>
              </c:extLst>
              <c:f>'Business Survival'!$C$7:$C$14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'Business Survival'!$L$7:$L$20</c15:sqref>
                  </c15:fullRef>
                </c:ext>
              </c:extLst>
              <c:f>'Business Survival'!$L$7:$L$14</c:f>
              <c:numCache>
                <c:formatCode>#,##0</c:formatCode>
                <c:ptCount val="8"/>
                <c:pt idx="0">
                  <c:v>100</c:v>
                </c:pt>
                <c:pt idx="1">
                  <c:v>100</c:v>
                </c:pt>
                <c:pt idx="2">
                  <c:v>800</c:v>
                </c:pt>
                <c:pt idx="3">
                  <c:v>100</c:v>
                </c:pt>
                <c:pt idx="4">
                  <c:v>300</c:v>
                </c:pt>
                <c:pt idx="5">
                  <c:v>100</c:v>
                </c:pt>
                <c:pt idx="6">
                  <c:v>200</c:v>
                </c:pt>
                <c:pt idx="7">
                  <c:v>200</c:v>
                </c:pt>
              </c:numCache>
            </c:numRef>
          </c:val>
          <c:extLst>
            <c:ext xmlns:c16="http://schemas.microsoft.com/office/drawing/2014/chart" uri="{C3380CC4-5D6E-409C-BE32-E72D297353CC}">
              <c16:uniqueId val="{00000000-D19F-408E-8272-F1BE55A22A92}"/>
            </c:ext>
          </c:extLst>
        </c:ser>
        <c:dLbls>
          <c:showLegendKey val="0"/>
          <c:showVal val="0"/>
          <c:showCatName val="0"/>
          <c:showSerName val="0"/>
          <c:showPercent val="0"/>
          <c:showBubbleSize val="0"/>
        </c:dLbls>
        <c:gapWidth val="219"/>
        <c:axId val="538797248"/>
        <c:axId val="538797640"/>
        <c:extLst>
          <c:ext xmlns:c15="http://schemas.microsoft.com/office/drawing/2012/chart" uri="{02D57815-91ED-43cb-92C2-25804820EDAC}">
            <c15:filteredBarSeries>
              <c15:ser>
                <c:idx val="3"/>
                <c:order val="0"/>
                <c:tx>
                  <c:strRef>
                    <c:extLst>
                      <c:ext uri="{02D57815-91ED-43cb-92C2-25804820EDAC}">
                        <c15:formulaRef>
                          <c15:sqref>'Business Survival'!$G$6</c15:sqref>
                        </c15:formulaRef>
                      </c:ext>
                    </c:extLst>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'Business Survival'!$C$7:$C$20</c15:sqref>
                        </c15:fullRef>
                        <c15:formulaRef>
                          <c15:sqref>'Business Survival'!$C$7:$C$14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'Business Survival'!$G$7:$G$20</c15:sqref>
                        </c15:fullRef>
                        <c15:formulaRef>
                          <c15:sqref>'Business Survival'!$G$7:$G$14</c15:sqref>
                        </c15:formulaRef>
                      </c:ext>
                    </c:extLst>
                    <c:numCache>
                      <c:formatCode>0.0</c:formatCode>
                      <c:ptCount val="8"/>
                      <c:pt idx="0">
                        <c:v>56.92307692307692</c:v>
                      </c:pt>
                      <c:pt idx="1">
                        <c:v>61.194029850746269</c:v>
                      </c:pt>
                      <c:pt idx="2">
                        <c:v>57.557251908396942</c:v>
                      </c:pt>
                      <c:pt idx="3">
                        <c:v>52.380952380952387</c:v>
                      </c:pt>
                      <c:pt idx="4">
                        <c:v>54.112554112554115</c:v>
                      </c:pt>
                      <c:pt idx="5">
                        <c:v>57.575757575757578</c:v>
                      </c:pt>
                      <c:pt idx="6">
                        <c:v>56.277056277056282</c:v>
                      </c:pt>
                      <c:pt idx="7">
                        <c:v>43.75</c:v>
                      </c:pt>
                    </c:numCache>
                  </c:numRef>
                </c:val>
                <c:extLst>
                  <c:ext xmlns:c16="http://schemas.microsoft.com/office/drawing/2014/chart" uri="{C3380CC4-5D6E-409C-BE32-E72D297353CC}">
                    <c16:uniqueId val="{00000001-D19F-408E-8272-F1BE55A22A92}"/>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'Business Survival'!$K$6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'Business Survival'!$C$7:$C$20</c15:sqref>
                        </c15:fullRef>
                        <c15:formulaRef>
                          <c15:sqref>'Business Survival'!$C$7:$C$14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'Business Survival'!$K$7:$K$20</c15:sqref>
                        </c15:fullRef>
                        <c15:formulaRef>
                          <c15:sqref>'Business Survival'!$K$7:$K$14</c15:sqref>
                        </c15:formulaRef>
                      </c:ext>
                    </c:extLst>
                    <c:numCache>
                      <c:formatCode>0.0</c:formatCode>
                      <c:ptCount val="8"/>
                      <c:pt idx="0">
                        <c:v>24.895104895104907</c:v>
                      </c:pt>
                      <c:pt idx="1">
                        <c:v>20.624151967435559</c:v>
                      </c:pt>
                      <c:pt idx="2">
                        <c:v>24.260929909784885</c:v>
                      </c:pt>
                      <c:pt idx="3">
                        <c:v>29.437229437229441</c:v>
                      </c:pt>
                      <c:pt idx="4">
                        <c:v>27.705627705627712</c:v>
                      </c:pt>
                      <c:pt idx="5">
                        <c:v>24.242424242424249</c:v>
                      </c:pt>
                      <c:pt idx="6">
                        <c:v>25.541125541125545</c:v>
                      </c:pt>
                      <c:pt idx="7">
                        <c:v>38.068181818181827</c:v>
                      </c:pt>
                    </c:numCache>
                  </c:numRef>
                </c:val>
                <c:extLst xmlns:c15="http://schemas.microsoft.com/office/drawing/2012/chart">
                  <c:ext xmlns:c16="http://schemas.microsoft.com/office/drawing/2014/chart" uri="{C3380CC4-5D6E-409C-BE32-E72D297353CC}">
                    <c16:uniqueId val="{00000002-D19F-408E-8272-F1BE55A22A92}"/>
                  </c:ext>
                </c:extLst>
              </c15:ser>
            </c15:filteredBarSeries>
          </c:ext>
        </c:extLst>
      </c:barChart>
      <c:catAx>
        <c:axId val="538797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797640"/>
        <c:crosses val="autoZero"/>
        <c:auto val="1"/>
        <c:lblAlgn val="ctr"/>
        <c:lblOffset val="100"/>
        <c:noMultiLvlLbl val="0"/>
      </c:catAx>
      <c:valAx>
        <c:axId val="538797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79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'Emissions Population'!$C$2</c:f>
          <c:strCache>
            <c:ptCount val="1"/>
            <c:pt idx="0">
              <c:v>Emissions per Capita (CO2 Equivalent tonnes)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'Emissions Population'!$G$6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'Emissions Population'!$C$7:$C$20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Argyll and Bute</c:v>
                </c:pt>
                <c:pt idx="10">
                  <c:v>LGBF Family Group 4 Average</c:v>
                </c:pt>
                <c:pt idx="11">
                  <c:v>Glasgow City Region</c:v>
                </c:pt>
                <c:pt idx="12">
                  <c:v>Scotland</c:v>
                </c:pt>
                <c:pt idx="13">
                  <c:v>United Kingdom</c:v>
                </c:pt>
              </c:strCache>
            </c:strRef>
          </c:cat>
          <c:val>
            <c:numRef>
              <c:f>'Emissions Population'!$G$7:$G$20</c:f>
              <c:numCache>
                <c:formatCode>0.0</c:formatCode>
                <c:ptCount val="14"/>
                <c:pt idx="0">
                  <c:v>3.9715435147380318</c:v>
                </c:pt>
                <c:pt idx="1">
                  <c:v>4.2135421318530453</c:v>
                </c:pt>
                <c:pt idx="2">
                  <c:v>4.1855885634069478</c:v>
                </c:pt>
                <c:pt idx="3">
                  <c:v>4.0635082609166178</c:v>
                </c:pt>
                <c:pt idx="4">
                  <c:v>5.4504275380391984</c:v>
                </c:pt>
                <c:pt idx="5">
                  <c:v>4.8942101337797075</c:v>
                </c:pt>
                <c:pt idx="6">
                  <c:v>5.2596616550635789</c:v>
                </c:pt>
                <c:pt idx="7">
                  <c:v>4.2673405465464302</c:v>
                </c:pt>
                <c:pt idx="9">
                  <c:v>3.7875091049515337</c:v>
                </c:pt>
                <c:pt idx="10">
                  <c:v>5.2444006455457481</c:v>
                </c:pt>
                <c:pt idx="11">
                  <c:v>4.6674307294681459</c:v>
                </c:pt>
                <c:pt idx="12">
                  <c:v>7.1326611664670097</c:v>
                </c:pt>
                <c:pt idx="13">
                  <c:v>5.5613900067266604</c:v>
                </c:pt>
              </c:numCache>
            </c:numRef>
          </c:val>
          <c:extLst>
            <c:ext xmlns:c16="http://schemas.microsoft.com/office/drawing/2014/chart" uri="{C3380CC4-5D6E-409C-BE32-E72D297353CC}">
              <c16:uniqueId val="{00000000-DA73-4BA2-9A05-3B0A4718CD8C}"/>
            </c:ext>
          </c:extLst>
        </c:ser>
        <c:dLbls>
          <c:showLegendKey val="0"/>
          <c:showVal val="0"/>
          <c:showCatName val="0"/>
          <c:showSerName val="0"/>
          <c:showPercent val="0"/>
          <c:showBubbleSize val="0"/>
        </c:dLbls>
        <c:gapWidth val="219"/>
        <c:overlap val="-27"/>
        <c:axId val="538800776"/>
        <c:axId val="53880116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'Emissions Population'!$C$7:$C$20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Argyll and Bute</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1-DA73-4BA2-9A05-3B0A4718CD8C}"/>
                  </c:ext>
                </c:extLst>
              </c15:ser>
            </c15:filteredBarSeries>
          </c:ext>
        </c:extLst>
      </c:barChart>
      <c:catAx>
        <c:axId val="538800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1168"/>
        <c:crosses val="autoZero"/>
        <c:auto val="1"/>
        <c:lblAlgn val="ctr"/>
        <c:lblOffset val="100"/>
        <c:noMultiLvlLbl val="0"/>
      </c:catAx>
      <c:valAx>
        <c:axId val="538801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0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'Emissions Population'!$G$22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'Emissions Population'!$L$6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'Emissions Population'!$L$7:$L$14</c15:sqref>
                  </c15:fullRef>
                </c:ext>
              </c:extLst>
              <c:f>'Emissions Population'!$L$7:$L$14</c:f>
              <c:numCache>
                <c:formatCode>#,##0</c:formatCode>
                <c:ptCount val="8"/>
                <c:pt idx="0">
                  <c:v>0</c:v>
                </c:pt>
                <c:pt idx="1">
                  <c:v>0</c:v>
                </c:pt>
                <c:pt idx="2">
                  <c:v>-200</c:v>
                </c:pt>
                <c:pt idx="3">
                  <c:v>0</c:v>
                </c:pt>
                <c:pt idx="4">
                  <c:v>-600</c:v>
                </c:pt>
                <c:pt idx="5">
                  <c:v>-200</c:v>
                </c:pt>
                <c:pt idx="6">
                  <c:v>-500</c:v>
                </c:pt>
                <c:pt idx="7">
                  <c:v>-100</c:v>
                </c:pt>
              </c:numCache>
            </c:numRef>
          </c:val>
          <c:extLst>
            <c:ext xmlns:c16="http://schemas.microsoft.com/office/drawing/2014/chart" uri="{C3380CC4-5D6E-409C-BE32-E72D297353CC}">
              <c16:uniqueId val="{00000000-373D-422D-9558-9E6FDCAB893B}"/>
            </c:ext>
          </c:extLst>
        </c:ser>
        <c:dLbls>
          <c:showLegendKey val="0"/>
          <c:showVal val="0"/>
          <c:showCatName val="0"/>
          <c:showSerName val="0"/>
          <c:showPercent val="0"/>
          <c:showBubbleSize val="0"/>
        </c:dLbls>
        <c:gapWidth val="219"/>
        <c:axId val="538801952"/>
        <c:axId val="53880234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Employment!$G$7:$G$20</c15:sqref>
                        </c15:fullRef>
                        <c15:formulaRef>
                          <c15:sqref>Employment!$G$7:$G$14</c15:sqref>
                        </c15:formulaRef>
                      </c:ext>
                    </c:extLst>
                    <c:numCache>
                      <c:formatCode>0.0</c:formatCode>
                      <c:ptCount val="8"/>
                      <c:pt idx="0">
                        <c:v>73.5</c:v>
                      </c:pt>
                      <c:pt idx="1">
                        <c:v>77.5</c:v>
                      </c:pt>
                      <c:pt idx="2">
                        <c:v>71.2</c:v>
                      </c:pt>
                      <c:pt idx="3">
                        <c:v>68.400000000000006</c:v>
                      </c:pt>
                      <c:pt idx="4">
                        <c:v>70.5</c:v>
                      </c:pt>
                      <c:pt idx="5">
                        <c:v>76.8</c:v>
                      </c:pt>
                      <c:pt idx="6">
                        <c:v>77.099999999999994</c:v>
                      </c:pt>
                      <c:pt idx="7">
                        <c:v>71.900000000000006</c:v>
                      </c:pt>
                    </c:numCache>
                  </c:numRef>
                </c:val>
                <c:extLst>
                  <c:ext xmlns:c16="http://schemas.microsoft.com/office/drawing/2014/chart" uri="{C3380CC4-5D6E-409C-BE32-E72D297353CC}">
                    <c16:uniqueId val="{00000001-373D-422D-9558-9E6FDCAB893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Employment!$K$7:$K$20</c15:sqref>
                        </c15:fullRef>
                        <c15:formulaRef>
                          <c15:sqref>Employment!$K$7:$K$14</c15:sqref>
                        </c15:formulaRef>
                      </c:ext>
                    </c:extLst>
                    <c:numCache>
                      <c:formatCode>0.0</c:formatCode>
                      <c:ptCount val="8"/>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373D-422D-9558-9E6FDCAB893B}"/>
                  </c:ext>
                </c:extLst>
              </c15:ser>
            </c15:filteredBarSeries>
          </c:ext>
        </c:extLst>
      </c:barChart>
      <c:catAx>
        <c:axId val="538801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2344"/>
        <c:crosses val="autoZero"/>
        <c:auto val="1"/>
        <c:lblAlgn val="ctr"/>
        <c:lblOffset val="100"/>
        <c:noMultiLvlLbl val="0"/>
      </c:catAx>
      <c:valAx>
        <c:axId val="538802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'Emissions KM'!$C$2</c:f>
          <c:strCache>
            <c:ptCount val="1"/>
            <c:pt idx="0">
              <c:v>Emissions per square kilometers (CO2 Equivalent tonnes)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'Emissions KM'!$G$6</c:f>
              <c:strCache>
                <c:ptCount val="1"/>
                <c:pt idx="0">
                  <c:v>2022</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'Emissions KM'!$C$7:$C$20</c:f>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Argyll and Bute</c:v>
                </c:pt>
                <c:pt idx="10">
                  <c:v>LGBF Family Group 4 Average</c:v>
                </c:pt>
                <c:pt idx="11">
                  <c:v>Glasgow City Region</c:v>
                </c:pt>
                <c:pt idx="12">
                  <c:v>Scotland</c:v>
                </c:pt>
                <c:pt idx="13">
                  <c:v>United Kingdom</c:v>
                </c:pt>
              </c:strCache>
            </c:strRef>
          </c:cat>
          <c:val>
            <c:numRef>
              <c:f>'Emissions KM'!$G$7:$G$20</c:f>
              <c:numCache>
                <c:formatCode>0.0</c:formatCode>
                <c:ptCount val="14"/>
                <c:pt idx="0">
                  <c:v>2.4804933963524962</c:v>
                </c:pt>
                <c:pt idx="1">
                  <c:v>2.3494343084533491</c:v>
                </c:pt>
                <c:pt idx="2">
                  <c:v>14.781860255659808</c:v>
                </c:pt>
                <c:pt idx="3">
                  <c:v>1.8334674568780123</c:v>
                </c:pt>
                <c:pt idx="4">
                  <c:v>3.9343181415384625</c:v>
                </c:pt>
                <c:pt idx="5">
                  <c:v>3.3509125736693037</c:v>
                </c:pt>
                <c:pt idx="6">
                  <c:v>0.97077185480717021</c:v>
                </c:pt>
                <c:pt idx="7">
                  <c:v>2.0607942207079071</c:v>
                </c:pt>
                <c:pt idx="9">
                  <c:v>4.6474505251875527E-2</c:v>
                </c:pt>
                <c:pt idx="10">
                  <c:v>6.2170532085791885</c:v>
                </c:pt>
                <c:pt idx="11">
                  <c:v>2.5394424648870815</c:v>
                </c:pt>
                <c:pt idx="12">
                  <c:v>0.48429795056531649</c:v>
                </c:pt>
                <c:pt idx="13">
                  <c:v>1.5114705436306914</c:v>
                </c:pt>
              </c:numCache>
            </c:numRef>
          </c:val>
          <c:extLst>
            <c:ext xmlns:c16="http://schemas.microsoft.com/office/drawing/2014/chart" uri="{C3380CC4-5D6E-409C-BE32-E72D297353CC}">
              <c16:uniqueId val="{00000000-FFC6-4C2A-8C28-6D775136D599}"/>
            </c:ext>
          </c:extLst>
        </c:ser>
        <c:dLbls>
          <c:showLegendKey val="0"/>
          <c:showVal val="0"/>
          <c:showCatName val="0"/>
          <c:showSerName val="0"/>
          <c:showPercent val="0"/>
          <c:showBubbleSize val="0"/>
        </c:dLbls>
        <c:gapWidth val="219"/>
        <c:overlap val="-27"/>
        <c:axId val="538800776"/>
        <c:axId val="53880116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'Emissions KM'!$C$7:$C$20</c15:sqref>
                        </c15:formulaRef>
                      </c:ext>
                    </c:extLst>
                    <c:strCache>
                      <c:ptCount val="14"/>
                      <c:pt idx="0">
                        <c:v>East Dunbartonshire</c:v>
                      </c:pt>
                      <c:pt idx="1">
                        <c:v>East Renfrewshire</c:v>
                      </c:pt>
                      <c:pt idx="2">
                        <c:v>Glasgow City</c:v>
                      </c:pt>
                      <c:pt idx="3">
                        <c:v>Inverclyde</c:v>
                      </c:pt>
                      <c:pt idx="4">
                        <c:v>North Lanarkshire</c:v>
                      </c:pt>
                      <c:pt idx="5">
                        <c:v>Renfrewshire</c:v>
                      </c:pt>
                      <c:pt idx="6">
                        <c:v>South Lanarkshire</c:v>
                      </c:pt>
                      <c:pt idx="7">
                        <c:v>West Dunbartonshire</c:v>
                      </c:pt>
                      <c:pt idx="9">
                        <c:v>Argyll and Bute</c:v>
                      </c:pt>
                      <c:pt idx="10">
                        <c:v>LGBF Family Group 4 Average</c:v>
                      </c:pt>
                      <c:pt idx="11">
                        <c:v>Glasgow City Region</c:v>
                      </c:pt>
                      <c:pt idx="12">
                        <c:v>Scotland</c:v>
                      </c:pt>
                      <c:pt idx="13">
                        <c:v>United Kingdom</c:v>
                      </c:pt>
                    </c:strCache>
                  </c:strRef>
                </c:cat>
                <c:val>
                  <c:numRef>
                    <c:extLst>
                      <c:ext uri="{02D57815-91ED-43cb-92C2-25804820EDAC}">
                        <c15:formulaRef>
                          <c15:sqref>Employment!$L$7:$L$20</c15:sqref>
                        </c15:formulaRef>
                      </c:ext>
                    </c:extLst>
                    <c:numCache>
                      <c:formatCode>#,##0</c:formatCode>
                      <c:ptCount val="14"/>
                      <c:pt idx="0">
                        <c:v>9400</c:v>
                      </c:pt>
                      <c:pt idx="1">
                        <c:v>6000</c:v>
                      </c:pt>
                      <c:pt idx="2">
                        <c:v>74200</c:v>
                      </c:pt>
                      <c:pt idx="3">
                        <c:v>9400</c:v>
                      </c:pt>
                      <c:pt idx="4">
                        <c:v>39100</c:v>
                      </c:pt>
                      <c:pt idx="5">
                        <c:v>12900</c:v>
                      </c:pt>
                      <c:pt idx="6">
                        <c:v>22400</c:v>
                      </c:pt>
                      <c:pt idx="7">
                        <c:v>9100</c:v>
                      </c:pt>
                    </c:numCache>
                  </c:numRef>
                </c:val>
                <c:extLst>
                  <c:ext xmlns:c16="http://schemas.microsoft.com/office/drawing/2014/chart" uri="{C3380CC4-5D6E-409C-BE32-E72D297353CC}">
                    <c16:uniqueId val="{00000002-FFC6-4C2A-8C28-6D775136D599}"/>
                  </c:ext>
                </c:extLst>
              </c15:ser>
            </c15:filteredBarSeries>
          </c:ext>
        </c:extLst>
      </c:barChart>
      <c:catAx>
        <c:axId val="538800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1168"/>
        <c:crosses val="autoZero"/>
        <c:auto val="1"/>
        <c:lblAlgn val="ctr"/>
        <c:lblOffset val="100"/>
        <c:noMultiLvlLbl val="0"/>
      </c:catAx>
      <c:valAx>
        <c:axId val="538801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0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SLDR!$C$2</c:f>
          <c:strCache>
            <c:ptCount val="1"/>
            <c:pt idx="0">
              <c:v>% of School Leavers in Positive Destinations</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SLDR!$G$6</c:f>
              <c:strCache>
                <c:ptCount val="1"/>
                <c:pt idx="0">
                  <c:v>2022/23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SLDR!$C$7:$C$20</c15:sqref>
                  </c15:fullRef>
                </c:ext>
              </c:extLst>
              <c:f>SLDR!$C$7:$C$19</c:f>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strCache>
            </c:strRef>
          </c:cat>
          <c:val>
            <c:numRef>
              <c:extLst>
                <c:ext xmlns:c15="http://schemas.microsoft.com/office/drawing/2012/chart" uri="{02D57815-91ED-43cb-92C2-25804820EDAC}">
                  <c15:fullRef>
                    <c15:sqref>SLDR!$G$7:$G$20</c15:sqref>
                  </c15:fullRef>
                </c:ext>
              </c:extLst>
              <c:f>SLDR!$G$7:$G$19</c:f>
              <c:numCache>
                <c:formatCode>0.0</c:formatCode>
                <c:ptCount val="13"/>
                <c:pt idx="0">
                  <c:v>98.624904507257455</c:v>
                </c:pt>
                <c:pt idx="1">
                  <c:v>98.743532889874359</c:v>
                </c:pt>
                <c:pt idx="2">
                  <c:v>97.723187537447572</c:v>
                </c:pt>
                <c:pt idx="3">
                  <c:v>96.40198511166254</c:v>
                </c:pt>
                <c:pt idx="4">
                  <c:v>94.734215123533815</c:v>
                </c:pt>
                <c:pt idx="5">
                  <c:v>96.386164171399074</c:v>
                </c:pt>
                <c:pt idx="6">
                  <c:v>96.876712328767127</c:v>
                </c:pt>
                <c:pt idx="7">
                  <c:v>95.346534653465341</c:v>
                </c:pt>
                <c:pt idx="9">
                  <c:v>98.743532889874359</c:v>
                </c:pt>
                <c:pt idx="10">
                  <c:v>95.879477202434401</c:v>
                </c:pt>
                <c:pt idx="11">
                  <c:v>96.612267867191889</c:v>
                </c:pt>
                <c:pt idx="12">
                  <c:v>95.866138136382745</c:v>
                </c:pt>
              </c:numCache>
            </c:numRef>
          </c:val>
          <c:extLst>
            <c:ext xmlns:c16="http://schemas.microsoft.com/office/drawing/2014/chart" uri="{C3380CC4-5D6E-409C-BE32-E72D297353CC}">
              <c16:uniqueId val="{00000000-D762-48AA-B7B9-CC5E50ED661A}"/>
            </c:ext>
          </c:extLst>
        </c:ser>
        <c:dLbls>
          <c:showLegendKey val="0"/>
          <c:showVal val="0"/>
          <c:showCatName val="0"/>
          <c:showSerName val="0"/>
          <c:showPercent val="0"/>
          <c:showBubbleSize val="0"/>
        </c:dLbls>
        <c:gapWidth val="219"/>
        <c:overlap val="-27"/>
        <c:axId val="472931928"/>
        <c:axId val="476721536"/>
        <c:extLst>
          <c:ext xmlns:c15="http://schemas.microsoft.com/office/drawing/2012/chart" uri="{02D57815-91ED-43cb-92C2-25804820EDAC}">
            <c15:filteredBarSeries>
              <c15:ser>
                <c:idx val="8"/>
                <c:order val="1"/>
                <c:tx>
                  <c:strRef>
                    <c:extLst>
                      <c:ext uri="{02D57815-91ED-43cb-92C2-25804820EDAC}">
                        <c15:formulaRef>
                          <c15:sqref>SLDR!$L$6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SLDR!$C$7:$C$20</c15:sqref>
                        </c15:fullRef>
                        <c15:formulaRef>
                          <c15:sqref>SLDR!$C$7:$C$19</c15:sqref>
                        </c15:formulaRef>
                      </c:ext>
                    </c:extLst>
                    <c:strCache>
                      <c:ptCount val="13"/>
                      <c:pt idx="0">
                        <c:v>East Dunbartonshire</c:v>
                      </c:pt>
                      <c:pt idx="1">
                        <c:v>East Renfrewshire</c:v>
                      </c:pt>
                      <c:pt idx="2">
                        <c:v>Glasgow City</c:v>
                      </c:pt>
                      <c:pt idx="3">
                        <c:v>Inverclyde</c:v>
                      </c:pt>
                      <c:pt idx="4">
                        <c:v>North Lanarkshire</c:v>
                      </c:pt>
                      <c:pt idx="5">
                        <c:v>Renfrewshire</c:v>
                      </c:pt>
                      <c:pt idx="6">
                        <c:v>South Lanarkshire</c:v>
                      </c:pt>
                      <c:pt idx="7">
                        <c:v>West Dunbartonshire</c:v>
                      </c:pt>
                      <c:pt idx="9">
                        <c:v>East Renfrewshire</c:v>
                      </c:pt>
                      <c:pt idx="10">
                        <c:v>LGBF Family Group 4 Average</c:v>
                      </c:pt>
                      <c:pt idx="11">
                        <c:v>Glasgow City Region</c:v>
                      </c:pt>
                      <c:pt idx="12">
                        <c:v>Scotland</c:v>
                      </c:pt>
                    </c:strCache>
                  </c:strRef>
                </c:cat>
                <c:val>
                  <c:numRef>
                    <c:extLst>
                      <c:ext uri="{02D57815-91ED-43cb-92C2-25804820EDAC}">
                        <c15:fullRef>
                          <c15:sqref>SLDR!$L$7:$L$20</c15:sqref>
                        </c15:fullRef>
                        <c15:formulaRef>
                          <c15:sqref>SLDR!$L$7:$L$19</c15:sqref>
                        </c15:formulaRef>
                      </c:ext>
                    </c:extLst>
                    <c:numCache>
                      <c:formatCode>#,##0</c:formatCode>
                      <c:ptCount val="13"/>
                      <c:pt idx="0">
                        <c:v>0</c:v>
                      </c:pt>
                      <c:pt idx="1">
                        <c:v>0</c:v>
                      </c:pt>
                      <c:pt idx="2">
                        <c:v>0</c:v>
                      </c:pt>
                      <c:pt idx="3">
                        <c:v>0</c:v>
                      </c:pt>
                      <c:pt idx="4">
                        <c:v>200</c:v>
                      </c:pt>
                      <c:pt idx="5">
                        <c:v>0</c:v>
                      </c:pt>
                      <c:pt idx="6">
                        <c:v>100</c:v>
                      </c:pt>
                      <c:pt idx="7">
                        <c:v>0</c:v>
                      </c:pt>
                    </c:numCache>
                  </c:numRef>
                </c:val>
                <c:extLst>
                  <c:ext xmlns:c16="http://schemas.microsoft.com/office/drawing/2014/chart" uri="{C3380CC4-5D6E-409C-BE32-E72D297353CC}">
                    <c16:uniqueId val="{00000002-D762-48AA-B7B9-CC5E50ED661A}"/>
                  </c:ext>
                </c:extLst>
              </c15:ser>
            </c15:filteredBarSeries>
          </c:ext>
        </c:extLst>
      </c:barChart>
      <c:catAx>
        <c:axId val="47293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1536"/>
        <c:crosses val="autoZero"/>
        <c:auto val="1"/>
        <c:lblAlgn val="ctr"/>
        <c:lblOffset val="100"/>
        <c:noMultiLvlLbl val="0"/>
      </c:catAx>
      <c:valAx>
        <c:axId val="47672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'Emissions KM'!$G$22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'Emissions KM'!$L$6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ext>
              </c:extLst>
              <c:f>Employment!$C$7:$C$14</c:f>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pt idx="9">
                  <c:v>Orkney Islands</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'Emissions KM'!$L$7:$L$14</c15:sqref>
                  </c15:fullRef>
                </c:ext>
              </c:extLst>
              <c:f>'Emissions KM'!$L$7:$L$14</c:f>
              <c:numCache>
                <c:formatCode>#,##0</c:formatCode>
                <c:ptCount val="8"/>
                <c:pt idx="0">
                  <c:v>-400</c:v>
                </c:pt>
                <c:pt idx="1">
                  <c:v>-400</c:v>
                </c:pt>
                <c:pt idx="2">
                  <c:v>-2600</c:v>
                </c:pt>
                <c:pt idx="3">
                  <c:v>-300</c:v>
                </c:pt>
                <c:pt idx="4">
                  <c:v>-1900</c:v>
                </c:pt>
                <c:pt idx="5">
                  <c:v>-900</c:v>
                </c:pt>
                <c:pt idx="6">
                  <c:v>-1600</c:v>
                </c:pt>
                <c:pt idx="7">
                  <c:v>-400</c:v>
                </c:pt>
              </c:numCache>
            </c:numRef>
          </c:val>
          <c:extLst>
            <c:ext xmlns:c16="http://schemas.microsoft.com/office/drawing/2014/chart" uri="{C3380CC4-5D6E-409C-BE32-E72D297353CC}">
              <c16:uniqueId val="{00000000-1FAB-4A61-8832-F4DF49F7BDDB}"/>
            </c:ext>
          </c:extLst>
        </c:ser>
        <c:dLbls>
          <c:showLegendKey val="0"/>
          <c:showVal val="0"/>
          <c:showCatName val="0"/>
          <c:showSerName val="0"/>
          <c:showPercent val="0"/>
          <c:showBubbleSize val="0"/>
        </c:dLbls>
        <c:gapWidth val="219"/>
        <c:axId val="538801952"/>
        <c:axId val="53880234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uri="{02D57815-91ED-43cb-92C2-25804820EDAC}">
                        <c15:fullRef>
                          <c15:sqref>Employment!$G$7:$G$20</c15:sqref>
                        </c15:fullRef>
                        <c15:formulaRef>
                          <c15:sqref>Employment!$G$7:$G$14</c15:sqref>
                        </c15:formulaRef>
                      </c:ext>
                    </c:extLst>
                    <c:numCache>
                      <c:formatCode>0.0</c:formatCode>
                      <c:ptCount val="8"/>
                      <c:pt idx="0">
                        <c:v>73.5</c:v>
                      </c:pt>
                      <c:pt idx="1">
                        <c:v>77.5</c:v>
                      </c:pt>
                      <c:pt idx="2">
                        <c:v>71.2</c:v>
                      </c:pt>
                      <c:pt idx="3">
                        <c:v>68.400000000000006</c:v>
                      </c:pt>
                      <c:pt idx="4">
                        <c:v>70.5</c:v>
                      </c:pt>
                      <c:pt idx="5">
                        <c:v>76.8</c:v>
                      </c:pt>
                      <c:pt idx="6">
                        <c:v>77.099999999999994</c:v>
                      </c:pt>
                      <c:pt idx="7">
                        <c:v>71.900000000000006</c:v>
                      </c:pt>
                    </c:numCache>
                  </c:numRef>
                </c:val>
                <c:extLst>
                  <c:ext xmlns:c16="http://schemas.microsoft.com/office/drawing/2014/chart" uri="{C3380CC4-5D6E-409C-BE32-E72D297353CC}">
                    <c16:uniqueId val="{00000001-1FAB-4A61-8832-F4DF49F7BDD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Employment!$C$7:$C$20</c15:sqref>
                        </c15:fullRef>
                        <c15:formulaRef>
                          <c15:sqref>Employment!$C$7:$C$14</c15:sqref>
                        </c15:formulaRef>
                      </c:ext>
                    </c:extLst>
                    <c:strCache>
                      <c:ptCount val="8"/>
                      <c:pt idx="0">
                        <c:v>East Dunbartonshire</c:v>
                      </c:pt>
                      <c:pt idx="1">
                        <c:v>East Renfrewshire</c:v>
                      </c:pt>
                      <c:pt idx="2">
                        <c:v>Glasgow City</c:v>
                      </c:pt>
                      <c:pt idx="3">
                        <c:v>Inverclyde</c:v>
                      </c:pt>
                      <c:pt idx="4">
                        <c:v>North Lanarkshire</c:v>
                      </c:pt>
                      <c:pt idx="5">
                        <c:v>Renfrewshire</c:v>
                      </c:pt>
                      <c:pt idx="6">
                        <c:v>South Lanarkshire</c:v>
                      </c:pt>
                      <c:pt idx="7">
                        <c:v>West Dunbartonshire</c:v>
                      </c:pt>
                    </c:strCache>
                  </c:strRef>
                </c:cat>
                <c:val>
                  <c:numRef>
                    <c:extLst>
                      <c:ext xmlns:c15="http://schemas.microsoft.com/office/drawing/2012/chart" uri="{02D57815-91ED-43cb-92C2-25804820EDAC}">
                        <c15:fullRef>
                          <c15:sqref>Employment!$K$7:$K$20</c15:sqref>
                        </c15:fullRef>
                        <c15:formulaRef>
                          <c15:sqref>Employment!$K$7:$K$14</c15:sqref>
                        </c15:formulaRef>
                      </c:ext>
                    </c:extLst>
                    <c:numCache>
                      <c:formatCode>0.0</c:formatCode>
                      <c:ptCount val="8"/>
                      <c:pt idx="0">
                        <c:v>14.799999999999997</c:v>
                      </c:pt>
                      <c:pt idx="1">
                        <c:v>10.799999999999997</c:v>
                      </c:pt>
                      <c:pt idx="2">
                        <c:v>17.099999999999994</c:v>
                      </c:pt>
                      <c:pt idx="3">
                        <c:v>19.899999999999991</c:v>
                      </c:pt>
                      <c:pt idx="4">
                        <c:v>17.799999999999997</c:v>
                      </c:pt>
                      <c:pt idx="5">
                        <c:v>11.5</c:v>
                      </c:pt>
                      <c:pt idx="6">
                        <c:v>11.200000000000003</c:v>
                      </c:pt>
                      <c:pt idx="7">
                        <c:v>16.399999999999991</c:v>
                      </c:pt>
                    </c:numCache>
                  </c:numRef>
                </c:val>
                <c:extLst xmlns:c15="http://schemas.microsoft.com/office/drawing/2012/chart">
                  <c:ext xmlns:c16="http://schemas.microsoft.com/office/drawing/2014/chart" uri="{C3380CC4-5D6E-409C-BE32-E72D297353CC}">
                    <c16:uniqueId val="{00000002-1FAB-4A61-8832-F4DF49F7BDDB}"/>
                  </c:ext>
                </c:extLst>
              </c15:ser>
            </c15:filteredBarSeries>
          </c:ext>
        </c:extLst>
      </c:barChart>
      <c:catAx>
        <c:axId val="538801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2344"/>
        <c:crosses val="autoZero"/>
        <c:auto val="1"/>
        <c:lblAlgn val="ctr"/>
        <c:lblOffset val="100"/>
        <c:noMultiLvlLbl val="0"/>
      </c:catAx>
      <c:valAx>
        <c:axId val="538802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80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1</xdr:col>
      <xdr:colOff>330884</xdr:colOff>
      <xdr:row>4</xdr:row>
      <xdr:rowOff>166408</xdr:rowOff>
    </xdr:to>
    <xdr:pic>
      <xdr:nvPicPr>
        <xdr:cNvPr id="2" name="Picture 1" descr="GCR-logo-REV.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17500"/>
          <a:ext cx="819834" cy="7696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412750</xdr:colOff>
          <xdr:row>3</xdr:row>
          <xdr:rowOff>146050</xdr:rowOff>
        </xdr:from>
        <xdr:to>
          <xdr:col>11</xdr:col>
          <xdr:colOff>304800</xdr:colOff>
          <xdr:row>7</xdr:row>
          <xdr:rowOff>95250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930627</xdr:colOff>
      <xdr:row>23</xdr:row>
      <xdr:rowOff>82199</xdr:rowOff>
    </xdr:from>
    <xdr:to>
      <xdr:col>4</xdr:col>
      <xdr:colOff>827460</xdr:colOff>
      <xdr:row>45</xdr:row>
      <xdr:rowOff>6440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23</xdr:row>
      <xdr:rowOff>101600</xdr:rowOff>
    </xdr:from>
    <xdr:to>
      <xdr:col>11</xdr:col>
      <xdr:colOff>222250</xdr:colOff>
      <xdr:row>45</xdr:row>
      <xdr:rowOff>21167</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577856</xdr:colOff>
      <xdr:row>23</xdr:row>
      <xdr:rowOff>122766</xdr:rowOff>
    </xdr:from>
    <xdr:to>
      <xdr:col>5</xdr:col>
      <xdr:colOff>204815</xdr:colOff>
      <xdr:row>45</xdr:row>
      <xdr:rowOff>54416</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467782</xdr:colOff>
      <xdr:row>23</xdr:row>
      <xdr:rowOff>137584</xdr:rowOff>
    </xdr:from>
    <xdr:to>
      <xdr:col>11</xdr:col>
      <xdr:colOff>857249</xdr:colOff>
      <xdr:row>45</xdr:row>
      <xdr:rowOff>42333</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1018828</xdr:colOff>
      <xdr:row>24</xdr:row>
      <xdr:rowOff>6349</xdr:rowOff>
    </xdr:from>
    <xdr:to>
      <xdr:col>4</xdr:col>
      <xdr:colOff>915661</xdr:colOff>
      <xdr:row>45</xdr:row>
      <xdr:rowOff>86166</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393699</xdr:colOff>
      <xdr:row>24</xdr:row>
      <xdr:rowOff>21167</xdr:rowOff>
    </xdr:from>
    <xdr:to>
      <xdr:col>11</xdr:col>
      <xdr:colOff>761999</xdr:colOff>
      <xdr:row>45</xdr:row>
      <xdr:rowOff>116416</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568331</xdr:colOff>
      <xdr:row>24</xdr:row>
      <xdr:rowOff>6350</xdr:rowOff>
    </xdr:from>
    <xdr:to>
      <xdr:col>4</xdr:col>
      <xdr:colOff>692706</xdr:colOff>
      <xdr:row>45</xdr:row>
      <xdr:rowOff>39600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44450</xdr:colOff>
      <xdr:row>23</xdr:row>
      <xdr:rowOff>137584</xdr:rowOff>
    </xdr:from>
    <xdr:to>
      <xdr:col>10</xdr:col>
      <xdr:colOff>740833</xdr:colOff>
      <xdr:row>45</xdr:row>
      <xdr:rowOff>42333</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641354</xdr:colOff>
      <xdr:row>23</xdr:row>
      <xdr:rowOff>59769</xdr:rowOff>
    </xdr:from>
    <xdr:to>
      <xdr:col>4</xdr:col>
      <xdr:colOff>538187</xdr:colOff>
      <xdr:row>44</xdr:row>
      <xdr:rowOff>154214</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121558</xdr:colOff>
      <xdr:row>23</xdr:row>
      <xdr:rowOff>81642</xdr:rowOff>
    </xdr:from>
    <xdr:to>
      <xdr:col>11</xdr:col>
      <xdr:colOff>299357</xdr:colOff>
      <xdr:row>44</xdr:row>
      <xdr:rowOff>136071</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791992</xdr:colOff>
      <xdr:row>23</xdr:row>
      <xdr:rowOff>54328</xdr:rowOff>
    </xdr:from>
    <xdr:to>
      <xdr:col>4</xdr:col>
      <xdr:colOff>688825</xdr:colOff>
      <xdr:row>44</xdr:row>
      <xdr:rowOff>87578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97367</xdr:colOff>
      <xdr:row>23</xdr:row>
      <xdr:rowOff>74083</xdr:rowOff>
    </xdr:from>
    <xdr:to>
      <xdr:col>11</xdr:col>
      <xdr:colOff>137583</xdr:colOff>
      <xdr:row>44</xdr:row>
      <xdr:rowOff>84666</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530231</xdr:colOff>
      <xdr:row>23</xdr:row>
      <xdr:rowOff>101600</xdr:rowOff>
    </xdr:from>
    <xdr:to>
      <xdr:col>4</xdr:col>
      <xdr:colOff>740331</xdr:colOff>
      <xdr:row>44</xdr:row>
      <xdr:rowOff>134850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23</xdr:row>
      <xdr:rowOff>114299</xdr:rowOff>
    </xdr:from>
    <xdr:to>
      <xdr:col>11</xdr:col>
      <xdr:colOff>19050</xdr:colOff>
      <xdr:row>44</xdr:row>
      <xdr:rowOff>123824</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596906</xdr:colOff>
      <xdr:row>24</xdr:row>
      <xdr:rowOff>15875</xdr:rowOff>
    </xdr:from>
    <xdr:to>
      <xdr:col>5</xdr:col>
      <xdr:colOff>197406</xdr:colOff>
      <xdr:row>45</xdr:row>
      <xdr:rowOff>49125</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574675</xdr:colOff>
      <xdr:row>24</xdr:row>
      <xdr:rowOff>47624</xdr:rowOff>
    </xdr:from>
    <xdr:to>
      <xdr:col>11</xdr:col>
      <xdr:colOff>904875</xdr:colOff>
      <xdr:row>45</xdr:row>
      <xdr:rowOff>57149</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539756</xdr:colOff>
      <xdr:row>23</xdr:row>
      <xdr:rowOff>34925</xdr:rowOff>
    </xdr:from>
    <xdr:to>
      <xdr:col>5</xdr:col>
      <xdr:colOff>140256</xdr:colOff>
      <xdr:row>44</xdr:row>
      <xdr:rowOff>68175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460375</xdr:colOff>
      <xdr:row>23</xdr:row>
      <xdr:rowOff>38100</xdr:rowOff>
    </xdr:from>
    <xdr:to>
      <xdr:col>11</xdr:col>
      <xdr:colOff>885825</xdr:colOff>
      <xdr:row>44</xdr:row>
      <xdr:rowOff>57150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558806</xdr:colOff>
      <xdr:row>23</xdr:row>
      <xdr:rowOff>111125</xdr:rowOff>
    </xdr:from>
    <xdr:to>
      <xdr:col>4</xdr:col>
      <xdr:colOff>683181</xdr:colOff>
      <xdr:row>44</xdr:row>
      <xdr:rowOff>144375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822324</xdr:colOff>
      <xdr:row>23</xdr:row>
      <xdr:rowOff>104775</xdr:rowOff>
    </xdr:from>
    <xdr:to>
      <xdr:col>10</xdr:col>
      <xdr:colOff>895349</xdr:colOff>
      <xdr:row>44</xdr:row>
      <xdr:rowOff>142875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23</xdr:row>
      <xdr:rowOff>105682</xdr:rowOff>
    </xdr:from>
    <xdr:to>
      <xdr:col>4</xdr:col>
      <xdr:colOff>818497</xdr:colOff>
      <xdr:row>45</xdr:row>
      <xdr:rowOff>15107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23</xdr:row>
      <xdr:rowOff>128428</xdr:rowOff>
    </xdr:from>
    <xdr:to>
      <xdr:col>11</xdr:col>
      <xdr:colOff>891933</xdr:colOff>
      <xdr:row>45</xdr:row>
      <xdr:rowOff>13608</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568331</xdr:colOff>
      <xdr:row>23</xdr:row>
      <xdr:rowOff>101600</xdr:rowOff>
    </xdr:from>
    <xdr:to>
      <xdr:col>4</xdr:col>
      <xdr:colOff>692706</xdr:colOff>
      <xdr:row>44</xdr:row>
      <xdr:rowOff>134850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861836</xdr:colOff>
      <xdr:row>23</xdr:row>
      <xdr:rowOff>93132</xdr:rowOff>
    </xdr:from>
    <xdr:to>
      <xdr:col>10</xdr:col>
      <xdr:colOff>963437</xdr:colOff>
      <xdr:row>44</xdr:row>
      <xdr:rowOff>121707</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592667</xdr:colOff>
      <xdr:row>23</xdr:row>
      <xdr:rowOff>105834</xdr:rowOff>
    </xdr:from>
    <xdr:to>
      <xdr:col>4</xdr:col>
      <xdr:colOff>719667</xdr:colOff>
      <xdr:row>44</xdr:row>
      <xdr:rowOff>139084</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910167</xdr:colOff>
      <xdr:row>23</xdr:row>
      <xdr:rowOff>105833</xdr:rowOff>
    </xdr:from>
    <xdr:to>
      <xdr:col>13</xdr:col>
      <xdr:colOff>105833</xdr:colOff>
      <xdr:row>44</xdr:row>
      <xdr:rowOff>134408</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592667</xdr:colOff>
      <xdr:row>23</xdr:row>
      <xdr:rowOff>105834</xdr:rowOff>
    </xdr:from>
    <xdr:to>
      <xdr:col>4</xdr:col>
      <xdr:colOff>719667</xdr:colOff>
      <xdr:row>44</xdr:row>
      <xdr:rowOff>139084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910167</xdr:colOff>
      <xdr:row>23</xdr:row>
      <xdr:rowOff>105833</xdr:rowOff>
    </xdr:from>
    <xdr:to>
      <xdr:col>13</xdr:col>
      <xdr:colOff>105833</xdr:colOff>
      <xdr:row>44</xdr:row>
      <xdr:rowOff>134408</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592667</xdr:colOff>
      <xdr:row>23</xdr:row>
      <xdr:rowOff>105834</xdr:rowOff>
    </xdr:from>
    <xdr:to>
      <xdr:col>4</xdr:col>
      <xdr:colOff>719667</xdr:colOff>
      <xdr:row>44</xdr:row>
      <xdr:rowOff>139084</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910167</xdr:colOff>
      <xdr:row>23</xdr:row>
      <xdr:rowOff>105833</xdr:rowOff>
    </xdr:from>
    <xdr:to>
      <xdr:col>13</xdr:col>
      <xdr:colOff>105833</xdr:colOff>
      <xdr:row>44</xdr:row>
      <xdr:rowOff>134408</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577855</xdr:colOff>
      <xdr:row>24</xdr:row>
      <xdr:rowOff>38099</xdr:rowOff>
    </xdr:from>
    <xdr:to>
      <xdr:col>4</xdr:col>
      <xdr:colOff>818647</xdr:colOff>
      <xdr:row>45</xdr:row>
      <xdr:rowOff>117916</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107950</xdr:colOff>
      <xdr:row>24</xdr:row>
      <xdr:rowOff>31750</xdr:rowOff>
    </xdr:from>
    <xdr:to>
      <xdr:col>12</xdr:col>
      <xdr:colOff>32300</xdr:colOff>
      <xdr:row>44</xdr:row>
      <xdr:rowOff>29017</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568331</xdr:colOff>
      <xdr:row>23</xdr:row>
      <xdr:rowOff>63500</xdr:rowOff>
    </xdr:from>
    <xdr:to>
      <xdr:col>4</xdr:col>
      <xdr:colOff>778431</xdr:colOff>
      <xdr:row>44</xdr:row>
      <xdr:rowOff>96750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23</xdr:row>
      <xdr:rowOff>66674</xdr:rowOff>
    </xdr:from>
    <xdr:to>
      <xdr:col>11</xdr:col>
      <xdr:colOff>0</xdr:colOff>
      <xdr:row>44</xdr:row>
      <xdr:rowOff>114299</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587381</xdr:colOff>
      <xdr:row>23</xdr:row>
      <xdr:rowOff>92075</xdr:rowOff>
    </xdr:from>
    <xdr:to>
      <xdr:col>4</xdr:col>
      <xdr:colOff>711756</xdr:colOff>
      <xdr:row>44</xdr:row>
      <xdr:rowOff>125325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908049</xdr:colOff>
      <xdr:row>23</xdr:row>
      <xdr:rowOff>85725</xdr:rowOff>
    </xdr:from>
    <xdr:to>
      <xdr:col>11</xdr:col>
      <xdr:colOff>885824</xdr:colOff>
      <xdr:row>44</xdr:row>
      <xdr:rowOff>104775</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24</xdr:row>
      <xdr:rowOff>0</xdr:rowOff>
    </xdr:from>
    <xdr:to>
      <xdr:col>4</xdr:col>
      <xdr:colOff>766431</xdr:colOff>
      <xdr:row>45</xdr:row>
      <xdr:rowOff>36072</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0</xdr:rowOff>
    </xdr:from>
    <xdr:to>
      <xdr:col>11</xdr:col>
      <xdr:colOff>92075</xdr:colOff>
      <xdr:row>45</xdr:row>
      <xdr:rowOff>28575</xdr:rowOff>
    </xdr:to>
    <xdr:graphicFrame macro="">
      <xdr:nvGraphicFramePr>
        <xdr:cNvPr id="5" name="Chart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24</xdr:row>
      <xdr:rowOff>0</xdr:rowOff>
    </xdr:from>
    <xdr:to>
      <xdr:col>4</xdr:col>
      <xdr:colOff>766431</xdr:colOff>
      <xdr:row>45</xdr:row>
      <xdr:rowOff>36072</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0</xdr:rowOff>
    </xdr:from>
    <xdr:to>
      <xdr:col>11</xdr:col>
      <xdr:colOff>92075</xdr:colOff>
      <xdr:row>45</xdr:row>
      <xdr:rowOff>28575</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568331</xdr:colOff>
      <xdr:row>23</xdr:row>
      <xdr:rowOff>101600</xdr:rowOff>
    </xdr:from>
    <xdr:to>
      <xdr:col>4</xdr:col>
      <xdr:colOff>692706</xdr:colOff>
      <xdr:row>44</xdr:row>
      <xdr:rowOff>134850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22224</xdr:colOff>
      <xdr:row>23</xdr:row>
      <xdr:rowOff>95250</xdr:rowOff>
    </xdr:from>
    <xdr:to>
      <xdr:col>11</xdr:col>
      <xdr:colOff>57149</xdr:colOff>
      <xdr:row>44</xdr:row>
      <xdr:rowOff>114300</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568596</xdr:colOff>
      <xdr:row>23</xdr:row>
      <xdr:rowOff>121971</xdr:rowOff>
    </xdr:from>
    <xdr:to>
      <xdr:col>4</xdr:col>
      <xdr:colOff>895615</xdr:colOff>
      <xdr:row>45</xdr:row>
      <xdr:rowOff>108477</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424657</xdr:colOff>
      <xdr:row>23</xdr:row>
      <xdr:rowOff>142874</xdr:rowOff>
    </xdr:from>
    <xdr:to>
      <xdr:col>11</xdr:col>
      <xdr:colOff>640128</xdr:colOff>
      <xdr:row>45</xdr:row>
      <xdr:rowOff>70440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606431</xdr:colOff>
      <xdr:row>23</xdr:row>
      <xdr:rowOff>111125</xdr:rowOff>
    </xdr:from>
    <xdr:to>
      <xdr:col>4</xdr:col>
      <xdr:colOff>730806</xdr:colOff>
      <xdr:row>44</xdr:row>
      <xdr:rowOff>144375</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12699</xdr:colOff>
      <xdr:row>23</xdr:row>
      <xdr:rowOff>104775</xdr:rowOff>
    </xdr:from>
    <xdr:to>
      <xdr:col>10</xdr:col>
      <xdr:colOff>923924</xdr:colOff>
      <xdr:row>44</xdr:row>
      <xdr:rowOff>123825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596906</xdr:colOff>
      <xdr:row>23</xdr:row>
      <xdr:rowOff>92075</xdr:rowOff>
    </xdr:from>
    <xdr:to>
      <xdr:col>4</xdr:col>
      <xdr:colOff>721281</xdr:colOff>
      <xdr:row>44</xdr:row>
      <xdr:rowOff>125325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31749</xdr:colOff>
      <xdr:row>23</xdr:row>
      <xdr:rowOff>95249</xdr:rowOff>
    </xdr:from>
    <xdr:to>
      <xdr:col>11</xdr:col>
      <xdr:colOff>28574</xdr:colOff>
      <xdr:row>44</xdr:row>
      <xdr:rowOff>104774</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686504</xdr:colOff>
      <xdr:row>22</xdr:row>
      <xdr:rowOff>134056</xdr:rowOff>
    </xdr:from>
    <xdr:to>
      <xdr:col>10</xdr:col>
      <xdr:colOff>853721</xdr:colOff>
      <xdr:row>44</xdr:row>
      <xdr:rowOff>49388</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359834</xdr:colOff>
      <xdr:row>22</xdr:row>
      <xdr:rowOff>119946</xdr:rowOff>
    </xdr:from>
    <xdr:to>
      <xdr:col>4</xdr:col>
      <xdr:colOff>484209</xdr:colOff>
      <xdr:row>43</xdr:row>
      <xdr:rowOff>153195</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686504</xdr:colOff>
      <xdr:row>22</xdr:row>
      <xdr:rowOff>134056</xdr:rowOff>
    </xdr:from>
    <xdr:to>
      <xdr:col>11</xdr:col>
      <xdr:colOff>853721</xdr:colOff>
      <xdr:row>44</xdr:row>
      <xdr:rowOff>49388</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359834</xdr:colOff>
      <xdr:row>22</xdr:row>
      <xdr:rowOff>119946</xdr:rowOff>
    </xdr:from>
    <xdr:to>
      <xdr:col>4</xdr:col>
      <xdr:colOff>484209</xdr:colOff>
      <xdr:row>43</xdr:row>
      <xdr:rowOff>153195</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558806</xdr:colOff>
      <xdr:row>23</xdr:row>
      <xdr:rowOff>63500</xdr:rowOff>
    </xdr:from>
    <xdr:to>
      <xdr:col>4</xdr:col>
      <xdr:colOff>683181</xdr:colOff>
      <xdr:row>44</xdr:row>
      <xdr:rowOff>96750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3175</xdr:colOff>
      <xdr:row>23</xdr:row>
      <xdr:rowOff>66674</xdr:rowOff>
    </xdr:from>
    <xdr:to>
      <xdr:col>11</xdr:col>
      <xdr:colOff>104775</xdr:colOff>
      <xdr:row>44</xdr:row>
      <xdr:rowOff>76199</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23</xdr:row>
      <xdr:rowOff>1</xdr:rowOff>
    </xdr:from>
    <xdr:to>
      <xdr:col>5</xdr:col>
      <xdr:colOff>839611</xdr:colOff>
      <xdr:row>44</xdr:row>
      <xdr:rowOff>70556</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587381</xdr:colOff>
      <xdr:row>23</xdr:row>
      <xdr:rowOff>34925</xdr:rowOff>
    </xdr:from>
    <xdr:to>
      <xdr:col>4</xdr:col>
      <xdr:colOff>711756</xdr:colOff>
      <xdr:row>44</xdr:row>
      <xdr:rowOff>68175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966611</xdr:colOff>
      <xdr:row>23</xdr:row>
      <xdr:rowOff>42333</xdr:rowOff>
    </xdr:from>
    <xdr:to>
      <xdr:col>11</xdr:col>
      <xdr:colOff>284183</xdr:colOff>
      <xdr:row>44</xdr:row>
      <xdr:rowOff>84667</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577856</xdr:colOff>
      <xdr:row>24</xdr:row>
      <xdr:rowOff>53975</xdr:rowOff>
    </xdr:from>
    <xdr:to>
      <xdr:col>4</xdr:col>
      <xdr:colOff>702231</xdr:colOff>
      <xdr:row>45</xdr:row>
      <xdr:rowOff>87225</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24</xdr:row>
      <xdr:rowOff>47625</xdr:rowOff>
    </xdr:from>
    <xdr:to>
      <xdr:col>11</xdr:col>
      <xdr:colOff>19050</xdr:colOff>
      <xdr:row>45</xdr:row>
      <xdr:rowOff>28575</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587381</xdr:colOff>
      <xdr:row>23</xdr:row>
      <xdr:rowOff>111125</xdr:rowOff>
    </xdr:from>
    <xdr:to>
      <xdr:col>4</xdr:col>
      <xdr:colOff>711756</xdr:colOff>
      <xdr:row>44</xdr:row>
      <xdr:rowOff>144375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155575</xdr:colOff>
      <xdr:row>23</xdr:row>
      <xdr:rowOff>114300</xdr:rowOff>
    </xdr:from>
    <xdr:to>
      <xdr:col>11</xdr:col>
      <xdr:colOff>257175</xdr:colOff>
      <xdr:row>44</xdr:row>
      <xdr:rowOff>114300</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587381</xdr:colOff>
      <xdr:row>23</xdr:row>
      <xdr:rowOff>111125</xdr:rowOff>
    </xdr:from>
    <xdr:to>
      <xdr:col>5</xdr:col>
      <xdr:colOff>102156</xdr:colOff>
      <xdr:row>44</xdr:row>
      <xdr:rowOff>144375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482606</xdr:colOff>
      <xdr:row>23</xdr:row>
      <xdr:rowOff>53974</xdr:rowOff>
    </xdr:from>
    <xdr:to>
      <xdr:col>4</xdr:col>
      <xdr:colOff>821113</xdr:colOff>
      <xdr:row>45</xdr:row>
      <xdr:rowOff>59319</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244468</xdr:colOff>
      <xdr:row>23</xdr:row>
      <xdr:rowOff>88899</xdr:rowOff>
    </xdr:from>
    <xdr:to>
      <xdr:col>11</xdr:col>
      <xdr:colOff>466725</xdr:colOff>
      <xdr:row>45</xdr:row>
      <xdr:rowOff>76200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577856</xdr:colOff>
      <xdr:row>23</xdr:row>
      <xdr:rowOff>82550</xdr:rowOff>
    </xdr:from>
    <xdr:to>
      <xdr:col>5</xdr:col>
      <xdr:colOff>92631</xdr:colOff>
      <xdr:row>44</xdr:row>
      <xdr:rowOff>115800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355599</xdr:colOff>
      <xdr:row>23</xdr:row>
      <xdr:rowOff>85724</xdr:rowOff>
    </xdr:from>
    <xdr:to>
      <xdr:col>11</xdr:col>
      <xdr:colOff>733424</xdr:colOff>
      <xdr:row>44</xdr:row>
      <xdr:rowOff>95249</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855845</xdr:colOff>
      <xdr:row>23</xdr:row>
      <xdr:rowOff>97014</xdr:rowOff>
    </xdr:from>
    <xdr:to>
      <xdr:col>5</xdr:col>
      <xdr:colOff>752678</xdr:colOff>
      <xdr:row>44</xdr:row>
      <xdr:rowOff>130264</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127000</xdr:colOff>
      <xdr:row>23</xdr:row>
      <xdr:rowOff>95250</xdr:rowOff>
    </xdr:from>
    <xdr:to>
      <xdr:col>12</xdr:col>
      <xdr:colOff>171450</xdr:colOff>
      <xdr:row>45</xdr:row>
      <xdr:rowOff>0</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568331</xdr:colOff>
      <xdr:row>23</xdr:row>
      <xdr:rowOff>120650</xdr:rowOff>
    </xdr:from>
    <xdr:to>
      <xdr:col>4</xdr:col>
      <xdr:colOff>692706</xdr:colOff>
      <xdr:row>45</xdr:row>
      <xdr:rowOff>1500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88899</xdr:colOff>
      <xdr:row>23</xdr:row>
      <xdr:rowOff>114299</xdr:rowOff>
    </xdr:from>
    <xdr:to>
      <xdr:col>11</xdr:col>
      <xdr:colOff>180974</xdr:colOff>
      <xdr:row>44</xdr:row>
      <xdr:rowOff>142874</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611017</xdr:colOff>
      <xdr:row>22</xdr:row>
      <xdr:rowOff>54328</xdr:rowOff>
    </xdr:from>
    <xdr:to>
      <xdr:col>4</xdr:col>
      <xdr:colOff>688825</xdr:colOff>
      <xdr:row>43</xdr:row>
      <xdr:rowOff>87578</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97367</xdr:colOff>
      <xdr:row>22</xdr:row>
      <xdr:rowOff>74083</xdr:rowOff>
    </xdr:from>
    <xdr:to>
      <xdr:col>11</xdr:col>
      <xdr:colOff>137583</xdr:colOff>
      <xdr:row>43</xdr:row>
      <xdr:rowOff>84666</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558806</xdr:colOff>
      <xdr:row>22</xdr:row>
      <xdr:rowOff>111125</xdr:rowOff>
    </xdr:from>
    <xdr:to>
      <xdr:col>4</xdr:col>
      <xdr:colOff>683181</xdr:colOff>
      <xdr:row>43</xdr:row>
      <xdr:rowOff>144375</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822324</xdr:colOff>
      <xdr:row>22</xdr:row>
      <xdr:rowOff>104775</xdr:rowOff>
    </xdr:from>
    <xdr:to>
      <xdr:col>10</xdr:col>
      <xdr:colOff>895349</xdr:colOff>
      <xdr:row>43</xdr:row>
      <xdr:rowOff>142875</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639592</xdr:colOff>
      <xdr:row>23</xdr:row>
      <xdr:rowOff>54328</xdr:rowOff>
    </xdr:from>
    <xdr:to>
      <xdr:col>4</xdr:col>
      <xdr:colOff>155092</xdr:colOff>
      <xdr:row>44</xdr:row>
      <xdr:rowOff>87578</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874888</xdr:colOff>
      <xdr:row>23</xdr:row>
      <xdr:rowOff>59971</xdr:rowOff>
    </xdr:from>
    <xdr:to>
      <xdr:col>10</xdr:col>
      <xdr:colOff>31750</xdr:colOff>
      <xdr:row>44</xdr:row>
      <xdr:rowOff>70554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599023</xdr:colOff>
      <xdr:row>23</xdr:row>
      <xdr:rowOff>69850</xdr:rowOff>
    </xdr:from>
    <xdr:to>
      <xdr:col>5</xdr:col>
      <xdr:colOff>755147</xdr:colOff>
      <xdr:row>45</xdr:row>
      <xdr:rowOff>1500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2117</xdr:colOff>
      <xdr:row>23</xdr:row>
      <xdr:rowOff>63500</xdr:rowOff>
    </xdr:from>
    <xdr:to>
      <xdr:col>12</xdr:col>
      <xdr:colOff>137583</xdr:colOff>
      <xdr:row>45</xdr:row>
      <xdr:rowOff>10582</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599023</xdr:colOff>
      <xdr:row>23</xdr:row>
      <xdr:rowOff>69850</xdr:rowOff>
    </xdr:from>
    <xdr:to>
      <xdr:col>5</xdr:col>
      <xdr:colOff>755147</xdr:colOff>
      <xdr:row>45</xdr:row>
      <xdr:rowOff>1500</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2117</xdr:colOff>
      <xdr:row>23</xdr:row>
      <xdr:rowOff>63500</xdr:rowOff>
    </xdr:from>
    <xdr:to>
      <xdr:col>12</xdr:col>
      <xdr:colOff>137583</xdr:colOff>
      <xdr:row>45</xdr:row>
      <xdr:rowOff>10582</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635359</xdr:colOff>
      <xdr:row>23</xdr:row>
      <xdr:rowOff>75848</xdr:rowOff>
    </xdr:from>
    <xdr:to>
      <xdr:col>4</xdr:col>
      <xdr:colOff>532192</xdr:colOff>
      <xdr:row>43</xdr:row>
      <xdr:rowOff>84667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107951</xdr:colOff>
      <xdr:row>23</xdr:row>
      <xdr:rowOff>74084</xdr:rowOff>
    </xdr:from>
    <xdr:to>
      <xdr:col>11</xdr:col>
      <xdr:colOff>32301</xdr:colOff>
      <xdr:row>43</xdr:row>
      <xdr:rowOff>71350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461440</xdr:colOff>
      <xdr:row>24</xdr:row>
      <xdr:rowOff>16933</xdr:rowOff>
    </xdr:from>
    <xdr:to>
      <xdr:col>4</xdr:col>
      <xdr:colOff>740833</xdr:colOff>
      <xdr:row>46</xdr:row>
      <xdr:rowOff>10583</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150284</xdr:colOff>
      <xdr:row>24</xdr:row>
      <xdr:rowOff>1</xdr:rowOff>
    </xdr:from>
    <xdr:to>
      <xdr:col>11</xdr:col>
      <xdr:colOff>349250</xdr:colOff>
      <xdr:row>46</xdr:row>
      <xdr:rowOff>21166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588439</xdr:colOff>
      <xdr:row>24</xdr:row>
      <xdr:rowOff>59266</xdr:rowOff>
    </xdr:from>
    <xdr:to>
      <xdr:col>4</xdr:col>
      <xdr:colOff>910166</xdr:colOff>
      <xdr:row>46</xdr:row>
      <xdr:rowOff>127000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298449</xdr:colOff>
      <xdr:row>24</xdr:row>
      <xdr:rowOff>52917</xdr:rowOff>
    </xdr:from>
    <xdr:to>
      <xdr:col>11</xdr:col>
      <xdr:colOff>338667</xdr:colOff>
      <xdr:row>46</xdr:row>
      <xdr:rowOff>95250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609607</xdr:colOff>
      <xdr:row>24</xdr:row>
      <xdr:rowOff>48678</xdr:rowOff>
    </xdr:from>
    <xdr:to>
      <xdr:col>4</xdr:col>
      <xdr:colOff>850398</xdr:colOff>
      <xdr:row>45</xdr:row>
      <xdr:rowOff>128495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298450</xdr:colOff>
      <xdr:row>24</xdr:row>
      <xdr:rowOff>31744</xdr:rowOff>
    </xdr:from>
    <xdr:to>
      <xdr:col>11</xdr:col>
      <xdr:colOff>359833</xdr:colOff>
      <xdr:row>45</xdr:row>
      <xdr:rowOff>95244</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23</xdr:row>
      <xdr:rowOff>80433</xdr:rowOff>
    </xdr:from>
    <xdr:to>
      <xdr:col>3</xdr:col>
      <xdr:colOff>850399</xdr:colOff>
      <xdr:row>45</xdr:row>
      <xdr:rowOff>12083</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213783</xdr:colOff>
      <xdr:row>23</xdr:row>
      <xdr:rowOff>74083</xdr:rowOff>
    </xdr:from>
    <xdr:to>
      <xdr:col>10</xdr:col>
      <xdr:colOff>138133</xdr:colOff>
      <xdr:row>43</xdr:row>
      <xdr:rowOff>71350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96@90pub_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H831"/>
      <sheetName val="GDP(O) 1963"/>
      <sheetName val="checked"/>
      <sheetName val="GDP(O)"/>
      <sheetName val="98 expl"/>
      <sheetName val="Explanations"/>
      <sheetName val="Programs"/>
    </sheetNames>
    <sheetDataSet>
      <sheetData sheetId="0" refreshError="1"/>
      <sheetData sheetId="1" refreshError="1"/>
      <sheetData sheetId="2" refreshError="1"/>
      <sheetData sheetId="3" refreshError="1">
        <row r="1">
          <cell r="A1" t="str">
            <v>Row</v>
          </cell>
        </row>
        <row r="2427">
          <cell r="B2427" t="str">
            <v>I</v>
          </cell>
          <cell r="C2427">
            <v>10</v>
          </cell>
          <cell r="E2427">
            <v>90</v>
          </cell>
          <cell r="G2427" t="str">
            <v>DIVISIONAL INDEX, 1990=100</v>
          </cell>
          <cell r="H2427">
            <v>40.499544948933156</v>
          </cell>
        </row>
      </sheetData>
      <sheetData sheetId="4" refreshError="1"/>
      <sheetData sheetId="5" refreshError="1"/>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nn.Clasen@glasgow.gov.uk"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www.gov.scot/publications/summary-statistics-attainment-initial-leaver-destinations-no-6-2024-edition/documents/"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nomisweb.co.uk/query/construct/summary.asp?mode=construct&amp;version=0&amp;dataset=17"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nomisweb.co.uk/query/construct/summary.asp?mode=construct&amp;version=0&amp;dataset=17"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https://stat-xplore.dwp.gov.uk/webapi/jsf/login.xhtm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www.nomisweb.co.uk/query/construct/summary.asp?mode=construct&amp;version=0&amp;dataset=1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ons.gov.uk/peoplepopulationandcommunity/healthandsocialcare/healthandlifeexpectancies/datasets/healthstatelifeexpectancyallagesuk"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s://www.ons.gov.uk/peoplepopulationandcommunity/healthandsocialcare/healthandlifeexpectancies/datasets/healthstatelifeexpectancyallagesuk"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www.nomisweb.co.uk/query/construct/summary.asp?mode=construct&amp;version=0&amp;dataset=17"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https://www.nomisweb.co.uk/query/construct/summary.asp?mode=construct&amp;version=0&amp;dataset=17"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9.bin"/><Relationship Id="rId1" Type="http://schemas.openxmlformats.org/officeDocument/2006/relationships/hyperlink" Target="https://www.nomisweb.co.uk/query/construct/summary.asp?mode=construct&amp;version=0&amp;dataset=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hyperlink" Target="https://www.nomisweb.co.uk/query/construct/summary.asp?mode=construct&amp;version=0&amp;dataset=189"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omisweb.co.uk/query/construct/summary.asp?mode=construct&amp;version=0&amp;dataset=17"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https://www.nomisweb.co.uk/query/construct/submit.asp?forward=yes&amp;menuopt=201&amp;subcomp="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hyperlink" Target="https://www.nomisweb.co.uk/query/construct/submit.asp?forward=yes&amp;menuopt=201&amp;subcom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www.gov.scot/publications/scotlands-labour-market-people-places-and-regions-background-tables-and-charts/"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www.nomisweb.co.uk/query/construct/summary.asp?mode=construct&amp;version=0&amp;dataset=17"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ofcom.org.uk/research-and-data/multi-sector-research/infrastructure-research/connected-nations-202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s://www.ofcom.org.uk/research-and-data/multi-sector-research/infrastructure-research/connected-nations-2022"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hyperlink" Target="https://www.ofcom.org.uk/research-and-data/multi-sector-research/infrastructure-research/connected-nations-2022"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https://www.gov.scot/publications/housing-statistics-for-scotland-new-house-building/"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https://www.gov.scot/publications/housing-statistics-for-scotland-new-house-building/"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https://www.gov.scot/publications/scottish-house-condition-survey-local-authority-analysis-2017-2019/document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5.bin"/><Relationship Id="rId1" Type="http://schemas.openxmlformats.org/officeDocument/2006/relationships/hyperlink" Target="https://www.gov.scot/publications/scottish-house-condition-survey-local-authority-analysis-2017-2019/documents/"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hyperlink" Target="https://www.gov.scot/publications/scottish-house-condition-survey-local-authority-analysis-2017-2019/documents/"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7.bin"/><Relationship Id="rId1" Type="http://schemas.openxmlformats.org/officeDocument/2006/relationships/hyperlink" Target="https://www.gov.scot/publications/scottish-vacant-derelict-land-survey-2022/documents/"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8.bin"/><Relationship Id="rId1" Type="http://schemas.openxmlformats.org/officeDocument/2006/relationships/hyperlink" Target="https://www.gov.scot/publications/scottish-vacant-derelict-land-survey-2022/documents/"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9.bin"/><Relationship Id="rId1" Type="http://schemas.openxmlformats.org/officeDocument/2006/relationships/hyperlink" Target="https://www.gov.scot/publications/scottish-vacant-derelict-land-survey-2022/documen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0.bin"/><Relationship Id="rId1" Type="http://schemas.openxmlformats.org/officeDocument/2006/relationships/hyperlink" Target="https://www.nrscotland.gov.uk/statistics-and-data/statistics/statistics-by-theme/migration/migration-statistics/local-area-migration"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hyperlink" Target="https://statistics.gov.scot/resource?uri=http%3A%2F%2Fstatistics.gov.scot%2Fdata%2Fresidential-properties-sales-and-pric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https://www.improvementservice.org.uk/benchmarking/explore-the-data"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3.bin"/><Relationship Id="rId1" Type="http://schemas.openxmlformats.org/officeDocument/2006/relationships/hyperlink" Target="https://socialenterprisecensus.org.uk/"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4.bin"/><Relationship Id="rId1" Type="http://schemas.openxmlformats.org/officeDocument/2006/relationships/hyperlink" Target="https://www.ons.gov.uk/economy/grossdomesticproductgdp/datasets/regionalgrossvalueaddedbalancedbyindustrylocalauthoritiesbyitl1region"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5.bin"/><Relationship Id="rId1" Type="http://schemas.openxmlformats.org/officeDocument/2006/relationships/hyperlink" Target="https://www.ons.gov.uk/employmentandlabourmarket/peopleinwork/labourproductivity/datasets/subregionalproductivitylabourproductivityindicesbylocalauthoritydistric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6.bin"/><Relationship Id="rId1" Type="http://schemas.openxmlformats.org/officeDocument/2006/relationships/hyperlink" Target="https://www.gov.scot/publications/business-enterprise-research-and-development-2020/"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7.bin"/><Relationship Id="rId1" Type="http://schemas.openxmlformats.org/officeDocument/2006/relationships/hyperlink" Target="https://www.nomisweb.co.uk/query/select/getdatasetbytheme.asp?opt=3&amp;theme=&amp;subgrp="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8.bin"/><Relationship Id="rId1" Type="http://schemas.openxmlformats.org/officeDocument/2006/relationships/hyperlink" Target="https://www.ons.gov.uk/businessindustryandtrade/business/activitysizeandlocation/bulletins/businessdemography/2021"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9.bin"/><Relationship Id="rId1" Type="http://schemas.openxmlformats.org/officeDocument/2006/relationships/hyperlink" Target="https://www.ons.gov.uk/businessindustryandtrade/business/activitysizeandlocation/bulletins/businessdemography/202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0.bin"/><Relationship Id="rId1" Type="http://schemas.openxmlformats.org/officeDocument/2006/relationships/hyperlink" Target="https://www.ons.gov.uk/businessindustryandtrade/business/activitysizeandlocation/bulletins/businessdemography/2021"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1.bin"/><Relationship Id="rId1" Type="http://schemas.openxmlformats.org/officeDocument/2006/relationships/hyperlink" Target="https://data.gov.uk/dataset/723c243d-2f1a-4d27-8b61-cdb93e5b10ff/emissions-of-carbon-dioxide-for-local-authority-areas"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2.bin"/><Relationship Id="rId1" Type="http://schemas.openxmlformats.org/officeDocument/2006/relationships/hyperlink" Target="https://data.gov.uk/dataset/723c243d-2f1a-4d27-8b61-cdb93e5b10ff/emissions-of-carbon-dioxide-for-local-authority-areas"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ndchildpoverty.org.uk/child-poverty-in-your-area-201415-20181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endchildpoverty.org.uk/"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gov.scot/publications/scottish-house-condition-survey-local-authority-analysis-2017-2019/documents/"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nomisweb.co.uk/query/select/getdatasetbytheme.asp?theme=72"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www.ons.gov.uk/economy/regionalaccounts/grossdisposablehouseholdincome"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ons.gov.uk/employmentandlabourmarket/peoplenotinwork/unemployment/datasets/householdsbycombinedeconomicactivitystatusofhouseholdmembersbylocalauthoritytablea1l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C1:O9"/>
  <sheetViews>
    <sheetView tabSelected="1" zoomScaleNormal="100" workbookViewId="0">
      <selection activeCell="C6" sqref="C6"/>
    </sheetView>
  </sheetViews>
  <sheetFormatPr defaultColWidth="9.1796875" defaultRowHeight="14.5"/>
  <cols>
    <col min="1" max="3" width="9.1796875" style="189"/>
    <col min="4" max="4" width="10.453125" style="189" customWidth="1"/>
    <col min="5" max="5" width="13.1796875" style="189" customWidth="1"/>
    <col min="6" max="8" width="9.1796875" style="189"/>
    <col min="9" max="9" width="9.81640625" style="189" bestFit="1" customWidth="1"/>
    <col min="10" max="10" width="12.26953125" style="189" customWidth="1"/>
    <col min="11" max="11" width="14.54296875" style="189" customWidth="1"/>
    <col min="12" max="16384" width="9.1796875" style="189"/>
  </cols>
  <sheetData>
    <row r="1" spans="3:15">
      <c r="D1" s="190" t="s">
        <v>483</v>
      </c>
    </row>
    <row r="2" spans="3:15">
      <c r="D2" s="189" t="s">
        <v>484</v>
      </c>
      <c r="I2" s="191"/>
      <c r="J2" s="437">
        <v>45602</v>
      </c>
      <c r="N2" s="362"/>
    </row>
    <row r="3" spans="3:15">
      <c r="D3" s="564" t="s">
        <v>781</v>
      </c>
      <c r="J3" s="438" t="s">
        <v>782</v>
      </c>
      <c r="N3" s="362"/>
    </row>
    <row r="5" spans="3:15" ht="14.5" customHeight="1">
      <c r="C5" s="192"/>
      <c r="D5" s="190"/>
    </row>
    <row r="6" spans="3:15" ht="14.5" customHeight="1">
      <c r="C6" s="192"/>
      <c r="D6" s="194" t="s">
        <v>511</v>
      </c>
      <c r="E6" s="193"/>
      <c r="F6" s="193"/>
      <c r="G6" s="193"/>
      <c r="H6" s="193"/>
      <c r="I6" s="193"/>
      <c r="J6" s="193"/>
      <c r="K6" s="193"/>
      <c r="L6" s="193"/>
      <c r="M6" s="193"/>
      <c r="N6" s="193"/>
      <c r="O6" s="193"/>
    </row>
    <row r="7" spans="3:15">
      <c r="C7" s="192"/>
      <c r="D7" s="193"/>
      <c r="E7" s="193"/>
      <c r="F7" s="193"/>
      <c r="G7" s="193"/>
      <c r="H7" s="193"/>
      <c r="I7" s="193"/>
      <c r="J7" s="193"/>
      <c r="K7" s="193"/>
      <c r="L7" s="193"/>
      <c r="M7" s="193"/>
      <c r="N7" s="193"/>
      <c r="O7" s="193"/>
    </row>
    <row r="8" spans="3:15">
      <c r="C8" s="192"/>
      <c r="D8" s="193"/>
      <c r="E8" s="193"/>
      <c r="F8" s="193"/>
      <c r="G8" s="193"/>
      <c r="H8" s="193"/>
      <c r="I8" s="193"/>
      <c r="J8" s="193"/>
      <c r="K8" s="193"/>
      <c r="L8" s="193"/>
      <c r="M8" s="193"/>
      <c r="N8" s="193"/>
      <c r="O8" s="193"/>
    </row>
    <row r="9" spans="3:15">
      <c r="C9" s="192"/>
      <c r="D9" s="193"/>
      <c r="E9" s="193"/>
      <c r="F9" s="220"/>
      <c r="G9" s="193"/>
      <c r="H9" s="193"/>
      <c r="I9" s="193"/>
      <c r="J9" s="193"/>
      <c r="K9" s="193"/>
      <c r="L9" s="193"/>
      <c r="M9" s="193"/>
      <c r="N9" s="193"/>
      <c r="O9" s="193"/>
    </row>
  </sheetData>
  <hyperlinks>
    <hyperlink ref="J3" r:id="rId1" xr:uid="{00000000-0004-0000-0000-000000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legacyDrawing r:id="rId4"/>
  <oleObjects>
    <mc:AlternateContent xmlns:mc="http://schemas.openxmlformats.org/markup-compatibility/2006">
      <mc:Choice Requires="x14">
        <oleObject progId="Document" dvAspect="DVASPECT_ICON" shapeId="1028" r:id="rId5">
          <objectPr defaultSize="0" autoPict="0" r:id="rId6">
            <anchor moveWithCells="1">
              <from>
                <xdr:col>10</xdr:col>
                <xdr:colOff>412750</xdr:colOff>
                <xdr:row>3</xdr:row>
                <xdr:rowOff>146050</xdr:rowOff>
              </from>
              <to>
                <xdr:col>11</xdr:col>
                <xdr:colOff>304800</xdr:colOff>
                <xdr:row>7</xdr:row>
                <xdr:rowOff>95250</xdr:rowOff>
              </to>
            </anchor>
          </objectPr>
        </oleObject>
      </mc:Choice>
      <mc:Fallback>
        <oleObject progId="Document" dvAspect="DVASPECT_ICON" shapeId="1028"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B2: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296</v>
      </c>
      <c r="F2" s="595" t="s">
        <v>507</v>
      </c>
      <c r="G2" s="596"/>
    </row>
    <row r="3" spans="2:12" ht="13">
      <c r="B3" s="286" t="s">
        <v>49</v>
      </c>
      <c r="C3" s="418" t="s">
        <v>297</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t="s">
        <v>289</v>
      </c>
      <c r="E6" s="294" t="s">
        <v>604</v>
      </c>
      <c r="F6" s="294" t="s">
        <v>700</v>
      </c>
      <c r="G6" s="294" t="s">
        <v>752</v>
      </c>
      <c r="H6" s="294" t="s">
        <v>753</v>
      </c>
      <c r="I6" s="295" t="s">
        <v>53</v>
      </c>
      <c r="J6" s="295" t="s">
        <v>54</v>
      </c>
      <c r="K6" s="295" t="s">
        <v>56</v>
      </c>
      <c r="L6" s="295" t="s">
        <v>57</v>
      </c>
    </row>
    <row r="7" spans="2:12" ht="19.5" customHeight="1">
      <c r="B7" s="296" t="s">
        <v>249</v>
      </c>
      <c r="C7" s="296" t="s">
        <v>22</v>
      </c>
      <c r="D7" s="297">
        <f>VLOOKUP($C7,'Raw - SLDR'!$A:$Q,4,FALSE)</f>
        <v>97.509727626459139</v>
      </c>
      <c r="E7" s="297">
        <f>VLOOKUP($C7,'Raw - SLDR'!$A:$Q,8,FALSE)</f>
        <v>98.64048338368579</v>
      </c>
      <c r="F7" s="297">
        <f>VLOOKUP($C7,'Raw - SLDR'!$A:$Q,12,FALSE)</f>
        <v>98.948843728100911</v>
      </c>
      <c r="G7" s="297">
        <f>VLOOKUP($C7,'Raw - SLDR'!$A:$Q,16,FALSE)</f>
        <v>98.624904507257455</v>
      </c>
      <c r="H7" s="318">
        <f>VLOOKUP(C7,'Raw - SLDR'!A:Q,14,FALSE)</f>
        <v>1291</v>
      </c>
      <c r="I7" s="299">
        <f>SUM(G7-D7)</f>
        <v>1.115176880798316</v>
      </c>
      <c r="J7" s="300">
        <f>SUM(VLOOKUP(C7,'Raw - SLDR'!A:Q,14,FALSE)-VLOOKUP(C7,'Raw - SLDR'!A:Q,2,FALSE))</f>
        <v>38</v>
      </c>
      <c r="K7" s="301">
        <f t="shared" ref="K7:K14" si="0">IF(IF($K$5="LGBF Family Group",SUM(G$17-G7),IF($K$5="Glasgow City Region",SUM(G$18-G7),IF($K$5="Scotland",SUM(G$19-G7),IF($K$5="United Kingdom",SUM(G$20-G7),SUM(G$16-G7)))))&lt;0,"",IF($K$5="LGBF Family Group",SUM(G$17-G7),IF($K$5="Glasgow City Region",SUM(G$18-G7),IF($K$5="Scotland",SUM(G$19-G7),IF($K$5="United Kingdom",SUM(G$20-G7),SUM(G$16-G7))))))</f>
        <v>0.11862838261690456</v>
      </c>
      <c r="L7" s="302">
        <f>IF(K7="","",(IF($K$5="LGBF Family Group",SUM(MROUND(SUM(SUM(VLOOKUP(C$17,'Raw - SLDR'!A:Q,16,FALSE)*VLOOKUP(C7,'Raw - SLDR'!A:Q,15,FALSE))/100),100)-MROUND(SUM(SUM(VLOOKUP(C7,'Raw - SLDR'!A:Q,16,FALSE)*VLOOKUP(C7,'Raw - SLDR'!A:Q,15,FALSE))/100),100)),IF($K$5="Glasgow City Region",SUM(MROUND(SUM(SUM(VLOOKUP(C$18,'Raw - SLDR'!A:Q,16,FALSE)*VLOOKUP(C7,'Raw - SLDR'!A:Q,15,FALSE))/100),100)-MROUND(SUM(SUM(VLOOKUP(C7,'Raw - SLDR'!A:Q,16,FALSE)*VLOOKUP(C7,'Raw - SLDR'!A:Q,15,FALSE))/100),100)),IF($K$5="Scotland",SUM(MROUND(SUM(SUM(VLOOKUP(C$19,'Raw - SLDR'!A:Q,16,FALSE)*VLOOKUP(C7,'Raw - SLDR'!A:Q,15,FALSE))/100),100)-MROUND(SUM(SUM(VLOOKUP(C7,'Raw - SLDR'!A:Q,16,FALSE)*VLOOKUP(C7,'Raw - SLDR'!A:Q,15,FALSE))/100),100)),IF($K$5="United Kingdom",SUM(MROUND(SUM(SUM(VLOOKUP(C$20,'Raw - SLDR'!A:Q,16,FALSE)*VLOOKUP(C7,'Raw - SLDR'!A:Q,15,FALSE))/100),100)-MROUND(SUM(SUM(VLOOKUP(C7,'Raw - SLDR'!A:Q,16,FALSE)*VLOOKUP(C7,'Raw - SLDR'!A:Q,15,FALSE))/100),100)),SUM(MROUND(SUM(SUM(VLOOKUP(C$16,'Raw - SLDR'!A:Q,16,FALSE)*VLOOKUP(C7,'Raw - SLDR'!A:Q,15,FALSE))/100),100)-MROUND(SUM(SUM(VLOOKUP(C7,'Raw - SLDR'!A:Q,16,FALSE)*VLOOKUP(C7,'Raw - SLDR'!A:Q,15,FALSE))/100),100))))))))</f>
        <v>0</v>
      </c>
    </row>
    <row r="8" spans="2:12" ht="19.5" customHeight="1">
      <c r="B8" s="296" t="s">
        <v>249</v>
      </c>
      <c r="C8" s="296" t="s">
        <v>24</v>
      </c>
      <c r="D8" s="297">
        <f>VLOOKUP($C8,'Raw - SLDR'!$A:$Q,4,FALSE)</f>
        <v>96.233666410453495</v>
      </c>
      <c r="E8" s="297">
        <f>VLOOKUP($C8,'Raw - SLDR'!$A:$Q,8,FALSE)</f>
        <v>97.396963123644255</v>
      </c>
      <c r="F8" s="297">
        <f>VLOOKUP($C8,'Raw - SLDR'!$A:$Q,12,FALSE)</f>
        <v>98.461538461538467</v>
      </c>
      <c r="G8" s="297">
        <f>VLOOKUP($C8,'Raw - SLDR'!$A:$Q,16,FALSE)</f>
        <v>98.743532889874359</v>
      </c>
      <c r="H8" s="318">
        <f>VLOOKUP(C8,'Raw - SLDR'!A:Q,14,FALSE)</f>
        <v>1336</v>
      </c>
      <c r="I8" s="299">
        <f t="shared" ref="I8:I19" si="1">SUM(G8-D8)</f>
        <v>2.5098664794208645</v>
      </c>
      <c r="J8" s="300">
        <f>SUM(VLOOKUP(C8,'Raw - SLDR'!A:Q,14,FALSE)-VLOOKUP(C8,'Raw - SLDR'!A:Q,2,FALSE))</f>
        <v>84</v>
      </c>
      <c r="K8" s="301">
        <f t="shared" si="0"/>
        <v>0</v>
      </c>
      <c r="L8" s="302">
        <f>IF(K8="","",(IF($K$5="LGBF Family Group",SUM(MROUND(SUM(SUM(VLOOKUP(C$17,'Raw - SLDR'!A:Q,16,FALSE)*VLOOKUP(C8,'Raw - SLDR'!A:Q,15,FALSE))/100),100)-MROUND(SUM(SUM(VLOOKUP(C8,'Raw - SLDR'!A:Q,16,FALSE)*VLOOKUP(C8,'Raw - SLDR'!A:Q,15,FALSE))/100),100)),IF($K$5="Glasgow City Region",SUM(MROUND(SUM(SUM(VLOOKUP(C$18,'Raw - SLDR'!A:Q,16,FALSE)*VLOOKUP(C8,'Raw - SLDR'!A:Q,15,FALSE))/100),100)-MROUND(SUM(SUM(VLOOKUP(C8,'Raw - SLDR'!A:Q,16,FALSE)*VLOOKUP(C8,'Raw - SLDR'!A:Q,15,FALSE))/100),100)),IF($K$5="Scotland",SUM(MROUND(SUM(SUM(VLOOKUP(C$19,'Raw - SLDR'!A:Q,16,FALSE)*VLOOKUP(C8,'Raw - SLDR'!A:Q,15,FALSE))/100),100)-MROUND(SUM(SUM(VLOOKUP(C8,'Raw - SLDR'!A:Q,16,FALSE)*VLOOKUP(C8,'Raw - SLDR'!A:Q,15,FALSE))/100),100)),IF($K$5="United Kingdom",SUM(MROUND(SUM(SUM(VLOOKUP(C$20,'Raw - SLDR'!A:Q,16,FALSE)*VLOOKUP(C8,'Raw - SLDR'!A:Q,15,FALSE))/100),100)-MROUND(SUM(SUM(VLOOKUP(C8,'Raw - SLDR'!A:Q,16,FALSE)*VLOOKUP(C8,'Raw - SLDR'!A:Q,15,FALSE))/100),100)),SUM(MROUND(SUM(SUM(VLOOKUP(C$16,'Raw - SLDR'!A:Q,16,FALSE)*VLOOKUP(C8,'Raw - SLDR'!A:Q,15,FALSE))/100),100)-MROUND(SUM(SUM(VLOOKUP(C8,'Raw - SLDR'!A:Q,16,FALSE)*VLOOKUP(C8,'Raw - SLDR'!A:Q,15,FALSE))/100),100))))))))</f>
        <v>0</v>
      </c>
    </row>
    <row r="9" spans="2:12" ht="19.5" customHeight="1">
      <c r="B9" s="296" t="s">
        <v>249</v>
      </c>
      <c r="C9" s="296" t="s">
        <v>27</v>
      </c>
      <c r="D9" s="297">
        <f>VLOOKUP($C9,'Raw - SLDR'!$A:$Q,4,FALSE)</f>
        <v>92.785896543725357</v>
      </c>
      <c r="E9" s="297">
        <f>VLOOKUP($C9,'Raw - SLDR'!$A:$Q,8,FALSE)</f>
        <v>96.221057230231537</v>
      </c>
      <c r="F9" s="297">
        <f>VLOOKUP($C9,'Raw - SLDR'!$A:$Q,12,FALSE)</f>
        <v>97.051153460381144</v>
      </c>
      <c r="G9" s="297">
        <f>VLOOKUP($C9,'Raw - SLDR'!$A:$Q,16,FALSE)</f>
        <v>97.723187537447572</v>
      </c>
      <c r="H9" s="318">
        <f>VLOOKUP(C9,'Raw - SLDR'!A:Q,14,FALSE)</f>
        <v>4893</v>
      </c>
      <c r="I9" s="299">
        <f t="shared" si="1"/>
        <v>4.9372909937222147</v>
      </c>
      <c r="J9" s="300">
        <f>SUM(VLOOKUP(C9,'Raw - SLDR'!A:Q,14,FALSE)-VLOOKUP(C9,'Raw - SLDR'!A:Q,2,FALSE))</f>
        <v>893</v>
      </c>
      <c r="K9" s="301">
        <f t="shared" si="0"/>
        <v>1.0203453524267871</v>
      </c>
      <c r="L9" s="302">
        <f>IF(K9="","",(IF($K$5="LGBF Family Group",SUM(MROUND(SUM(SUM(VLOOKUP(C$17,'Raw - SLDR'!A:Q,16,FALSE)*VLOOKUP(C9,'Raw - SLDR'!A:Q,15,FALSE))/100),100)-MROUND(SUM(SUM(VLOOKUP(C9,'Raw - SLDR'!A:Q,16,FALSE)*VLOOKUP(C9,'Raw - SLDR'!A:Q,15,FALSE))/100),100)),IF($K$5="Glasgow City Region",SUM(MROUND(SUM(SUM(VLOOKUP(C$18,'Raw - SLDR'!A:Q,16,FALSE)*VLOOKUP(C9,'Raw - SLDR'!A:Q,15,FALSE))/100),100)-MROUND(SUM(SUM(VLOOKUP(C9,'Raw - SLDR'!A:Q,16,FALSE)*VLOOKUP(C9,'Raw - SLDR'!A:Q,15,FALSE))/100),100)),IF($K$5="Scotland",SUM(MROUND(SUM(SUM(VLOOKUP(C$19,'Raw - SLDR'!A:Q,16,FALSE)*VLOOKUP(C9,'Raw - SLDR'!A:Q,15,FALSE))/100),100)-MROUND(SUM(SUM(VLOOKUP(C9,'Raw - SLDR'!A:Q,16,FALSE)*VLOOKUP(C9,'Raw - SLDR'!A:Q,15,FALSE))/100),100)),IF($K$5="United Kingdom",SUM(MROUND(SUM(SUM(VLOOKUP(C$20,'Raw - SLDR'!A:Q,16,FALSE)*VLOOKUP(C9,'Raw - SLDR'!A:Q,15,FALSE))/100),100)-MROUND(SUM(SUM(VLOOKUP(C9,'Raw - SLDR'!A:Q,16,FALSE)*VLOOKUP(C9,'Raw - SLDR'!A:Q,15,FALSE))/100),100)),SUM(MROUND(SUM(SUM(VLOOKUP(C$16,'Raw - SLDR'!A:Q,16,FALSE)*VLOOKUP(C9,'Raw - SLDR'!A:Q,15,FALSE))/100),100)-MROUND(SUM(SUM(VLOOKUP(C9,'Raw - SLDR'!A:Q,16,FALSE)*VLOOKUP(C9,'Raw - SLDR'!A:Q,15,FALSE))/100),100))))))))</f>
        <v>0</v>
      </c>
    </row>
    <row r="10" spans="2:12" ht="19.5" customHeight="1">
      <c r="B10" s="296" t="s">
        <v>249</v>
      </c>
      <c r="C10" s="296" t="s">
        <v>29</v>
      </c>
      <c r="D10" s="297">
        <f>VLOOKUP($C10,'Raw - SLDR'!$A:$Q,4,FALSE)</f>
        <v>93.038821954484604</v>
      </c>
      <c r="E10" s="297">
        <f>VLOOKUP($C10,'Raw - SLDR'!$A:$Q,8,FALSE)</f>
        <v>95.399188092016246</v>
      </c>
      <c r="F10" s="297">
        <f>VLOOKUP($C10,'Raw - SLDR'!$A:$Q,12,FALSE)</f>
        <v>94.011976047904184</v>
      </c>
      <c r="G10" s="297">
        <f>VLOOKUP($C10,'Raw - SLDR'!$A:$Q,16,FALSE)</f>
        <v>96.40198511166254</v>
      </c>
      <c r="H10" s="318">
        <f>VLOOKUP(C10,'Raw - SLDR'!A:Q,14,FALSE)</f>
        <v>777</v>
      </c>
      <c r="I10" s="299">
        <f t="shared" si="1"/>
        <v>3.3631631571779366</v>
      </c>
      <c r="J10" s="300">
        <f>SUM(VLOOKUP(C10,'Raw - SLDR'!A:Q,14,FALSE)-VLOOKUP(C10,'Raw - SLDR'!A:Q,2,FALSE))</f>
        <v>82</v>
      </c>
      <c r="K10" s="301">
        <f t="shared" si="0"/>
        <v>2.3415477782118188</v>
      </c>
      <c r="L10" s="302">
        <f>IF(K10="","",(IF($K$5="LGBF Family Group",SUM(MROUND(SUM(SUM(VLOOKUP(C$17,'Raw - SLDR'!A:Q,16,FALSE)*VLOOKUP(C10,'Raw - SLDR'!A:Q,15,FALSE))/100),100)-MROUND(SUM(SUM(VLOOKUP(C10,'Raw - SLDR'!A:Q,16,FALSE)*VLOOKUP(C10,'Raw - SLDR'!A:Q,15,FALSE))/100),100)),IF($K$5="Glasgow City Region",SUM(MROUND(SUM(SUM(VLOOKUP(C$18,'Raw - SLDR'!A:Q,16,FALSE)*VLOOKUP(C10,'Raw - SLDR'!A:Q,15,FALSE))/100),100)-MROUND(SUM(SUM(VLOOKUP(C10,'Raw - SLDR'!A:Q,16,FALSE)*VLOOKUP(C10,'Raw - SLDR'!A:Q,15,FALSE))/100),100)),IF($K$5="Scotland",SUM(MROUND(SUM(SUM(VLOOKUP(C$19,'Raw - SLDR'!A:Q,16,FALSE)*VLOOKUP(C10,'Raw - SLDR'!A:Q,15,FALSE))/100),100)-MROUND(SUM(SUM(VLOOKUP(C10,'Raw - SLDR'!A:Q,16,FALSE)*VLOOKUP(C10,'Raw - SLDR'!A:Q,15,FALSE))/100),100)),IF($K$5="United Kingdom",SUM(MROUND(SUM(SUM(VLOOKUP(C$20,'Raw - SLDR'!A:Q,16,FALSE)*VLOOKUP(C10,'Raw - SLDR'!A:Q,15,FALSE))/100),100)-MROUND(SUM(SUM(VLOOKUP(C10,'Raw - SLDR'!A:Q,16,FALSE)*VLOOKUP(C10,'Raw - SLDR'!A:Q,15,FALSE))/100),100)),SUM(MROUND(SUM(SUM(VLOOKUP(C$16,'Raw - SLDR'!A:Q,16,FALSE)*VLOOKUP(C10,'Raw - SLDR'!A:Q,15,FALSE))/100),100)-MROUND(SUM(SUM(VLOOKUP(C10,'Raw - SLDR'!A:Q,16,FALSE)*VLOOKUP(C10,'Raw - SLDR'!A:Q,15,FALSE))/100),100))))))))</f>
        <v>0</v>
      </c>
    </row>
    <row r="11" spans="2:12" ht="19.5" customHeight="1">
      <c r="B11" s="296" t="s">
        <v>249</v>
      </c>
      <c r="C11" s="296" t="s">
        <v>34</v>
      </c>
      <c r="D11" s="297">
        <f>VLOOKUP($C11,'Raw - SLDR'!$A:$Q,4,FALSE)</f>
        <v>92.212389380530965</v>
      </c>
      <c r="E11" s="297">
        <f>VLOOKUP($C11,'Raw - SLDR'!$A:$Q,8,FALSE)</f>
        <v>94.480519480519476</v>
      </c>
      <c r="F11" s="297">
        <f>VLOOKUP($C11,'Raw - SLDR'!$A:$Q,12,FALSE)</f>
        <v>94.159836065573771</v>
      </c>
      <c r="G11" s="297">
        <f>VLOOKUP($C11,'Raw - SLDR'!$A:$Q,16,FALSE)</f>
        <v>94.734215123533815</v>
      </c>
      <c r="H11" s="318">
        <f>VLOOKUP(C11,'Raw - SLDR'!A:Q,14,FALSE)</f>
        <v>3796</v>
      </c>
      <c r="I11" s="299">
        <f t="shared" si="1"/>
        <v>2.5218257430028501</v>
      </c>
      <c r="J11" s="300">
        <f>SUM(VLOOKUP(C11,'Raw - SLDR'!A:Q,14,FALSE)-VLOOKUP(C11,'Raw - SLDR'!A:Q,2,FALSE))</f>
        <v>670</v>
      </c>
      <c r="K11" s="301">
        <f t="shared" si="0"/>
        <v>4.0093177663405442</v>
      </c>
      <c r="L11" s="302">
        <f>IF(K11="","",(IF($K$5="LGBF Family Group",SUM(MROUND(SUM(SUM(VLOOKUP(C$17,'Raw - SLDR'!A:Q,16,FALSE)*VLOOKUP(C11,'Raw - SLDR'!A:Q,15,FALSE))/100),100)-MROUND(SUM(SUM(VLOOKUP(C11,'Raw - SLDR'!A:Q,16,FALSE)*VLOOKUP(C11,'Raw - SLDR'!A:Q,15,FALSE))/100),100)),IF($K$5="Glasgow City Region",SUM(MROUND(SUM(SUM(VLOOKUP(C$18,'Raw - SLDR'!A:Q,16,FALSE)*VLOOKUP(C11,'Raw - SLDR'!A:Q,15,FALSE))/100),100)-MROUND(SUM(SUM(VLOOKUP(C11,'Raw - SLDR'!A:Q,16,FALSE)*VLOOKUP(C11,'Raw - SLDR'!A:Q,15,FALSE))/100),100)),IF($K$5="Scotland",SUM(MROUND(SUM(SUM(VLOOKUP(C$19,'Raw - SLDR'!A:Q,16,FALSE)*VLOOKUP(C11,'Raw - SLDR'!A:Q,15,FALSE))/100),100)-MROUND(SUM(SUM(VLOOKUP(C11,'Raw - SLDR'!A:Q,16,FALSE)*VLOOKUP(C11,'Raw - SLDR'!A:Q,15,FALSE))/100),100)),IF($K$5="United Kingdom",SUM(MROUND(SUM(SUM(VLOOKUP(C$20,'Raw - SLDR'!A:Q,16,FALSE)*VLOOKUP(C11,'Raw - SLDR'!A:Q,15,FALSE))/100),100)-MROUND(SUM(SUM(VLOOKUP(C11,'Raw - SLDR'!A:Q,16,FALSE)*VLOOKUP(C11,'Raw - SLDR'!A:Q,15,FALSE))/100),100)),SUM(MROUND(SUM(SUM(VLOOKUP(C$16,'Raw - SLDR'!A:Q,16,FALSE)*VLOOKUP(C11,'Raw - SLDR'!A:Q,15,FALSE))/100),100)-MROUND(SUM(SUM(VLOOKUP(C11,'Raw - SLDR'!A:Q,16,FALSE)*VLOOKUP(C11,'Raw - SLDR'!A:Q,15,FALSE))/100),100))))))))</f>
        <v>200</v>
      </c>
    </row>
    <row r="12" spans="2:12" ht="19.5" customHeight="1">
      <c r="B12" s="296" t="s">
        <v>249</v>
      </c>
      <c r="C12" s="296" t="s">
        <v>37</v>
      </c>
      <c r="D12" s="297">
        <f>VLOOKUP($C12,'Raw - SLDR'!$A:$Q,4,FALSE)</f>
        <v>93.956043956043956</v>
      </c>
      <c r="E12" s="297">
        <f>VLOOKUP($C12,'Raw - SLDR'!$A:$Q,8,FALSE)</f>
        <v>96.518607442977185</v>
      </c>
      <c r="F12" s="297">
        <f>VLOOKUP($C12,'Raw - SLDR'!$A:$Q,12,FALSE)</f>
        <v>96.645702306079656</v>
      </c>
      <c r="G12" s="297">
        <f>VLOOKUP($C12,'Raw - SLDR'!$A:$Q,16,FALSE)</f>
        <v>96.386164171399074</v>
      </c>
      <c r="H12" s="318">
        <f>VLOOKUP(C12,'Raw - SLDR'!A:Q,14,FALSE)</f>
        <v>1867</v>
      </c>
      <c r="I12" s="299">
        <f t="shared" si="1"/>
        <v>2.4301202153551174</v>
      </c>
      <c r="J12" s="300">
        <f>SUM(VLOOKUP(C12,'Raw - SLDR'!A:Q,14,FALSE)-VLOOKUP(C12,'Raw - SLDR'!A:Q,2,FALSE))</f>
        <v>328</v>
      </c>
      <c r="K12" s="301">
        <f t="shared" si="0"/>
        <v>2.3573687184752856</v>
      </c>
      <c r="L12" s="302">
        <f>IF(K12="","",(IF($K$5="LGBF Family Group",SUM(MROUND(SUM(SUM(VLOOKUP(C$17,'Raw - SLDR'!A:Q,16,FALSE)*VLOOKUP(C12,'Raw - SLDR'!A:Q,15,FALSE))/100),100)-MROUND(SUM(SUM(VLOOKUP(C12,'Raw - SLDR'!A:Q,16,FALSE)*VLOOKUP(C12,'Raw - SLDR'!A:Q,15,FALSE))/100),100)),IF($K$5="Glasgow City Region",SUM(MROUND(SUM(SUM(VLOOKUP(C$18,'Raw - SLDR'!A:Q,16,FALSE)*VLOOKUP(C12,'Raw - SLDR'!A:Q,15,FALSE))/100),100)-MROUND(SUM(SUM(VLOOKUP(C12,'Raw - SLDR'!A:Q,16,FALSE)*VLOOKUP(C12,'Raw - SLDR'!A:Q,15,FALSE))/100),100)),IF($K$5="Scotland",SUM(MROUND(SUM(SUM(VLOOKUP(C$19,'Raw - SLDR'!A:Q,16,FALSE)*VLOOKUP(C12,'Raw - SLDR'!A:Q,15,FALSE))/100),100)-MROUND(SUM(SUM(VLOOKUP(C12,'Raw - SLDR'!A:Q,16,FALSE)*VLOOKUP(C12,'Raw - SLDR'!A:Q,15,FALSE))/100),100)),IF($K$5="United Kingdom",SUM(MROUND(SUM(SUM(VLOOKUP(C$20,'Raw - SLDR'!A:Q,16,FALSE)*VLOOKUP(C12,'Raw - SLDR'!A:Q,15,FALSE))/100),100)-MROUND(SUM(SUM(VLOOKUP(C12,'Raw - SLDR'!A:Q,16,FALSE)*VLOOKUP(C12,'Raw - SLDR'!A:Q,15,FALSE))/100),100)),SUM(MROUND(SUM(SUM(VLOOKUP(C$16,'Raw - SLDR'!A:Q,16,FALSE)*VLOOKUP(C12,'Raw - SLDR'!A:Q,15,FALSE))/100),100)-MROUND(SUM(SUM(VLOOKUP(C12,'Raw - SLDR'!A:Q,16,FALSE)*VLOOKUP(C12,'Raw - SLDR'!A:Q,15,FALSE))/100),100))))))))</f>
        <v>0</v>
      </c>
    </row>
    <row r="13" spans="2:12" ht="19.5" customHeight="1">
      <c r="B13" s="296" t="s">
        <v>249</v>
      </c>
      <c r="C13" s="296" t="s">
        <v>41</v>
      </c>
      <c r="D13" s="297">
        <f>VLOOKUP($C13,'Raw - SLDR'!$A:$Q,4,FALSE)</f>
        <v>94.801512287334589</v>
      </c>
      <c r="E13" s="297">
        <f>VLOOKUP($C13,'Raw - SLDR'!$A:$Q,8,FALSE)</f>
        <v>96.165458937198068</v>
      </c>
      <c r="F13" s="297">
        <f>VLOOKUP($C13,'Raw - SLDR'!$A:$Q,12,FALSE)</f>
        <v>96.224223061283766</v>
      </c>
      <c r="G13" s="297">
        <f>VLOOKUP($C13,'Raw - SLDR'!$A:$Q,16,FALSE)</f>
        <v>96.876712328767127</v>
      </c>
      <c r="H13" s="318">
        <f>VLOOKUP(C13,'Raw - SLDR'!A:Q,14,FALSE)</f>
        <v>3536</v>
      </c>
      <c r="I13" s="299">
        <f t="shared" si="1"/>
        <v>2.075200041432538</v>
      </c>
      <c r="J13" s="300">
        <f>SUM(VLOOKUP(C13,'Raw - SLDR'!A:Q,14,FALSE)-VLOOKUP(C13,'Raw - SLDR'!A:Q,2,FALSE))</f>
        <v>527</v>
      </c>
      <c r="K13" s="301">
        <f t="shared" si="0"/>
        <v>1.8668205611072324</v>
      </c>
      <c r="L13" s="302">
        <f>IF(K13="","",(IF($K$5="LGBF Family Group",SUM(MROUND(SUM(SUM(VLOOKUP(C$17,'Raw - SLDR'!A:Q,16,FALSE)*VLOOKUP(C13,'Raw - SLDR'!A:Q,15,FALSE))/100),100)-MROUND(SUM(SUM(VLOOKUP(C13,'Raw - SLDR'!A:Q,16,FALSE)*VLOOKUP(C13,'Raw - SLDR'!A:Q,15,FALSE))/100),100)),IF($K$5="Glasgow City Region",SUM(MROUND(SUM(SUM(VLOOKUP(C$18,'Raw - SLDR'!A:Q,16,FALSE)*VLOOKUP(C13,'Raw - SLDR'!A:Q,15,FALSE))/100),100)-MROUND(SUM(SUM(VLOOKUP(C13,'Raw - SLDR'!A:Q,16,FALSE)*VLOOKUP(C13,'Raw - SLDR'!A:Q,15,FALSE))/100),100)),IF($K$5="Scotland",SUM(MROUND(SUM(SUM(VLOOKUP(C$19,'Raw - SLDR'!A:Q,16,FALSE)*VLOOKUP(C13,'Raw - SLDR'!A:Q,15,FALSE))/100),100)-MROUND(SUM(SUM(VLOOKUP(C13,'Raw - SLDR'!A:Q,16,FALSE)*VLOOKUP(C13,'Raw - SLDR'!A:Q,15,FALSE))/100),100)),IF($K$5="United Kingdom",SUM(MROUND(SUM(SUM(VLOOKUP(C$20,'Raw - SLDR'!A:Q,16,FALSE)*VLOOKUP(C13,'Raw - SLDR'!A:Q,15,FALSE))/100),100)-MROUND(SUM(SUM(VLOOKUP(C13,'Raw - SLDR'!A:Q,16,FALSE)*VLOOKUP(C13,'Raw - SLDR'!A:Q,15,FALSE))/100),100)),SUM(MROUND(SUM(SUM(VLOOKUP(C$16,'Raw - SLDR'!A:Q,16,FALSE)*VLOOKUP(C13,'Raw - SLDR'!A:Q,15,FALSE))/100),100)-MROUND(SUM(SUM(VLOOKUP(C13,'Raw - SLDR'!A:Q,16,FALSE)*VLOOKUP(C13,'Raw - SLDR'!A:Q,15,FALSE))/100),100))))))))</f>
        <v>100</v>
      </c>
    </row>
    <row r="14" spans="2:12" ht="19.5" customHeight="1">
      <c r="B14" s="296" t="s">
        <v>249</v>
      </c>
      <c r="C14" s="296" t="s">
        <v>43</v>
      </c>
      <c r="D14" s="297">
        <f>VLOOKUP($C14,'Raw - SLDR'!$A:$Q,4,FALSE)</f>
        <v>89.65517241379311</v>
      </c>
      <c r="E14" s="297">
        <f>VLOOKUP($C14,'Raw - SLDR'!$A:$Q,8,FALSE)</f>
        <v>90.989010989010993</v>
      </c>
      <c r="F14" s="297">
        <f>VLOOKUP($C14,'Raw - SLDR'!$A:$Q,12,FALSE)</f>
        <v>95.107033639143737</v>
      </c>
      <c r="G14" s="297">
        <f>VLOOKUP($C14,'Raw - SLDR'!$A:$Q,16,FALSE)</f>
        <v>95.346534653465341</v>
      </c>
      <c r="H14" s="318">
        <f>VLOOKUP(C14,'Raw - SLDR'!A:Q,14,FALSE)</f>
        <v>963</v>
      </c>
      <c r="I14" s="299">
        <f t="shared" si="1"/>
        <v>5.6913622396722303</v>
      </c>
      <c r="J14" s="300">
        <f>SUM(VLOOKUP(C14,'Raw - SLDR'!A:Q,14,FALSE)-VLOOKUP(C14,'Raw - SLDR'!A:Q,2,FALSE))</f>
        <v>183</v>
      </c>
      <c r="K14" s="301">
        <f t="shared" si="0"/>
        <v>3.3969982364090185</v>
      </c>
      <c r="L14" s="302">
        <f>IF(K14="","",(IF($K$5="LGBF Family Group",SUM(MROUND(SUM(SUM(VLOOKUP(C$17,'Raw - SLDR'!A:Q,16,FALSE)*VLOOKUP(C14,'Raw - SLDR'!A:Q,15,FALSE))/100),100)-MROUND(SUM(SUM(VLOOKUP(C14,'Raw - SLDR'!A:Q,16,FALSE)*VLOOKUP(C14,'Raw - SLDR'!A:Q,15,FALSE))/100),100)),IF($K$5="Glasgow City Region",SUM(MROUND(SUM(SUM(VLOOKUP(C$18,'Raw - SLDR'!A:Q,16,FALSE)*VLOOKUP(C14,'Raw - SLDR'!A:Q,15,FALSE))/100),100)-MROUND(SUM(SUM(VLOOKUP(C14,'Raw - SLDR'!A:Q,16,FALSE)*VLOOKUP(C14,'Raw - SLDR'!A:Q,15,FALSE))/100),100)),IF($K$5="Scotland",SUM(MROUND(SUM(SUM(VLOOKUP(C$19,'Raw - SLDR'!A:Q,16,FALSE)*VLOOKUP(C14,'Raw - SLDR'!A:Q,15,FALSE))/100),100)-MROUND(SUM(SUM(VLOOKUP(C14,'Raw - SLDR'!A:Q,16,FALSE)*VLOOKUP(C14,'Raw - SLDR'!A:Q,15,FALSE))/100),100)),IF($K$5="United Kingdom",SUM(MROUND(SUM(SUM(VLOOKUP(C$20,'Raw - SLDR'!A:Q,16,FALSE)*VLOOKUP(C14,'Raw - SLDR'!A:Q,15,FALSE))/100),100)-MROUND(SUM(SUM(VLOOKUP(C14,'Raw - SLDR'!A:Q,16,FALSE)*VLOOKUP(C14,'Raw - SLDR'!A:Q,15,FALSE))/100),100)),SUM(MROUND(SUM(SUM(VLOOKUP(C$16,'Raw - SLDR'!A:Q,16,FALSE)*VLOOKUP(C14,'Raw - SLDR'!A:Q,15,FALSE))/100),100)-MROUND(SUM(SUM(VLOOKUP(C14,'Raw - SLDR'!A:Q,16,FALSE)*VLOOKUP(C14,'Raw - SLDR'!A:Q,15,FALSE))/100),100))))))))</f>
        <v>0</v>
      </c>
    </row>
    <row r="15" spans="2:12" ht="19.5" customHeight="1">
      <c r="B15" s="303"/>
      <c r="C15" s="303"/>
      <c r="D15" s="304"/>
      <c r="E15" s="304"/>
      <c r="F15" s="304"/>
      <c r="G15" s="304"/>
      <c r="H15" s="304"/>
      <c r="I15" s="306"/>
      <c r="J15" s="306"/>
      <c r="K15" s="306"/>
      <c r="L15" s="306"/>
    </row>
    <row r="16" spans="2:12" ht="19.5" customHeight="1">
      <c r="B16" s="307" t="s">
        <v>51</v>
      </c>
      <c r="C16" s="296" t="str">
        <f>INDEX('Raw - SLDR'!$A$9:$A$40,MATCH(MAX('Raw - SLDR'!P9:P40),'Raw - SLDR'!P9:P40,0))</f>
        <v>East Renfrewshire</v>
      </c>
      <c r="D16" s="297">
        <f>VLOOKUP($C16,'Raw - SLDR'!$A:$Q,4,FALSE)</f>
        <v>96.233666410453495</v>
      </c>
      <c r="E16" s="297">
        <f>VLOOKUP($C16,'Raw - SLDR'!$A:$Q,8,FALSE)</f>
        <v>97.396963123644255</v>
      </c>
      <c r="F16" s="297">
        <f>VLOOKUP($C16,'Raw - SLDR'!$A:$Q,12,FALSE)</f>
        <v>98.461538461538467</v>
      </c>
      <c r="G16" s="297">
        <f>VLOOKUP($C16,'Raw - SLDR'!$A:$Q,16,FALSE)</f>
        <v>98.743532889874359</v>
      </c>
      <c r="H16" s="318">
        <f>VLOOKUP(C16,'Raw - SLDR'!A:Q,14,FALSE)</f>
        <v>1336</v>
      </c>
      <c r="I16" s="299">
        <f>SUM(G16-D16)</f>
        <v>2.5098664794208645</v>
      </c>
      <c r="J16" s="300">
        <f>SUM(VLOOKUP(C16,'Raw - SLDR'!A:Q,14,FALSE)-VLOOKUP(C16,'Raw - SLDR'!A:Q,2,FALSE))</f>
        <v>84</v>
      </c>
    </row>
    <row r="17" spans="2:12" ht="19.5" customHeight="1">
      <c r="B17" s="307" t="s">
        <v>542</v>
      </c>
      <c r="C17" s="308" t="s">
        <v>546</v>
      </c>
      <c r="D17" s="297">
        <f>VLOOKUP($C17,'Raw - SLDR'!$A:$Q,4,FALSE)</f>
        <v>92.53029055405247</v>
      </c>
      <c r="E17" s="297">
        <f>VLOOKUP($C17,'Raw - SLDR'!$A:$Q,8,FALSE)</f>
        <v>95.267981116356566</v>
      </c>
      <c r="F17" s="297">
        <f>VLOOKUP($C17,'Raw - SLDR'!$A:$Q,12,FALSE)</f>
        <v>95.597897503285154</v>
      </c>
      <c r="G17" s="297">
        <f>VLOOKUP($C17,'Raw - SLDR'!$A:$Q,16,FALSE)</f>
        <v>95.879477202434401</v>
      </c>
      <c r="H17" s="318">
        <f>VLOOKUP(C17,'Raw - SLDR'!A:Q,14,FALSE)</f>
        <v>19220</v>
      </c>
      <c r="I17" s="299">
        <f>SUM(G17-D17)</f>
        <v>3.3491866483819308</v>
      </c>
      <c r="J17" s="300">
        <f>SUM(VLOOKUP(C17,'Raw - SLDR'!A:Q,14,FALSE)-VLOOKUP(C17,'Raw - SLDR'!A:Q,2,FALSE))</f>
        <v>3488</v>
      </c>
    </row>
    <row r="18" spans="2:12" ht="19.5" customHeight="1">
      <c r="B18" s="307" t="s">
        <v>250</v>
      </c>
      <c r="C18" s="296" t="s">
        <v>47</v>
      </c>
      <c r="D18" s="297">
        <f>VLOOKUP($C18,'Raw - SLDR'!$A:$Q,4,FALSE)</f>
        <v>93.325124748882118</v>
      </c>
      <c r="E18" s="297">
        <f>VLOOKUP($C18,'Raw - SLDR'!$A:$Q,8,FALSE)</f>
        <v>95.615327929255713</v>
      </c>
      <c r="F18" s="297">
        <f>VLOOKUP($C18,'Raw - SLDR'!$A:$Q,12,FALSE)</f>
        <v>96.059704906782571</v>
      </c>
      <c r="G18" s="297">
        <f>VLOOKUP($C18,'Raw - SLDR'!$A:$Q,16,FALSE)</f>
        <v>96.612267867191889</v>
      </c>
      <c r="H18" s="318">
        <f>VLOOKUP(C18,'Raw - SLDR'!A:Q,14,FALSE)</f>
        <v>17168</v>
      </c>
      <c r="I18" s="299">
        <f t="shared" si="1"/>
        <v>3.2871431183097712</v>
      </c>
      <c r="J18" s="300">
        <f>SUM(VLOOKUP(C18,'Raw - SLDR'!A:Q,14,FALSE)-VLOOKUP(C18,'Raw - SLDR'!A:Q,2,FALSE))</f>
        <v>2767</v>
      </c>
    </row>
    <row r="19" spans="2:12" ht="19.5" customHeight="1">
      <c r="B19" s="307" t="s">
        <v>251</v>
      </c>
      <c r="C19" s="296" t="s">
        <v>45</v>
      </c>
      <c r="D19" s="297">
        <f>VLOOKUP($C19,'Raw - SLDR'!$A:$Q,4,FALSE)</f>
        <v>93.343026931344042</v>
      </c>
      <c r="E19" s="297">
        <f>VLOOKUP($C19,'Raw - SLDR'!$A:$Q,8,FALSE)</f>
        <v>95.477476057226184</v>
      </c>
      <c r="F19" s="297">
        <f>VLOOKUP($C19,'Raw - SLDR'!$A:$Q,12,FALSE)</f>
        <v>95.73112225501022</v>
      </c>
      <c r="G19" s="297">
        <f>VLOOKUP($C19,'Raw - SLDR'!$A:$Q,16,FALSE)</f>
        <v>95.866138136382745</v>
      </c>
      <c r="H19" s="318">
        <f>VLOOKUP(C19,'Raw - SLDR'!A:Q,14,FALSE)</f>
        <v>52480</v>
      </c>
      <c r="I19" s="299">
        <f t="shared" si="1"/>
        <v>2.5231112050387026</v>
      </c>
      <c r="J19" s="300">
        <f>SUM(VLOOKUP(C19,'Raw - SLDR'!A:Q,14,FALSE)-VLOOKUP(C19,'Raw - SLDR'!A:Q,2,FALSE))</f>
        <v>8185</v>
      </c>
    </row>
    <row r="20" spans="2:12" ht="19.5" customHeight="1">
      <c r="B20" s="307" t="s">
        <v>251</v>
      </c>
      <c r="C20" s="296" t="s">
        <v>46</v>
      </c>
      <c r="D20" s="297" t="s">
        <v>69</v>
      </c>
      <c r="E20" s="297" t="s">
        <v>69</v>
      </c>
      <c r="F20" s="297" t="s">
        <v>69</v>
      </c>
      <c r="G20" s="297" t="s">
        <v>69</v>
      </c>
      <c r="H20" s="318" t="s">
        <v>69</v>
      </c>
      <c r="I20" s="299"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6g3Xy9GMMBacaRo6Hhs3gTND7umwKj9IcWQSygywqvc1Rb8T3AUNNl243E2JxUuM808BRPYu92Zi84g6pukgxw==" saltValue="MgrCx5pkUxZad0tiNXJAPg==" spinCount="100000" sheet="1" objects="1" scenarios="1"/>
  <autoFilter ref="C6:L14" xr:uid="{00000000-0009-0000-0000-000008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0800-000000000000}">
      <formula1>IF(B17="LGBF Family Group 1",LGBF_5,IF(B17="LGBF Family Group 3",LGBF_7,IF(B17="LGBF Family Group 4",LGBF_8,LGBF_6)))</formula1>
    </dataValidation>
  </dataValidations>
  <hyperlinks>
    <hyperlink ref="F2:G2" location="'Index RAG'!A1" display="Return to Index RAG" xr:uid="{00000000-0004-0000-0800-000001000000}"/>
    <hyperlink ref="C3" r:id="rId1" xr:uid="{B75CCF08-E761-4DEC-8795-9ECFAA822943}"/>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Lookups!$L$8:$O$8</xm:f>
          </x14:formula1>
          <xm:sqref>B17</xm:sqref>
        </x14:dataValidation>
        <x14:dataValidation type="list" allowBlank="1" showInputMessage="1" showErrorMessage="1" xr:uid="{00000000-0002-0000-0800-000002000000}">
          <x14:formula1>
            <xm:f>Lookups!$B$9:$B$12</xm:f>
          </x14:formula1>
          <xm:sqref>K5:L5</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autoPageBreaks="0"/>
  </sheetPr>
  <dimension ref="A1:BY26"/>
  <sheetViews>
    <sheetView workbookViewId="0"/>
  </sheetViews>
  <sheetFormatPr defaultColWidth="9.26953125" defaultRowHeight="14.5"/>
  <cols>
    <col min="1" max="1" width="31.453125" style="135" customWidth="1"/>
    <col min="2" max="2" width="7.81640625" style="134" customWidth="1"/>
    <col min="3" max="3" width="28.81640625" style="134" bestFit="1" customWidth="1"/>
    <col min="4" max="4" width="14" style="134" customWidth="1"/>
    <col min="5" max="5" width="18.1796875" style="134" customWidth="1"/>
    <col min="6" max="6" width="23.1796875" style="134" bestFit="1" customWidth="1"/>
    <col min="7" max="7" width="23.54296875" style="134" bestFit="1" customWidth="1"/>
    <col min="8" max="8" width="14" style="134" customWidth="1"/>
    <col min="9" max="9" width="12.26953125" style="134" bestFit="1" customWidth="1"/>
    <col min="10" max="10" width="17.1796875" style="134" customWidth="1"/>
    <col min="11" max="11" width="21.54296875" style="134" bestFit="1" customWidth="1"/>
    <col min="12" max="12" width="12" style="134" bestFit="1" customWidth="1"/>
    <col min="13" max="13" width="9.81640625" style="134" customWidth="1"/>
    <col min="14" max="14" width="11" style="134" customWidth="1"/>
    <col min="15" max="15" width="23.26953125" style="134" customWidth="1"/>
    <col min="16" max="16" width="9.26953125" style="134" customWidth="1"/>
    <col min="17" max="16384" width="9.26953125" style="134"/>
  </cols>
  <sheetData>
    <row r="1" spans="1:15" s="136" customFormat="1" ht="12.5">
      <c r="A1" s="138" t="s">
        <v>331</v>
      </c>
    </row>
    <row r="2" spans="1:15" s="144" customFormat="1" ht="15.5">
      <c r="A2" s="145" t="s">
        <v>330</v>
      </c>
    </row>
    <row r="3" spans="1:15" s="136" customFormat="1">
      <c r="A3" s="143" t="s">
        <v>329</v>
      </c>
    </row>
    <row r="4" spans="1:15" s="136" customFormat="1" ht="12.5">
      <c r="A4" s="138" t="s">
        <v>328</v>
      </c>
    </row>
    <row r="5" spans="1:15" s="136" customFormat="1" ht="12.5">
      <c r="A5" s="138"/>
    </row>
    <row r="6" spans="1:15" s="141" customFormat="1" ht="13">
      <c r="A6" s="142" t="s">
        <v>327</v>
      </c>
    </row>
    <row r="7" spans="1:15" s="136" customFormat="1" ht="12.5">
      <c r="A7" s="138" t="s">
        <v>326</v>
      </c>
    </row>
    <row r="8" spans="1:15" s="136" customFormat="1">
      <c r="A8" s="629"/>
      <c r="B8" s="629"/>
      <c r="C8" s="630" t="s">
        <v>119</v>
      </c>
      <c r="D8" s="630"/>
      <c r="E8" s="630"/>
      <c r="F8" s="630"/>
      <c r="G8" s="630"/>
      <c r="H8" s="630"/>
      <c r="I8" s="630"/>
      <c r="J8" s="630"/>
      <c r="K8" s="630"/>
      <c r="L8" s="630"/>
      <c r="M8" s="630"/>
      <c r="N8" s="630"/>
      <c r="O8" s="630"/>
    </row>
    <row r="9" spans="1:15" s="136" customFormat="1" ht="13">
      <c r="A9" s="138"/>
      <c r="B9" s="140" t="s">
        <v>82</v>
      </c>
      <c r="C9" s="140" t="s">
        <v>325</v>
      </c>
      <c r="D9" s="140" t="s">
        <v>324</v>
      </c>
      <c r="E9" s="140" t="s">
        <v>323</v>
      </c>
      <c r="F9" s="140" t="s">
        <v>19</v>
      </c>
      <c r="G9" s="140" t="s">
        <v>322</v>
      </c>
      <c r="H9" s="140" t="s">
        <v>26</v>
      </c>
      <c r="I9" s="140" t="s">
        <v>321</v>
      </c>
      <c r="J9" s="140" t="s">
        <v>320</v>
      </c>
      <c r="K9" s="140" t="s">
        <v>319</v>
      </c>
      <c r="L9" s="140" t="s">
        <v>318</v>
      </c>
      <c r="M9" s="140" t="s">
        <v>317</v>
      </c>
      <c r="N9" s="140" t="s">
        <v>316</v>
      </c>
      <c r="O9" s="140" t="s">
        <v>44</v>
      </c>
    </row>
    <row r="10" spans="1:15" s="136" customFormat="1" ht="12.5">
      <c r="A10" s="138" t="s">
        <v>82</v>
      </c>
      <c r="B10" s="139">
        <v>150502</v>
      </c>
      <c r="C10" s="139">
        <v>17646</v>
      </c>
      <c r="D10" s="139">
        <v>9495</v>
      </c>
      <c r="E10" s="139">
        <v>4345</v>
      </c>
      <c r="F10" s="139">
        <v>5980</v>
      </c>
      <c r="G10" s="139">
        <v>19046</v>
      </c>
      <c r="H10" s="139">
        <v>8251</v>
      </c>
      <c r="I10" s="139">
        <v>7513</v>
      </c>
      <c r="J10" s="139">
        <v>20628</v>
      </c>
      <c r="K10" s="139">
        <v>18979</v>
      </c>
      <c r="L10" s="139">
        <v>17043</v>
      </c>
      <c r="M10" s="139">
        <v>12203</v>
      </c>
      <c r="N10" s="139">
        <v>9257</v>
      </c>
      <c r="O10" s="139">
        <v>4040</v>
      </c>
    </row>
    <row r="11" spans="1:15" s="136" customFormat="1" ht="12.5">
      <c r="A11" s="138" t="s">
        <v>315</v>
      </c>
      <c r="B11" s="139">
        <v>52965</v>
      </c>
      <c r="C11" s="139">
        <v>6751</v>
      </c>
      <c r="D11" s="139">
        <v>3215</v>
      </c>
      <c r="E11" s="139">
        <v>1533</v>
      </c>
      <c r="F11" s="139">
        <v>2576</v>
      </c>
      <c r="G11" s="139">
        <v>6716</v>
      </c>
      <c r="H11" s="139">
        <v>2445</v>
      </c>
      <c r="I11" s="139">
        <v>2065</v>
      </c>
      <c r="J11" s="139">
        <v>7774</v>
      </c>
      <c r="K11" s="139">
        <v>6499</v>
      </c>
      <c r="L11" s="139">
        <v>5374</v>
      </c>
      <c r="M11" s="139">
        <v>4140</v>
      </c>
      <c r="N11" s="139">
        <v>3783</v>
      </c>
      <c r="O11" s="139">
        <v>1433</v>
      </c>
    </row>
    <row r="12" spans="1:15" s="136" customFormat="1" ht="12.5">
      <c r="A12" s="138"/>
      <c r="B12" s="137">
        <v>0.35</v>
      </c>
      <c r="C12" s="137">
        <v>0.38</v>
      </c>
      <c r="D12" s="137">
        <v>0.34</v>
      </c>
      <c r="E12" s="137">
        <v>0.35</v>
      </c>
      <c r="F12" s="137">
        <v>0.43</v>
      </c>
      <c r="G12" s="137">
        <v>0.35</v>
      </c>
      <c r="H12" s="137">
        <v>0.3</v>
      </c>
      <c r="I12" s="137">
        <v>0.27</v>
      </c>
      <c r="J12" s="137">
        <v>0.38</v>
      </c>
      <c r="K12" s="137">
        <v>0.34</v>
      </c>
      <c r="L12" s="137">
        <v>0.32</v>
      </c>
      <c r="M12" s="137">
        <v>0.34</v>
      </c>
      <c r="N12" s="137">
        <v>0.41</v>
      </c>
      <c r="O12" s="137">
        <v>0.35</v>
      </c>
    </row>
    <row r="14" spans="1:15" s="149" customFormat="1" ht="15.5">
      <c r="A14" s="148" t="s">
        <v>452</v>
      </c>
    </row>
    <row r="15" spans="1:15" s="147" customFormat="1" ht="12.5">
      <c r="A15" s="151"/>
    </row>
    <row r="16" spans="1:15" s="147" customFormat="1">
      <c r="A16" s="151" t="s">
        <v>453</v>
      </c>
      <c r="B16" s="7" t="s">
        <v>329</v>
      </c>
    </row>
    <row r="17" spans="1:77" s="147" customFormat="1" ht="12.5">
      <c r="A17" s="151"/>
    </row>
    <row r="18" spans="1:77" s="153" customFormat="1" ht="13">
      <c r="A18" s="152" t="s">
        <v>327</v>
      </c>
    </row>
    <row r="19" spans="1:77" s="147" customFormat="1" ht="12.5">
      <c r="A19" s="151" t="s">
        <v>326</v>
      </c>
    </row>
    <row r="20" spans="1:77" s="147" customFormat="1" ht="13">
      <c r="A20" s="631"/>
      <c r="B20" s="632"/>
      <c r="C20" s="633" t="s">
        <v>119</v>
      </c>
      <c r="D20" s="634"/>
      <c r="E20" s="634"/>
      <c r="F20" s="634"/>
      <c r="G20" s="634"/>
      <c r="H20" s="634"/>
      <c r="I20" s="634"/>
      <c r="J20" s="635"/>
      <c r="K20" s="633" t="s">
        <v>335</v>
      </c>
      <c r="L20" s="634"/>
      <c r="M20" s="634"/>
      <c r="N20" s="634"/>
      <c r="O20" s="634"/>
      <c r="P20" s="634"/>
      <c r="Q20" s="634"/>
      <c r="R20" s="635"/>
      <c r="S20" s="633" t="s">
        <v>336</v>
      </c>
      <c r="T20" s="634"/>
      <c r="U20" s="634"/>
      <c r="V20" s="634"/>
      <c r="W20" s="634"/>
      <c r="X20" s="634"/>
      <c r="Y20" s="634"/>
      <c r="Z20" s="634"/>
      <c r="AA20" s="634"/>
      <c r="AB20" s="634"/>
      <c r="AC20" s="634"/>
      <c r="AD20" s="634"/>
      <c r="AE20" s="635"/>
      <c r="AF20" s="633" t="s">
        <v>337</v>
      </c>
      <c r="AG20" s="634"/>
      <c r="AH20" s="634"/>
      <c r="AI20" s="634"/>
      <c r="AJ20" s="634"/>
      <c r="AK20" s="635"/>
      <c r="AL20" s="633" t="s">
        <v>338</v>
      </c>
      <c r="AM20" s="634"/>
      <c r="AN20" s="635"/>
      <c r="AO20" s="633" t="s">
        <v>339</v>
      </c>
      <c r="AP20" s="634"/>
      <c r="AQ20" s="635"/>
      <c r="AR20" s="633" t="s">
        <v>340</v>
      </c>
      <c r="AS20" s="634"/>
      <c r="AT20" s="634"/>
      <c r="AU20" s="634"/>
      <c r="AV20" s="634"/>
      <c r="AW20" s="634"/>
      <c r="AX20" s="634"/>
      <c r="AY20" s="634"/>
      <c r="AZ20" s="635"/>
      <c r="BA20" s="633" t="s">
        <v>341</v>
      </c>
      <c r="BB20" s="635"/>
      <c r="BC20" s="633" t="s">
        <v>342</v>
      </c>
      <c r="BD20" s="634"/>
      <c r="BE20" s="634"/>
      <c r="BF20" s="634"/>
      <c r="BG20" s="634"/>
      <c r="BH20" s="635"/>
      <c r="BI20" s="633" t="s">
        <v>343</v>
      </c>
      <c r="BJ20" s="634"/>
      <c r="BK20" s="634"/>
      <c r="BL20" s="634"/>
      <c r="BM20" s="634"/>
      <c r="BN20" s="634"/>
      <c r="BO20" s="635"/>
      <c r="BP20" s="633" t="s">
        <v>345</v>
      </c>
      <c r="BQ20" s="634"/>
      <c r="BR20" s="635"/>
      <c r="BS20" s="633" t="s">
        <v>449</v>
      </c>
      <c r="BT20" s="634"/>
      <c r="BU20" s="634"/>
      <c r="BV20" s="634"/>
      <c r="BW20" s="635"/>
      <c r="BX20" s="633" t="s">
        <v>346</v>
      </c>
      <c r="BY20" s="635"/>
    </row>
    <row r="21" spans="1:77" s="147" customFormat="1" ht="13">
      <c r="A21" s="151"/>
      <c r="B21" s="154" t="s">
        <v>82</v>
      </c>
      <c r="C21" s="154" t="s">
        <v>448</v>
      </c>
      <c r="D21" s="154" t="s">
        <v>324</v>
      </c>
      <c r="E21" s="154" t="s">
        <v>447</v>
      </c>
      <c r="F21" s="154" t="s">
        <v>321</v>
      </c>
      <c r="G21" s="154" t="s">
        <v>446</v>
      </c>
      <c r="H21" s="154" t="s">
        <v>445</v>
      </c>
      <c r="I21" s="154" t="s">
        <v>444</v>
      </c>
      <c r="J21" s="154" t="s">
        <v>317</v>
      </c>
      <c r="K21" s="155" t="s">
        <v>348</v>
      </c>
      <c r="L21" s="155" t="s">
        <v>349</v>
      </c>
      <c r="M21" s="155" t="s">
        <v>350</v>
      </c>
      <c r="N21" s="155" t="s">
        <v>351</v>
      </c>
      <c r="O21" s="155" t="s">
        <v>352</v>
      </c>
      <c r="P21" s="155" t="s">
        <v>353</v>
      </c>
      <c r="Q21" s="155" t="s">
        <v>354</v>
      </c>
      <c r="R21" s="155" t="s">
        <v>356</v>
      </c>
      <c r="S21" s="154" t="s">
        <v>443</v>
      </c>
      <c r="T21" s="154" t="s">
        <v>358</v>
      </c>
      <c r="U21" s="154" t="s">
        <v>442</v>
      </c>
      <c r="V21" s="154" t="s">
        <v>359</v>
      </c>
      <c r="W21" s="154" t="s">
        <v>441</v>
      </c>
      <c r="X21" s="154" t="s">
        <v>440</v>
      </c>
      <c r="Y21" s="154" t="s">
        <v>439</v>
      </c>
      <c r="Z21" s="154" t="s">
        <v>438</v>
      </c>
      <c r="AA21" s="154" t="s">
        <v>437</v>
      </c>
      <c r="AB21" s="154" t="s">
        <v>366</v>
      </c>
      <c r="AC21" s="154" t="s">
        <v>367</v>
      </c>
      <c r="AD21" s="154" t="s">
        <v>436</v>
      </c>
      <c r="AE21" s="154" t="s">
        <v>435</v>
      </c>
      <c r="AF21" s="154" t="s">
        <v>370</v>
      </c>
      <c r="AG21" s="154" t="s">
        <v>358</v>
      </c>
      <c r="AH21" s="154" t="s">
        <v>359</v>
      </c>
      <c r="AI21" s="154" t="s">
        <v>371</v>
      </c>
      <c r="AJ21" s="154" t="s">
        <v>372</v>
      </c>
      <c r="AK21" s="154" t="s">
        <v>373</v>
      </c>
      <c r="AL21" s="154" t="s">
        <v>374</v>
      </c>
      <c r="AM21" s="154" t="s">
        <v>375</v>
      </c>
      <c r="AN21" s="154" t="s">
        <v>376</v>
      </c>
      <c r="AO21" s="154" t="s">
        <v>377</v>
      </c>
      <c r="AP21" s="154" t="s">
        <v>378</v>
      </c>
      <c r="AQ21" s="154" t="s">
        <v>434</v>
      </c>
      <c r="AR21" s="154" t="s">
        <v>381</v>
      </c>
      <c r="AS21" s="154" t="s">
        <v>382</v>
      </c>
      <c r="AT21" s="154" t="s">
        <v>383</v>
      </c>
      <c r="AU21" s="154" t="s">
        <v>384</v>
      </c>
      <c r="AV21" s="154" t="s">
        <v>385</v>
      </c>
      <c r="AW21" s="154" t="s">
        <v>386</v>
      </c>
      <c r="AX21" s="154" t="s">
        <v>387</v>
      </c>
      <c r="AY21" s="154" t="s">
        <v>388</v>
      </c>
      <c r="AZ21" s="154" t="s">
        <v>389</v>
      </c>
      <c r="BA21" s="154" t="s">
        <v>390</v>
      </c>
      <c r="BB21" s="154" t="s">
        <v>391</v>
      </c>
      <c r="BC21" s="154" t="s">
        <v>392</v>
      </c>
      <c r="BD21" s="154" t="s">
        <v>393</v>
      </c>
      <c r="BE21" s="154" t="s">
        <v>394</v>
      </c>
      <c r="BF21" s="154" t="s">
        <v>395</v>
      </c>
      <c r="BG21" s="154" t="s">
        <v>396</v>
      </c>
      <c r="BH21" s="154" t="s">
        <v>398</v>
      </c>
      <c r="BI21" s="154" t="s">
        <v>399</v>
      </c>
      <c r="BJ21" s="154" t="s">
        <v>400</v>
      </c>
      <c r="BK21" s="154" t="s">
        <v>401</v>
      </c>
      <c r="BL21" s="154" t="s">
        <v>402</v>
      </c>
      <c r="BM21" s="154" t="s">
        <v>403</v>
      </c>
      <c r="BN21" s="154" t="s">
        <v>404</v>
      </c>
      <c r="BO21" s="154" t="s">
        <v>398</v>
      </c>
      <c r="BP21" s="154" t="s">
        <v>407</v>
      </c>
      <c r="BQ21" s="155" t="s">
        <v>408</v>
      </c>
      <c r="BR21" s="154" t="s">
        <v>409</v>
      </c>
      <c r="BS21" s="154" t="s">
        <v>433</v>
      </c>
      <c r="BT21" s="154" t="s">
        <v>432</v>
      </c>
      <c r="BU21" s="154" t="s">
        <v>431</v>
      </c>
      <c r="BV21" s="154" t="s">
        <v>430</v>
      </c>
      <c r="BW21" s="154" t="s">
        <v>429</v>
      </c>
      <c r="BX21" s="154" t="s">
        <v>410</v>
      </c>
      <c r="BY21" s="154" t="s">
        <v>411</v>
      </c>
    </row>
    <row r="22" spans="1:77" s="147" customFormat="1" ht="12.5">
      <c r="A22" s="151" t="s">
        <v>412</v>
      </c>
      <c r="B22" s="156"/>
      <c r="C22" s="156" t="s">
        <v>413</v>
      </c>
      <c r="D22" s="156" t="s">
        <v>414</v>
      </c>
      <c r="E22" s="156" t="s">
        <v>415</v>
      </c>
      <c r="F22" s="156" t="s">
        <v>416</v>
      </c>
      <c r="G22" s="156" t="s">
        <v>417</v>
      </c>
      <c r="H22" s="156" t="s">
        <v>418</v>
      </c>
      <c r="I22" s="156" t="s">
        <v>419</v>
      </c>
      <c r="J22" s="156" t="s">
        <v>420</v>
      </c>
      <c r="K22" s="156" t="s">
        <v>413</v>
      </c>
      <c r="L22" s="156" t="s">
        <v>414</v>
      </c>
      <c r="M22" s="156" t="s">
        <v>415</v>
      </c>
      <c r="N22" s="156" t="s">
        <v>416</v>
      </c>
      <c r="O22" s="156" t="s">
        <v>417</v>
      </c>
      <c r="P22" s="156" t="s">
        <v>418</v>
      </c>
      <c r="Q22" s="156" t="s">
        <v>419</v>
      </c>
      <c r="R22" s="156" t="s">
        <v>420</v>
      </c>
      <c r="S22" s="156" t="s">
        <v>413</v>
      </c>
      <c r="T22" s="156" t="s">
        <v>414</v>
      </c>
      <c r="U22" s="156" t="s">
        <v>415</v>
      </c>
      <c r="V22" s="156" t="s">
        <v>416</v>
      </c>
      <c r="W22" s="156" t="s">
        <v>417</v>
      </c>
      <c r="X22" s="156" t="s">
        <v>418</v>
      </c>
      <c r="Y22" s="156" t="s">
        <v>419</v>
      </c>
      <c r="Z22" s="156" t="s">
        <v>420</v>
      </c>
      <c r="AA22" s="156" t="s">
        <v>421</v>
      </c>
      <c r="AB22" s="156" t="s">
        <v>422</v>
      </c>
      <c r="AC22" s="156" t="s">
        <v>423</v>
      </c>
      <c r="AD22" s="156" t="s">
        <v>424</v>
      </c>
      <c r="AE22" s="156" t="s">
        <v>425</v>
      </c>
      <c r="AF22" s="156" t="s">
        <v>413</v>
      </c>
      <c r="AG22" s="156" t="s">
        <v>414</v>
      </c>
      <c r="AH22" s="156" t="s">
        <v>415</v>
      </c>
      <c r="AI22" s="156" t="s">
        <v>416</v>
      </c>
      <c r="AJ22" s="156" t="s">
        <v>417</v>
      </c>
      <c r="AK22" s="156" t="s">
        <v>418</v>
      </c>
      <c r="AL22" s="156" t="s">
        <v>413</v>
      </c>
      <c r="AM22" s="156" t="s">
        <v>414</v>
      </c>
      <c r="AN22" s="156" t="s">
        <v>415</v>
      </c>
      <c r="AO22" s="156" t="s">
        <v>413</v>
      </c>
      <c r="AP22" s="156" t="s">
        <v>414</v>
      </c>
      <c r="AQ22" s="156" t="s">
        <v>415</v>
      </c>
      <c r="AR22" s="156" t="s">
        <v>413</v>
      </c>
      <c r="AS22" s="156" t="s">
        <v>414</v>
      </c>
      <c r="AT22" s="156" t="s">
        <v>415</v>
      </c>
      <c r="AU22" s="156" t="s">
        <v>416</v>
      </c>
      <c r="AV22" s="156" t="s">
        <v>417</v>
      </c>
      <c r="AW22" s="156" t="s">
        <v>418</v>
      </c>
      <c r="AX22" s="156" t="s">
        <v>419</v>
      </c>
      <c r="AY22" s="156" t="s">
        <v>420</v>
      </c>
      <c r="AZ22" s="156" t="s">
        <v>421</v>
      </c>
      <c r="BA22" s="156" t="s">
        <v>413</v>
      </c>
      <c r="BB22" s="156" t="s">
        <v>414</v>
      </c>
      <c r="BC22" s="156" t="s">
        <v>413</v>
      </c>
      <c r="BD22" s="156" t="s">
        <v>414</v>
      </c>
      <c r="BE22" s="156" t="s">
        <v>415</v>
      </c>
      <c r="BF22" s="156" t="s">
        <v>416</v>
      </c>
      <c r="BG22" s="156" t="s">
        <v>417</v>
      </c>
      <c r="BH22" s="156" t="s">
        <v>418</v>
      </c>
      <c r="BI22" s="156" t="s">
        <v>413</v>
      </c>
      <c r="BJ22" s="156" t="s">
        <v>414</v>
      </c>
      <c r="BK22" s="156" t="s">
        <v>415</v>
      </c>
      <c r="BL22" s="156" t="s">
        <v>416</v>
      </c>
      <c r="BM22" s="156" t="s">
        <v>417</v>
      </c>
      <c r="BN22" s="156" t="s">
        <v>418</v>
      </c>
      <c r="BO22" s="156" t="s">
        <v>419</v>
      </c>
      <c r="BP22" s="156" t="s">
        <v>413</v>
      </c>
      <c r="BQ22" s="156" t="s">
        <v>414</v>
      </c>
      <c r="BR22" s="156" t="s">
        <v>415</v>
      </c>
      <c r="BS22" s="156" t="s">
        <v>413</v>
      </c>
      <c r="BT22" s="156" t="s">
        <v>414</v>
      </c>
      <c r="BU22" s="156" t="s">
        <v>415</v>
      </c>
      <c r="BV22" s="156" t="s">
        <v>416</v>
      </c>
      <c r="BW22" s="156" t="s">
        <v>417</v>
      </c>
      <c r="BX22" s="156" t="s">
        <v>413</v>
      </c>
      <c r="BY22" s="156" t="s">
        <v>414</v>
      </c>
    </row>
    <row r="23" spans="1:77" s="147" customFormat="1" ht="12.5">
      <c r="A23" s="151" t="s">
        <v>427</v>
      </c>
      <c r="B23" s="156">
        <v>6035</v>
      </c>
      <c r="C23" s="156">
        <v>698</v>
      </c>
      <c r="D23" s="156">
        <v>388</v>
      </c>
      <c r="E23" s="156">
        <v>1246</v>
      </c>
      <c r="F23" s="156">
        <v>299</v>
      </c>
      <c r="G23" s="156">
        <v>1694</v>
      </c>
      <c r="H23" s="156">
        <v>779</v>
      </c>
      <c r="I23" s="156">
        <v>433</v>
      </c>
      <c r="J23" s="156">
        <v>498</v>
      </c>
      <c r="K23" s="156">
        <v>1264</v>
      </c>
      <c r="L23" s="156">
        <v>3019</v>
      </c>
      <c r="M23" s="156">
        <v>929</v>
      </c>
      <c r="N23" s="156">
        <v>490</v>
      </c>
      <c r="O23" s="156">
        <v>249</v>
      </c>
      <c r="P23" s="156">
        <v>84</v>
      </c>
      <c r="Q23" s="156">
        <v>4771</v>
      </c>
      <c r="R23" s="156">
        <v>333</v>
      </c>
      <c r="S23" s="156">
        <v>492</v>
      </c>
      <c r="T23" s="156">
        <v>411</v>
      </c>
      <c r="U23" s="156">
        <v>70</v>
      </c>
      <c r="V23" s="156">
        <v>489</v>
      </c>
      <c r="W23" s="156">
        <v>938</v>
      </c>
      <c r="X23" s="156">
        <v>582</v>
      </c>
      <c r="Y23" s="156">
        <v>583</v>
      </c>
      <c r="Z23" s="156">
        <v>227</v>
      </c>
      <c r="AA23" s="156">
        <v>763</v>
      </c>
      <c r="AB23" s="156">
        <v>102</v>
      </c>
      <c r="AC23" s="156">
        <v>338</v>
      </c>
      <c r="AD23" s="156">
        <v>594</v>
      </c>
      <c r="AE23" s="156">
        <v>446</v>
      </c>
      <c r="AF23" s="156">
        <v>596</v>
      </c>
      <c r="AG23" s="156">
        <v>377</v>
      </c>
      <c r="AH23" s="156">
        <v>489</v>
      </c>
      <c r="AI23" s="156">
        <v>1843</v>
      </c>
      <c r="AJ23" s="156">
        <v>1696</v>
      </c>
      <c r="AK23" s="156">
        <v>1034</v>
      </c>
      <c r="AL23" s="156">
        <v>4759</v>
      </c>
      <c r="AM23" s="156">
        <v>639</v>
      </c>
      <c r="AN23" s="156">
        <v>617</v>
      </c>
      <c r="AO23" s="156">
        <v>3195</v>
      </c>
      <c r="AP23" s="156">
        <v>591</v>
      </c>
      <c r="AQ23" s="156">
        <v>2244</v>
      </c>
      <c r="AR23" s="156">
        <v>4416</v>
      </c>
      <c r="AS23" s="156">
        <v>1619</v>
      </c>
      <c r="AT23" s="156">
        <v>612</v>
      </c>
      <c r="AU23" s="156">
        <v>1007</v>
      </c>
      <c r="AV23" s="156">
        <v>5423</v>
      </c>
      <c r="AW23" s="156">
        <v>453</v>
      </c>
      <c r="AX23" s="156">
        <v>432</v>
      </c>
      <c r="AY23" s="156">
        <v>159</v>
      </c>
      <c r="AZ23" s="156">
        <v>5582</v>
      </c>
      <c r="BA23" s="156">
        <v>1236</v>
      </c>
      <c r="BB23" s="156">
        <v>4799</v>
      </c>
      <c r="BC23" s="156">
        <v>4894</v>
      </c>
      <c r="BD23" s="156">
        <v>3059</v>
      </c>
      <c r="BE23" s="156">
        <v>1109</v>
      </c>
      <c r="BF23" s="156">
        <v>726</v>
      </c>
      <c r="BG23" s="156">
        <v>3785</v>
      </c>
      <c r="BH23" s="156">
        <v>1141</v>
      </c>
      <c r="BI23" s="156">
        <v>3468</v>
      </c>
      <c r="BJ23" s="156">
        <v>2631</v>
      </c>
      <c r="BK23" s="156">
        <v>4158</v>
      </c>
      <c r="BL23" s="156">
        <v>4884</v>
      </c>
      <c r="BM23" s="156">
        <v>3972</v>
      </c>
      <c r="BN23" s="156">
        <v>1904</v>
      </c>
      <c r="BO23" s="156">
        <v>1151</v>
      </c>
      <c r="BP23" s="156">
        <v>2109</v>
      </c>
      <c r="BQ23" s="156">
        <v>2698</v>
      </c>
      <c r="BR23" s="156">
        <v>876</v>
      </c>
      <c r="BS23" s="156">
        <v>189</v>
      </c>
      <c r="BT23" s="156">
        <v>535</v>
      </c>
      <c r="BU23" s="156">
        <v>1184</v>
      </c>
      <c r="BV23" s="156">
        <v>1319</v>
      </c>
      <c r="BW23" s="156">
        <v>836</v>
      </c>
      <c r="BX23" s="156">
        <v>2952</v>
      </c>
      <c r="BY23" s="156">
        <v>3083</v>
      </c>
    </row>
    <row r="24" spans="1:77" s="147" customFormat="1" ht="12.5">
      <c r="A24" s="151" t="s">
        <v>82</v>
      </c>
      <c r="B24" s="156">
        <v>142947</v>
      </c>
      <c r="C24" s="156">
        <v>17216</v>
      </c>
      <c r="D24" s="156">
        <v>8834</v>
      </c>
      <c r="E24" s="156">
        <v>29388</v>
      </c>
      <c r="F24" s="156">
        <v>7103</v>
      </c>
      <c r="G24" s="156">
        <v>40430</v>
      </c>
      <c r="H24" s="156">
        <v>18452</v>
      </c>
      <c r="I24" s="156">
        <v>9963</v>
      </c>
      <c r="J24" s="156">
        <v>11561</v>
      </c>
      <c r="K24" s="156">
        <v>68741</v>
      </c>
      <c r="L24" s="156">
        <v>58442</v>
      </c>
      <c r="M24" s="156">
        <v>8416</v>
      </c>
      <c r="N24" s="156">
        <v>4066</v>
      </c>
      <c r="O24" s="156">
        <v>2251</v>
      </c>
      <c r="P24" s="156">
        <v>1031</v>
      </c>
      <c r="Q24" s="156">
        <v>74206</v>
      </c>
      <c r="R24" s="156">
        <v>3282</v>
      </c>
      <c r="S24" s="156">
        <v>12022</v>
      </c>
      <c r="T24" s="156">
        <v>7017</v>
      </c>
      <c r="U24" s="156">
        <v>918</v>
      </c>
      <c r="V24" s="156">
        <v>12142</v>
      </c>
      <c r="W24" s="156">
        <v>29109</v>
      </c>
      <c r="X24" s="156">
        <v>14436</v>
      </c>
      <c r="Y24" s="156">
        <v>8435</v>
      </c>
      <c r="Z24" s="156">
        <v>2836</v>
      </c>
      <c r="AA24" s="156">
        <v>26454</v>
      </c>
      <c r="AB24" s="156">
        <v>2615</v>
      </c>
      <c r="AC24" s="156">
        <v>4737</v>
      </c>
      <c r="AD24" s="156">
        <v>11051</v>
      </c>
      <c r="AE24" s="156">
        <v>11175</v>
      </c>
      <c r="AF24" s="156">
        <v>13270</v>
      </c>
      <c r="AG24" s="156">
        <v>6687</v>
      </c>
      <c r="AH24" s="156">
        <v>12142</v>
      </c>
      <c r="AI24" s="156">
        <v>48094</v>
      </c>
      <c r="AJ24" s="156">
        <v>44351</v>
      </c>
      <c r="AK24" s="156">
        <v>18403</v>
      </c>
      <c r="AL24" s="156">
        <v>118185</v>
      </c>
      <c r="AM24" s="156">
        <v>14418</v>
      </c>
      <c r="AN24" s="156">
        <v>9873</v>
      </c>
      <c r="AO24" s="156">
        <v>88681</v>
      </c>
      <c r="AP24" s="156">
        <v>11799</v>
      </c>
      <c r="AQ24" s="156">
        <v>42402</v>
      </c>
      <c r="AR24" s="156">
        <v>115868</v>
      </c>
      <c r="AS24" s="156">
        <v>27079</v>
      </c>
      <c r="AT24" s="156">
        <v>11004</v>
      </c>
      <c r="AU24" s="156">
        <v>16075</v>
      </c>
      <c r="AV24" s="156">
        <v>131943</v>
      </c>
      <c r="AW24" s="156">
        <v>8284</v>
      </c>
      <c r="AX24" s="156">
        <v>7791</v>
      </c>
      <c r="AY24" s="156">
        <v>2721</v>
      </c>
      <c r="AZ24" s="156">
        <v>134663</v>
      </c>
      <c r="BA24" s="156">
        <v>19315</v>
      </c>
      <c r="BB24" s="156">
        <v>123632</v>
      </c>
      <c r="BC24" s="156">
        <v>101981</v>
      </c>
      <c r="BD24" s="156">
        <v>54219</v>
      </c>
      <c r="BE24" s="156">
        <v>28001</v>
      </c>
      <c r="BF24" s="156">
        <v>19761</v>
      </c>
      <c r="BG24" s="156">
        <v>73980</v>
      </c>
      <c r="BH24" s="156">
        <v>40966</v>
      </c>
      <c r="BI24" s="156">
        <v>66350</v>
      </c>
      <c r="BJ24" s="156">
        <v>48124</v>
      </c>
      <c r="BK24" s="156">
        <v>86464</v>
      </c>
      <c r="BL24" s="156">
        <v>104003</v>
      </c>
      <c r="BM24" s="156">
        <v>77104</v>
      </c>
      <c r="BN24" s="156">
        <v>32606</v>
      </c>
      <c r="BO24" s="156">
        <v>38944</v>
      </c>
      <c r="BP24" s="156">
        <v>48592</v>
      </c>
      <c r="BQ24" s="156">
        <v>61815</v>
      </c>
      <c r="BR24" s="156">
        <v>25360</v>
      </c>
      <c r="BS24" s="156">
        <v>5765</v>
      </c>
      <c r="BT24" s="156">
        <v>14811</v>
      </c>
      <c r="BU24" s="156">
        <v>27542</v>
      </c>
      <c r="BV24" s="156">
        <v>34430</v>
      </c>
      <c r="BW24" s="156">
        <v>18598</v>
      </c>
      <c r="BX24" s="156">
        <v>75777</v>
      </c>
      <c r="BY24" s="156">
        <v>67170</v>
      </c>
    </row>
    <row r="25" spans="1:77" s="147" customFormat="1" ht="12.5">
      <c r="A25" s="151" t="s">
        <v>315</v>
      </c>
      <c r="B25" s="156">
        <v>46305</v>
      </c>
      <c r="C25" s="156">
        <v>5288</v>
      </c>
      <c r="D25" s="156">
        <v>2384</v>
      </c>
      <c r="E25" s="156">
        <v>10251</v>
      </c>
      <c r="F25" s="156">
        <v>2468</v>
      </c>
      <c r="G25" s="156">
        <v>13696</v>
      </c>
      <c r="H25" s="156">
        <v>5415</v>
      </c>
      <c r="I25" s="156">
        <v>2873</v>
      </c>
      <c r="J25" s="156">
        <v>3931</v>
      </c>
      <c r="K25" s="156">
        <v>21729</v>
      </c>
      <c r="L25" s="156">
        <v>19009</v>
      </c>
      <c r="M25" s="156">
        <v>2991</v>
      </c>
      <c r="N25" s="156">
        <v>1359</v>
      </c>
      <c r="O25" s="156">
        <v>785</v>
      </c>
      <c r="P25" s="156">
        <v>432</v>
      </c>
      <c r="Q25" s="156">
        <v>24576</v>
      </c>
      <c r="R25" s="156">
        <v>1217</v>
      </c>
      <c r="S25" s="156">
        <v>2444</v>
      </c>
      <c r="T25" s="156">
        <v>1867</v>
      </c>
      <c r="U25" s="156">
        <v>348</v>
      </c>
      <c r="V25" s="156">
        <v>3162</v>
      </c>
      <c r="W25" s="156">
        <v>10239</v>
      </c>
      <c r="X25" s="156">
        <v>5880</v>
      </c>
      <c r="Y25" s="156">
        <v>2985</v>
      </c>
      <c r="Z25" s="156">
        <v>738</v>
      </c>
      <c r="AA25" s="156">
        <v>7959</v>
      </c>
      <c r="AB25" s="156">
        <v>1052</v>
      </c>
      <c r="AC25" s="156">
        <v>1859</v>
      </c>
      <c r="AD25" s="156">
        <v>3649</v>
      </c>
      <c r="AE25" s="156">
        <v>4122</v>
      </c>
      <c r="AF25" s="156">
        <v>2923</v>
      </c>
      <c r="AG25" s="156">
        <v>1736</v>
      </c>
      <c r="AH25" s="156">
        <v>3162</v>
      </c>
      <c r="AI25" s="156">
        <v>17808</v>
      </c>
      <c r="AJ25" s="156">
        <v>14116</v>
      </c>
      <c r="AK25" s="156">
        <v>6560</v>
      </c>
      <c r="AL25" s="156">
        <v>36467</v>
      </c>
      <c r="AM25" s="156">
        <v>5972</v>
      </c>
      <c r="AN25" s="156">
        <v>3784</v>
      </c>
      <c r="AO25" s="156">
        <v>26725</v>
      </c>
      <c r="AP25" s="156">
        <v>3717</v>
      </c>
      <c r="AQ25" s="156">
        <v>15822</v>
      </c>
      <c r="AR25" s="156">
        <v>36435</v>
      </c>
      <c r="AS25" s="156">
        <v>9870</v>
      </c>
      <c r="AT25" s="156">
        <v>4139</v>
      </c>
      <c r="AU25" s="156">
        <v>5730</v>
      </c>
      <c r="AV25" s="156">
        <v>42165</v>
      </c>
      <c r="AW25" s="156">
        <v>3350</v>
      </c>
      <c r="AX25" s="156">
        <v>3124</v>
      </c>
      <c r="AY25" s="156">
        <v>789</v>
      </c>
      <c r="AZ25" s="156">
        <v>42954</v>
      </c>
      <c r="BA25" s="156">
        <v>7478</v>
      </c>
      <c r="BB25" s="156">
        <v>38826</v>
      </c>
      <c r="BC25" s="156">
        <v>36518</v>
      </c>
      <c r="BD25" s="156">
        <v>19614</v>
      </c>
      <c r="BE25" s="156">
        <v>10106</v>
      </c>
      <c r="BF25" s="156">
        <v>6798</v>
      </c>
      <c r="BG25" s="156">
        <v>26412</v>
      </c>
      <c r="BH25" s="156">
        <v>9786</v>
      </c>
      <c r="BI25" s="156">
        <v>24700</v>
      </c>
      <c r="BJ25" s="156">
        <v>18731</v>
      </c>
      <c r="BK25" s="156">
        <v>30639</v>
      </c>
      <c r="BL25" s="156">
        <v>36698</v>
      </c>
      <c r="BM25" s="156">
        <v>28767</v>
      </c>
      <c r="BN25" s="156">
        <v>12945</v>
      </c>
      <c r="BO25" s="156">
        <v>9607</v>
      </c>
      <c r="BP25" s="156">
        <v>10544</v>
      </c>
      <c r="BQ25" s="156">
        <v>24110</v>
      </c>
      <c r="BR25" s="156">
        <v>10305</v>
      </c>
      <c r="BS25" s="156">
        <v>1581</v>
      </c>
      <c r="BT25" s="156">
        <v>4861</v>
      </c>
      <c r="BU25" s="156">
        <v>8562</v>
      </c>
      <c r="BV25" s="156">
        <v>10874</v>
      </c>
      <c r="BW25" s="156">
        <v>6843</v>
      </c>
      <c r="BX25" s="156">
        <v>21427</v>
      </c>
      <c r="BY25" s="156">
        <v>24877</v>
      </c>
    </row>
    <row r="26" spans="1:77" s="147" customFormat="1" ht="12.5">
      <c r="A26" s="151"/>
      <c r="B26" s="157">
        <v>0.32</v>
      </c>
      <c r="C26" s="157">
        <v>0.31</v>
      </c>
      <c r="D26" s="157">
        <v>0.27</v>
      </c>
      <c r="E26" s="157">
        <v>0.35</v>
      </c>
      <c r="F26" s="157">
        <v>0.35</v>
      </c>
      <c r="G26" s="157">
        <v>0.34</v>
      </c>
      <c r="H26" s="157">
        <v>0.28999999999999998</v>
      </c>
      <c r="I26" s="157">
        <v>0.28999999999999998</v>
      </c>
      <c r="J26" s="157">
        <v>0.34</v>
      </c>
      <c r="K26" s="157">
        <v>0.32</v>
      </c>
      <c r="L26" s="157">
        <v>0.33</v>
      </c>
      <c r="M26" s="157">
        <v>0.36</v>
      </c>
      <c r="N26" s="157">
        <v>0.33</v>
      </c>
      <c r="O26" s="157">
        <v>0.35</v>
      </c>
      <c r="P26" s="157">
        <v>0.42</v>
      </c>
      <c r="Q26" s="157">
        <v>0.33</v>
      </c>
      <c r="R26" s="157">
        <v>0.37</v>
      </c>
      <c r="S26" s="157">
        <v>0.2</v>
      </c>
      <c r="T26" s="157">
        <v>0.27</v>
      </c>
      <c r="U26" s="157">
        <v>0.38</v>
      </c>
      <c r="V26" s="157">
        <v>0.26</v>
      </c>
      <c r="W26" s="157">
        <v>0.35</v>
      </c>
      <c r="X26" s="157">
        <v>0.41</v>
      </c>
      <c r="Y26" s="157">
        <v>0.35</v>
      </c>
      <c r="Z26" s="157">
        <v>0.26</v>
      </c>
      <c r="AA26" s="157">
        <v>0.3</v>
      </c>
      <c r="AB26" s="157">
        <v>0.4</v>
      </c>
      <c r="AC26" s="157">
        <v>0.39</v>
      </c>
      <c r="AD26" s="157">
        <v>0.33</v>
      </c>
      <c r="AE26" s="157">
        <v>0.37</v>
      </c>
      <c r="AF26" s="157">
        <v>0.22</v>
      </c>
      <c r="AG26" s="157">
        <v>0.26</v>
      </c>
      <c r="AH26" s="157">
        <v>0.26</v>
      </c>
      <c r="AI26" s="157">
        <v>0.37</v>
      </c>
      <c r="AJ26" s="157">
        <v>0.32</v>
      </c>
      <c r="AK26" s="157">
        <v>0.36</v>
      </c>
      <c r="AL26" s="157">
        <v>0.31</v>
      </c>
      <c r="AM26" s="157">
        <v>0.41</v>
      </c>
      <c r="AN26" s="157">
        <v>0.38</v>
      </c>
      <c r="AO26" s="157">
        <v>0.3</v>
      </c>
      <c r="AP26" s="157">
        <v>0.31</v>
      </c>
      <c r="AQ26" s="157">
        <v>0.37</v>
      </c>
      <c r="AR26" s="157">
        <v>0.31</v>
      </c>
      <c r="AS26" s="157">
        <v>0.36</v>
      </c>
      <c r="AT26" s="157">
        <v>0.38</v>
      </c>
      <c r="AU26" s="157">
        <v>0.36</v>
      </c>
      <c r="AV26" s="157">
        <v>0.32</v>
      </c>
      <c r="AW26" s="157">
        <v>0.4</v>
      </c>
      <c r="AX26" s="157">
        <v>0.4</v>
      </c>
      <c r="AY26" s="157">
        <v>0.28999999999999998</v>
      </c>
      <c r="AZ26" s="157">
        <v>0.32</v>
      </c>
      <c r="BA26" s="157">
        <v>0.39</v>
      </c>
      <c r="BB26" s="157">
        <v>0.31</v>
      </c>
      <c r="BC26" s="157">
        <v>0.36</v>
      </c>
      <c r="BD26" s="157">
        <v>0.36</v>
      </c>
      <c r="BE26" s="157">
        <v>0.36</v>
      </c>
      <c r="BF26" s="157">
        <v>0.34</v>
      </c>
      <c r="BG26" s="157">
        <v>0.36</v>
      </c>
      <c r="BH26" s="157">
        <v>0.24</v>
      </c>
      <c r="BI26" s="157">
        <v>0.37</v>
      </c>
      <c r="BJ26" s="157">
        <v>0.39</v>
      </c>
      <c r="BK26" s="157">
        <v>0.35</v>
      </c>
      <c r="BL26" s="157">
        <v>0.35</v>
      </c>
      <c r="BM26" s="157">
        <v>0.37</v>
      </c>
      <c r="BN26" s="157">
        <v>0.4</v>
      </c>
      <c r="BO26" s="157">
        <v>0.25</v>
      </c>
      <c r="BP26" s="157">
        <v>0.22</v>
      </c>
      <c r="BQ26" s="157">
        <v>0.39</v>
      </c>
      <c r="BR26" s="157">
        <v>0.41</v>
      </c>
      <c r="BS26" s="157">
        <v>0.27</v>
      </c>
      <c r="BT26" s="157">
        <v>0.33</v>
      </c>
      <c r="BU26" s="157">
        <v>0.31</v>
      </c>
      <c r="BV26" s="157">
        <v>0.32</v>
      </c>
      <c r="BW26" s="157">
        <v>0.37</v>
      </c>
      <c r="BX26" s="157">
        <v>0.28000000000000003</v>
      </c>
      <c r="BY26" s="157">
        <v>0.37</v>
      </c>
    </row>
  </sheetData>
  <mergeCells count="16">
    <mergeCell ref="BX20:BY20"/>
    <mergeCell ref="BA20:BB20"/>
    <mergeCell ref="BC20:BH20"/>
    <mergeCell ref="BI20:BO20"/>
    <mergeCell ref="BP20:BR20"/>
    <mergeCell ref="BS20:BW20"/>
    <mergeCell ref="S20:AE20"/>
    <mergeCell ref="AF20:AK20"/>
    <mergeCell ref="AL20:AN20"/>
    <mergeCell ref="AO20:AQ20"/>
    <mergeCell ref="AR20:AZ20"/>
    <mergeCell ref="A8:B8"/>
    <mergeCell ref="C8:O8"/>
    <mergeCell ref="A20:B20"/>
    <mergeCell ref="C20:J20"/>
    <mergeCell ref="K20:R20"/>
  </mergeCells>
  <hyperlinks>
    <hyperlink ref="A3" location="Contents!B1" display="Back to contents" xr:uid="{00000000-0004-0000-6600-000000000000}"/>
    <hyperlink ref="B16" location="Contents!B1" display="Back to contents" xr:uid="{00000000-0004-0000-6600-000001000000}"/>
  </hyperlinks>
  <pageMargins left="0.70000000000000007" right="0.70000000000000007" top="0.75" bottom="0.75" header="0.30000000000000004" footer="0.30000000000000004"/>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autoPageBreaks="0"/>
  </sheetPr>
  <dimension ref="A1:CE32"/>
  <sheetViews>
    <sheetView workbookViewId="0"/>
  </sheetViews>
  <sheetFormatPr defaultColWidth="8.7265625" defaultRowHeight="14.5"/>
  <cols>
    <col min="1" max="1" width="50.453125" style="158" customWidth="1"/>
    <col min="2" max="2" width="7.7265625" customWidth="1"/>
    <col min="3" max="3" width="28.26953125" bestFit="1" customWidth="1"/>
    <col min="4" max="4" width="12.7265625" customWidth="1"/>
    <col min="5" max="5" width="17.7265625" customWidth="1"/>
    <col min="6" max="6" width="22.54296875" bestFit="1" customWidth="1"/>
    <col min="7" max="7" width="23" bestFit="1" customWidth="1"/>
    <col min="8" max="8" width="12.7265625" customWidth="1"/>
    <col min="9" max="9" width="12" bestFit="1" customWidth="1"/>
    <col min="10" max="10" width="15.7265625" customWidth="1"/>
    <col min="11" max="11" width="21.1796875" bestFit="1" customWidth="1"/>
    <col min="12" max="12" width="11.7265625" bestFit="1" customWidth="1"/>
    <col min="13" max="13" width="8.7265625" customWidth="1"/>
    <col min="14" max="14" width="10.7265625" customWidth="1"/>
    <col min="15" max="15" width="22.7265625" customWidth="1"/>
    <col min="16" max="16" width="36" bestFit="1" customWidth="1"/>
    <col min="17" max="17" width="14.7265625" customWidth="1"/>
    <col min="18" max="20" width="12.7265625" customWidth="1"/>
    <col min="21" max="21" width="13.7265625" bestFit="1" customWidth="1"/>
    <col min="22" max="22" width="8.81640625" bestFit="1" customWidth="1"/>
    <col min="25" max="25" width="8.81640625" bestFit="1" customWidth="1"/>
    <col min="26" max="26" width="24.1796875" bestFit="1" customWidth="1"/>
    <col min="27" max="28" width="16.7265625" customWidth="1"/>
    <col min="29" max="29" width="18.7265625" customWidth="1"/>
    <col min="30" max="30" width="19.26953125" bestFit="1" customWidth="1"/>
    <col min="31" max="31" width="24.7265625" customWidth="1"/>
    <col min="32" max="32" width="29.7265625" bestFit="1" customWidth="1"/>
    <col min="33" max="33" width="18.7265625" customWidth="1"/>
    <col min="34" max="34" width="17.453125" bestFit="1" customWidth="1"/>
    <col min="35" max="35" width="13.7265625" customWidth="1"/>
    <col min="36" max="36" width="16.7265625" customWidth="1"/>
    <col min="37" max="37" width="19.81640625" bestFit="1" customWidth="1"/>
    <col min="38" max="38" width="20.453125" bestFit="1" customWidth="1"/>
    <col min="39" max="39" width="26.453125" bestFit="1" customWidth="1"/>
    <col min="40" max="40" width="16.7265625" customWidth="1"/>
    <col min="41" max="41" width="25.7265625" customWidth="1"/>
    <col min="42" max="42" width="36.1796875" bestFit="1" customWidth="1"/>
    <col min="43" max="43" width="27.26953125" bestFit="1" customWidth="1"/>
    <col min="44" max="44" width="22.7265625" customWidth="1"/>
    <col min="45" max="45" width="20.7265625" customWidth="1"/>
    <col min="46" max="46" width="24.7265625" customWidth="1"/>
    <col min="47" max="47" width="27.453125" bestFit="1" customWidth="1"/>
    <col min="48" max="48" width="20.7265625" customWidth="1"/>
    <col min="49" max="49" width="22.7265625" customWidth="1"/>
    <col min="50" max="50" width="24.81640625" bestFit="1" customWidth="1"/>
    <col min="51" max="51" width="18.7265625" customWidth="1"/>
    <col min="52" max="52" width="38.7265625" customWidth="1"/>
    <col min="53" max="53" width="27.7265625" customWidth="1"/>
    <col min="54" max="54" width="24.7265625" customWidth="1"/>
    <col min="55" max="55" width="22.81640625" bestFit="1" customWidth="1"/>
    <col min="56" max="56" width="16.7265625" bestFit="1" customWidth="1"/>
    <col min="57" max="57" width="16.7265625" customWidth="1"/>
    <col min="58" max="58" width="22.7265625" customWidth="1"/>
    <col min="59" max="59" width="31.1796875" bestFit="1" customWidth="1"/>
    <col min="60" max="60" width="15.7265625" customWidth="1"/>
    <col min="61" max="61" width="21.7265625" customWidth="1"/>
    <col min="62" max="62" width="26.1796875" bestFit="1" customWidth="1"/>
    <col min="63" max="63" width="31.7265625" customWidth="1"/>
    <col min="64" max="64" width="37" bestFit="1" customWidth="1"/>
    <col min="65" max="65" width="19.7265625" customWidth="1"/>
    <col min="66" max="67" width="16.7265625" customWidth="1"/>
    <col min="68" max="68" width="14.26953125" bestFit="1" customWidth="1"/>
    <col min="69" max="69" width="10.7265625" customWidth="1"/>
    <col min="70" max="70" width="18.7265625" customWidth="1"/>
    <col min="71" max="71" width="15.7265625" customWidth="1"/>
    <col min="72" max="72" width="16.7265625" customWidth="1"/>
    <col min="73" max="73" width="20.7265625" customWidth="1"/>
    <col min="74" max="74" width="25.7265625" bestFit="1" customWidth="1"/>
    <col min="75" max="75" width="18" bestFit="1" customWidth="1"/>
    <col min="76" max="76" width="12.7265625" customWidth="1"/>
    <col min="77" max="77" width="48.7265625" customWidth="1"/>
    <col min="78" max="78" width="55.1796875" bestFit="1" customWidth="1"/>
    <col min="79" max="79" width="30.7265625" customWidth="1"/>
    <col min="80" max="81" width="18.7265625" customWidth="1"/>
    <col min="82" max="83" width="15.7265625" customWidth="1"/>
  </cols>
  <sheetData>
    <row r="1" spans="1:83" s="147" customFormat="1" ht="12.5">
      <c r="A1" s="146" t="s">
        <v>331</v>
      </c>
    </row>
    <row r="2" spans="1:83" s="149" customFormat="1" ht="15.5">
      <c r="A2" s="148" t="s">
        <v>330</v>
      </c>
    </row>
    <row r="3" spans="1:83" s="147" customFormat="1">
      <c r="A3" s="150" t="s">
        <v>329</v>
      </c>
    </row>
    <row r="4" spans="1:83" s="147" customFormat="1" ht="12.5">
      <c r="A4" s="151" t="s">
        <v>333</v>
      </c>
    </row>
    <row r="5" spans="1:83" s="147" customFormat="1" ht="12.5">
      <c r="A5" s="151"/>
    </row>
    <row r="6" spans="1:83" s="153" customFormat="1" ht="13">
      <c r="A6" s="152" t="s">
        <v>334</v>
      </c>
    </row>
    <row r="7" spans="1:83" s="147" customFormat="1" ht="12.5">
      <c r="A7" s="151" t="s">
        <v>326</v>
      </c>
    </row>
    <row r="8" spans="1:83" s="147" customFormat="1" ht="13">
      <c r="A8" s="631"/>
      <c r="B8" s="632"/>
      <c r="C8" s="633" t="s">
        <v>119</v>
      </c>
      <c r="D8" s="634"/>
      <c r="E8" s="634"/>
      <c r="F8" s="634"/>
      <c r="G8" s="634"/>
      <c r="H8" s="634"/>
      <c r="I8" s="634"/>
      <c r="J8" s="634"/>
      <c r="K8" s="634"/>
      <c r="L8" s="634"/>
      <c r="M8" s="634"/>
      <c r="N8" s="634"/>
      <c r="O8" s="634"/>
      <c r="P8" s="635"/>
      <c r="Q8" s="633" t="s">
        <v>335</v>
      </c>
      <c r="R8" s="634"/>
      <c r="S8" s="634"/>
      <c r="T8" s="634"/>
      <c r="U8" s="634"/>
      <c r="V8" s="634"/>
      <c r="W8" s="634"/>
      <c r="X8" s="634"/>
      <c r="Y8" s="635"/>
      <c r="Z8" s="633" t="s">
        <v>336</v>
      </c>
      <c r="AA8" s="634"/>
      <c r="AB8" s="634"/>
      <c r="AC8" s="634"/>
      <c r="AD8" s="634"/>
      <c r="AE8" s="634"/>
      <c r="AF8" s="634"/>
      <c r="AG8" s="634"/>
      <c r="AH8" s="634"/>
      <c r="AI8" s="634"/>
      <c r="AJ8" s="634"/>
      <c r="AK8" s="634"/>
      <c r="AL8" s="635"/>
      <c r="AM8" s="633" t="s">
        <v>337</v>
      </c>
      <c r="AN8" s="634"/>
      <c r="AO8" s="634"/>
      <c r="AP8" s="634"/>
      <c r="AQ8" s="634"/>
      <c r="AR8" s="635"/>
      <c r="AS8" s="633" t="s">
        <v>338</v>
      </c>
      <c r="AT8" s="634"/>
      <c r="AU8" s="635"/>
      <c r="AV8" s="633" t="s">
        <v>339</v>
      </c>
      <c r="AW8" s="634"/>
      <c r="AX8" s="634"/>
      <c r="AY8" s="635"/>
      <c r="AZ8" s="633" t="s">
        <v>340</v>
      </c>
      <c r="BA8" s="634"/>
      <c r="BB8" s="634"/>
      <c r="BC8" s="634"/>
      <c r="BD8" s="634"/>
      <c r="BE8" s="634"/>
      <c r="BF8" s="634"/>
      <c r="BG8" s="634"/>
      <c r="BH8" s="635"/>
      <c r="BI8" s="633" t="s">
        <v>341</v>
      </c>
      <c r="BJ8" s="635"/>
      <c r="BK8" s="633" t="s">
        <v>342</v>
      </c>
      <c r="BL8" s="634"/>
      <c r="BM8" s="634"/>
      <c r="BN8" s="634"/>
      <c r="BO8" s="634"/>
      <c r="BP8" s="634"/>
      <c r="BQ8" s="635"/>
      <c r="BR8" s="633" t="s">
        <v>343</v>
      </c>
      <c r="BS8" s="634"/>
      <c r="BT8" s="634"/>
      <c r="BU8" s="634"/>
      <c r="BV8" s="634"/>
      <c r="BW8" s="634"/>
      <c r="BX8" s="635"/>
      <c r="BY8" s="633" t="s">
        <v>344</v>
      </c>
      <c r="BZ8" s="635"/>
      <c r="CA8" s="633" t="s">
        <v>345</v>
      </c>
      <c r="CB8" s="634"/>
      <c r="CC8" s="635"/>
      <c r="CD8" s="633" t="s">
        <v>346</v>
      </c>
      <c r="CE8" s="635"/>
    </row>
    <row r="9" spans="1:83" s="147" customFormat="1" ht="13">
      <c r="A9" s="151"/>
      <c r="B9" s="154" t="s">
        <v>45</v>
      </c>
      <c r="C9" s="154" t="s">
        <v>325</v>
      </c>
      <c r="D9" s="154" t="s">
        <v>324</v>
      </c>
      <c r="E9" s="154" t="s">
        <v>323</v>
      </c>
      <c r="F9" s="154" t="s">
        <v>19</v>
      </c>
      <c r="G9" s="154" t="s">
        <v>322</v>
      </c>
      <c r="H9" s="154" t="s">
        <v>26</v>
      </c>
      <c r="I9" s="154" t="s">
        <v>321</v>
      </c>
      <c r="J9" s="154" t="s">
        <v>320</v>
      </c>
      <c r="K9" s="154" t="s">
        <v>319</v>
      </c>
      <c r="L9" s="154" t="s">
        <v>318</v>
      </c>
      <c r="M9" s="154" t="s">
        <v>317</v>
      </c>
      <c r="N9" s="154" t="s">
        <v>316</v>
      </c>
      <c r="O9" s="154" t="s">
        <v>44</v>
      </c>
      <c r="P9" s="154" t="s">
        <v>347</v>
      </c>
      <c r="Q9" s="155" t="s">
        <v>348</v>
      </c>
      <c r="R9" s="155" t="s">
        <v>349</v>
      </c>
      <c r="S9" s="155" t="s">
        <v>350</v>
      </c>
      <c r="T9" s="155" t="s">
        <v>351</v>
      </c>
      <c r="U9" s="155" t="s">
        <v>352</v>
      </c>
      <c r="V9" s="155" t="s">
        <v>353</v>
      </c>
      <c r="W9" s="155" t="s">
        <v>354</v>
      </c>
      <c r="X9" s="155" t="s">
        <v>355</v>
      </c>
      <c r="Y9" s="155" t="s">
        <v>356</v>
      </c>
      <c r="Z9" s="154" t="s">
        <v>357</v>
      </c>
      <c r="AA9" s="154" t="s">
        <v>358</v>
      </c>
      <c r="AB9" s="154" t="s">
        <v>359</v>
      </c>
      <c r="AC9" s="154" t="s">
        <v>360</v>
      </c>
      <c r="AD9" s="154" t="s">
        <v>361</v>
      </c>
      <c r="AE9" s="154" t="s">
        <v>362</v>
      </c>
      <c r="AF9" s="154" t="s">
        <v>363</v>
      </c>
      <c r="AG9" s="154" t="s">
        <v>364</v>
      </c>
      <c r="AH9" s="154" t="s">
        <v>365</v>
      </c>
      <c r="AI9" s="154" t="s">
        <v>366</v>
      </c>
      <c r="AJ9" s="154" t="s">
        <v>367</v>
      </c>
      <c r="AK9" s="154" t="s">
        <v>368</v>
      </c>
      <c r="AL9" s="154" t="s">
        <v>369</v>
      </c>
      <c r="AM9" s="154" t="s">
        <v>370</v>
      </c>
      <c r="AN9" s="154" t="s">
        <v>358</v>
      </c>
      <c r="AO9" s="154" t="s">
        <v>359</v>
      </c>
      <c r="AP9" s="154" t="s">
        <v>371</v>
      </c>
      <c r="AQ9" s="154" t="s">
        <v>372</v>
      </c>
      <c r="AR9" s="154" t="s">
        <v>373</v>
      </c>
      <c r="AS9" s="154" t="s">
        <v>374</v>
      </c>
      <c r="AT9" s="154" t="s">
        <v>375</v>
      </c>
      <c r="AU9" s="154" t="s">
        <v>376</v>
      </c>
      <c r="AV9" s="154" t="s">
        <v>377</v>
      </c>
      <c r="AW9" s="154" t="s">
        <v>378</v>
      </c>
      <c r="AX9" s="154" t="s">
        <v>379</v>
      </c>
      <c r="AY9" s="154" t="s">
        <v>380</v>
      </c>
      <c r="AZ9" s="154" t="s">
        <v>381</v>
      </c>
      <c r="BA9" s="154" t="s">
        <v>382</v>
      </c>
      <c r="BB9" s="154" t="s">
        <v>383</v>
      </c>
      <c r="BC9" s="154" t="s">
        <v>384</v>
      </c>
      <c r="BD9" s="154" t="s">
        <v>385</v>
      </c>
      <c r="BE9" s="154" t="s">
        <v>386</v>
      </c>
      <c r="BF9" s="154" t="s">
        <v>387</v>
      </c>
      <c r="BG9" s="154" t="s">
        <v>388</v>
      </c>
      <c r="BH9" s="154" t="s">
        <v>389</v>
      </c>
      <c r="BI9" s="154" t="s">
        <v>390</v>
      </c>
      <c r="BJ9" s="154" t="s">
        <v>391</v>
      </c>
      <c r="BK9" s="154" t="s">
        <v>392</v>
      </c>
      <c r="BL9" s="154" t="s">
        <v>393</v>
      </c>
      <c r="BM9" s="154" t="s">
        <v>394</v>
      </c>
      <c r="BN9" s="154" t="s">
        <v>395</v>
      </c>
      <c r="BO9" s="154" t="s">
        <v>396</v>
      </c>
      <c r="BP9" s="154" t="s">
        <v>397</v>
      </c>
      <c r="BQ9" s="154" t="s">
        <v>398</v>
      </c>
      <c r="BR9" s="154" t="s">
        <v>399</v>
      </c>
      <c r="BS9" s="154" t="s">
        <v>400</v>
      </c>
      <c r="BT9" s="154" t="s">
        <v>401</v>
      </c>
      <c r="BU9" s="154" t="s">
        <v>402</v>
      </c>
      <c r="BV9" s="154" t="s">
        <v>403</v>
      </c>
      <c r="BW9" s="154" t="s">
        <v>404</v>
      </c>
      <c r="BX9" s="154" t="s">
        <v>398</v>
      </c>
      <c r="BY9" s="154" t="s">
        <v>405</v>
      </c>
      <c r="BZ9" s="154" t="s">
        <v>406</v>
      </c>
      <c r="CA9" s="154" t="s">
        <v>407</v>
      </c>
      <c r="CB9" s="155" t="s">
        <v>408</v>
      </c>
      <c r="CC9" s="154" t="s">
        <v>409</v>
      </c>
      <c r="CD9" s="154" t="s">
        <v>410</v>
      </c>
      <c r="CE9" s="154" t="s">
        <v>411</v>
      </c>
    </row>
    <row r="10" spans="1:83" s="147" customFormat="1" ht="12.5">
      <c r="A10" s="151" t="s">
        <v>412</v>
      </c>
      <c r="B10" s="156"/>
      <c r="C10" s="156" t="s">
        <v>413</v>
      </c>
      <c r="D10" s="156" t="s">
        <v>414</v>
      </c>
      <c r="E10" s="156" t="s">
        <v>415</v>
      </c>
      <c r="F10" s="156" t="s">
        <v>416</v>
      </c>
      <c r="G10" s="156" t="s">
        <v>417</v>
      </c>
      <c r="H10" s="156" t="s">
        <v>418</v>
      </c>
      <c r="I10" s="156" t="s">
        <v>419</v>
      </c>
      <c r="J10" s="156" t="s">
        <v>420</v>
      </c>
      <c r="K10" s="156" t="s">
        <v>421</v>
      </c>
      <c r="L10" s="156" t="s">
        <v>422</v>
      </c>
      <c r="M10" s="156" t="s">
        <v>423</v>
      </c>
      <c r="N10" s="156" t="s">
        <v>424</v>
      </c>
      <c r="O10" s="156" t="s">
        <v>425</v>
      </c>
      <c r="P10" s="156" t="s">
        <v>426</v>
      </c>
      <c r="Q10" s="156" t="s">
        <v>413</v>
      </c>
      <c r="R10" s="156" t="s">
        <v>414</v>
      </c>
      <c r="S10" s="156" t="s">
        <v>415</v>
      </c>
      <c r="T10" s="156" t="s">
        <v>416</v>
      </c>
      <c r="U10" s="156" t="s">
        <v>417</v>
      </c>
      <c r="V10" s="156" t="s">
        <v>418</v>
      </c>
      <c r="W10" s="156" t="s">
        <v>419</v>
      </c>
      <c r="X10" s="156" t="s">
        <v>420</v>
      </c>
      <c r="Y10" s="156" t="s">
        <v>421</v>
      </c>
      <c r="Z10" s="156" t="s">
        <v>413</v>
      </c>
      <c r="AA10" s="156" t="s">
        <v>414</v>
      </c>
      <c r="AB10" s="156" t="s">
        <v>415</v>
      </c>
      <c r="AC10" s="156" t="s">
        <v>416</v>
      </c>
      <c r="AD10" s="156" t="s">
        <v>417</v>
      </c>
      <c r="AE10" s="156" t="s">
        <v>418</v>
      </c>
      <c r="AF10" s="156" t="s">
        <v>419</v>
      </c>
      <c r="AG10" s="156" t="s">
        <v>420</v>
      </c>
      <c r="AH10" s="156" t="s">
        <v>421</v>
      </c>
      <c r="AI10" s="156" t="s">
        <v>422</v>
      </c>
      <c r="AJ10" s="156" t="s">
        <v>423</v>
      </c>
      <c r="AK10" s="156" t="s">
        <v>424</v>
      </c>
      <c r="AL10" s="156" t="s">
        <v>425</v>
      </c>
      <c r="AM10" s="156" t="s">
        <v>413</v>
      </c>
      <c r="AN10" s="156" t="s">
        <v>414</v>
      </c>
      <c r="AO10" s="156" t="s">
        <v>415</v>
      </c>
      <c r="AP10" s="156" t="s">
        <v>416</v>
      </c>
      <c r="AQ10" s="156" t="s">
        <v>417</v>
      </c>
      <c r="AR10" s="156" t="s">
        <v>418</v>
      </c>
      <c r="AS10" s="156" t="s">
        <v>413</v>
      </c>
      <c r="AT10" s="156" t="s">
        <v>414</v>
      </c>
      <c r="AU10" s="156" t="s">
        <v>415</v>
      </c>
      <c r="AV10" s="156" t="s">
        <v>413</v>
      </c>
      <c r="AW10" s="156" t="s">
        <v>414</v>
      </c>
      <c r="AX10" s="156" t="s">
        <v>415</v>
      </c>
      <c r="AY10" s="156" t="s">
        <v>416</v>
      </c>
      <c r="AZ10" s="156" t="s">
        <v>413</v>
      </c>
      <c r="BA10" s="156" t="s">
        <v>414</v>
      </c>
      <c r="BB10" s="156" t="s">
        <v>415</v>
      </c>
      <c r="BC10" s="156" t="s">
        <v>416</v>
      </c>
      <c r="BD10" s="156" t="s">
        <v>417</v>
      </c>
      <c r="BE10" s="156" t="s">
        <v>418</v>
      </c>
      <c r="BF10" s="156" t="s">
        <v>419</v>
      </c>
      <c r="BG10" s="156" t="s">
        <v>420</v>
      </c>
      <c r="BH10" s="156" t="s">
        <v>421</v>
      </c>
      <c r="BI10" s="156" t="s">
        <v>413</v>
      </c>
      <c r="BJ10" s="156" t="s">
        <v>414</v>
      </c>
      <c r="BK10" s="156" t="s">
        <v>413</v>
      </c>
      <c r="BL10" s="156" t="s">
        <v>414</v>
      </c>
      <c r="BM10" s="156" t="s">
        <v>415</v>
      </c>
      <c r="BN10" s="156" t="s">
        <v>416</v>
      </c>
      <c r="BO10" s="156" t="s">
        <v>417</v>
      </c>
      <c r="BP10" s="156" t="s">
        <v>418</v>
      </c>
      <c r="BQ10" s="156" t="s">
        <v>419</v>
      </c>
      <c r="BR10" s="156" t="s">
        <v>413</v>
      </c>
      <c r="BS10" s="156" t="s">
        <v>414</v>
      </c>
      <c r="BT10" s="156" t="s">
        <v>415</v>
      </c>
      <c r="BU10" s="156" t="s">
        <v>416</v>
      </c>
      <c r="BV10" s="156" t="s">
        <v>417</v>
      </c>
      <c r="BW10" s="156" t="s">
        <v>418</v>
      </c>
      <c r="BX10" s="156" t="s">
        <v>419</v>
      </c>
      <c r="BY10" s="156" t="s">
        <v>413</v>
      </c>
      <c r="BZ10" s="156" t="s">
        <v>414</v>
      </c>
      <c r="CA10" s="156" t="s">
        <v>413</v>
      </c>
      <c r="CB10" s="156" t="s">
        <v>414</v>
      </c>
      <c r="CC10" s="156" t="s">
        <v>415</v>
      </c>
      <c r="CD10" s="156" t="s">
        <v>413</v>
      </c>
      <c r="CE10" s="156" t="s">
        <v>414</v>
      </c>
    </row>
    <row r="11" spans="1:83" s="147" customFormat="1" ht="12.5">
      <c r="A11" s="151" t="s">
        <v>427</v>
      </c>
      <c r="B11" s="156">
        <v>6017</v>
      </c>
      <c r="C11" s="156">
        <v>865</v>
      </c>
      <c r="D11" s="156">
        <v>291</v>
      </c>
      <c r="E11" s="156">
        <v>183</v>
      </c>
      <c r="F11" s="156">
        <v>267</v>
      </c>
      <c r="G11" s="156">
        <v>834</v>
      </c>
      <c r="H11" s="156">
        <v>257</v>
      </c>
      <c r="I11" s="156">
        <v>336</v>
      </c>
      <c r="J11" s="156">
        <v>824</v>
      </c>
      <c r="K11" s="156">
        <v>817</v>
      </c>
      <c r="L11" s="156">
        <v>509</v>
      </c>
      <c r="M11" s="156">
        <v>498</v>
      </c>
      <c r="N11" s="156">
        <v>284</v>
      </c>
      <c r="O11" s="156">
        <v>167</v>
      </c>
      <c r="P11" s="156">
        <v>450</v>
      </c>
      <c r="Q11" s="156">
        <v>995</v>
      </c>
      <c r="R11" s="156">
        <v>3138</v>
      </c>
      <c r="S11" s="156">
        <v>1026</v>
      </c>
      <c r="T11" s="156">
        <v>482</v>
      </c>
      <c r="U11" s="156">
        <v>284</v>
      </c>
      <c r="V11" s="156">
        <v>92</v>
      </c>
      <c r="W11" s="156">
        <v>5022</v>
      </c>
      <c r="X11" s="156">
        <v>1884</v>
      </c>
      <c r="Y11" s="156">
        <v>376</v>
      </c>
      <c r="Z11" s="156">
        <v>445</v>
      </c>
      <c r="AA11" s="156">
        <v>409</v>
      </c>
      <c r="AB11" s="156">
        <v>424</v>
      </c>
      <c r="AC11" s="156">
        <v>933</v>
      </c>
      <c r="AD11" s="156">
        <v>580</v>
      </c>
      <c r="AE11" s="156">
        <v>329</v>
      </c>
      <c r="AF11" s="156">
        <v>255</v>
      </c>
      <c r="AG11" s="156">
        <v>207</v>
      </c>
      <c r="AH11" s="156">
        <v>838</v>
      </c>
      <c r="AI11" s="156">
        <v>158</v>
      </c>
      <c r="AJ11" s="156">
        <v>379</v>
      </c>
      <c r="AK11" s="156">
        <v>573</v>
      </c>
      <c r="AL11" s="156">
        <v>487</v>
      </c>
      <c r="AM11" s="156">
        <v>445</v>
      </c>
      <c r="AN11" s="156">
        <v>409</v>
      </c>
      <c r="AO11" s="156">
        <v>424</v>
      </c>
      <c r="AP11" s="156">
        <v>1842</v>
      </c>
      <c r="AQ11" s="156">
        <v>1787</v>
      </c>
      <c r="AR11" s="156">
        <v>1110</v>
      </c>
      <c r="AS11" s="156">
        <v>4676</v>
      </c>
      <c r="AT11" s="156">
        <v>699</v>
      </c>
      <c r="AU11" s="156">
        <v>613</v>
      </c>
      <c r="AV11" s="156">
        <v>3081</v>
      </c>
      <c r="AW11" s="156">
        <v>664</v>
      </c>
      <c r="AX11" s="156">
        <v>2260</v>
      </c>
      <c r="AY11" s="156">
        <v>2936</v>
      </c>
      <c r="AZ11" s="156">
        <v>4190</v>
      </c>
      <c r="BA11" s="156">
        <v>1827</v>
      </c>
      <c r="BB11" s="156">
        <v>735</v>
      </c>
      <c r="BC11" s="156">
        <v>1092</v>
      </c>
      <c r="BD11" s="156">
        <v>5282</v>
      </c>
      <c r="BE11" s="156">
        <v>552</v>
      </c>
      <c r="BF11" s="156">
        <v>505</v>
      </c>
      <c r="BG11" s="156">
        <v>183</v>
      </c>
      <c r="BH11" s="156">
        <v>5465</v>
      </c>
      <c r="BI11" s="156">
        <v>1502</v>
      </c>
      <c r="BJ11" s="156">
        <v>4515</v>
      </c>
      <c r="BK11" s="156">
        <v>4999</v>
      </c>
      <c r="BL11" s="156">
        <v>3301</v>
      </c>
      <c r="BM11" s="156">
        <v>1062</v>
      </c>
      <c r="BN11" s="156">
        <v>636</v>
      </c>
      <c r="BO11" s="156">
        <v>3937</v>
      </c>
      <c r="BP11" s="156">
        <v>4363</v>
      </c>
      <c r="BQ11" s="156">
        <v>1018</v>
      </c>
      <c r="BR11" s="156">
        <v>4029</v>
      </c>
      <c r="BS11" s="156">
        <v>3719</v>
      </c>
      <c r="BT11" s="156">
        <v>2996</v>
      </c>
      <c r="BU11" s="156">
        <v>4919</v>
      </c>
      <c r="BV11" s="156">
        <v>4760</v>
      </c>
      <c r="BW11" s="156">
        <v>2134</v>
      </c>
      <c r="BX11" s="156">
        <v>1098</v>
      </c>
      <c r="BY11" s="156">
        <v>1245</v>
      </c>
      <c r="BZ11" s="156">
        <v>3543</v>
      </c>
      <c r="CA11" s="156">
        <v>2001</v>
      </c>
      <c r="CB11" s="156">
        <v>2777</v>
      </c>
      <c r="CC11" s="156">
        <v>950</v>
      </c>
      <c r="CD11" s="156">
        <v>2925</v>
      </c>
      <c r="CE11" s="156">
        <v>3092</v>
      </c>
    </row>
    <row r="12" spans="1:83" s="147" customFormat="1" ht="12.5">
      <c r="A12" s="151" t="s">
        <v>82</v>
      </c>
      <c r="B12" s="156">
        <v>150502</v>
      </c>
      <c r="C12" s="156">
        <v>17646</v>
      </c>
      <c r="D12" s="156">
        <v>9495</v>
      </c>
      <c r="E12" s="156">
        <v>4345</v>
      </c>
      <c r="F12" s="156">
        <v>5980</v>
      </c>
      <c r="G12" s="156">
        <v>19046</v>
      </c>
      <c r="H12" s="156">
        <v>8251</v>
      </c>
      <c r="I12" s="156">
        <v>7513</v>
      </c>
      <c r="J12" s="156">
        <v>20628</v>
      </c>
      <c r="K12" s="156">
        <v>18979</v>
      </c>
      <c r="L12" s="156">
        <v>17043</v>
      </c>
      <c r="M12" s="156">
        <v>12203</v>
      </c>
      <c r="N12" s="156">
        <v>9257</v>
      </c>
      <c r="O12" s="156">
        <v>4040</v>
      </c>
      <c r="P12" s="156">
        <v>10325</v>
      </c>
      <c r="Q12" s="156">
        <v>75564</v>
      </c>
      <c r="R12" s="156">
        <v>58744</v>
      </c>
      <c r="S12" s="156">
        <v>8620</v>
      </c>
      <c r="T12" s="156">
        <v>4249</v>
      </c>
      <c r="U12" s="156">
        <v>2326</v>
      </c>
      <c r="V12" s="156">
        <v>999</v>
      </c>
      <c r="W12" s="156">
        <v>74938</v>
      </c>
      <c r="X12" s="156">
        <v>16194</v>
      </c>
      <c r="Y12" s="156">
        <v>3325</v>
      </c>
      <c r="Z12" s="156">
        <v>13274</v>
      </c>
      <c r="AA12" s="156">
        <v>7015</v>
      </c>
      <c r="AB12" s="156">
        <v>12821</v>
      </c>
      <c r="AC12" s="156">
        <v>29113</v>
      </c>
      <c r="AD12" s="156">
        <v>15551</v>
      </c>
      <c r="AE12" s="156">
        <v>4855</v>
      </c>
      <c r="AF12" s="156">
        <v>4250</v>
      </c>
      <c r="AG12" s="156">
        <v>2838</v>
      </c>
      <c r="AH12" s="156">
        <v>29696</v>
      </c>
      <c r="AI12" s="156">
        <v>2493</v>
      </c>
      <c r="AJ12" s="156">
        <v>4736</v>
      </c>
      <c r="AK12" s="156">
        <v>11200</v>
      </c>
      <c r="AL12" s="156">
        <v>12660</v>
      </c>
      <c r="AM12" s="156">
        <v>13274</v>
      </c>
      <c r="AN12" s="156">
        <v>7015</v>
      </c>
      <c r="AO12" s="156">
        <v>12821</v>
      </c>
      <c r="AP12" s="156">
        <v>49519</v>
      </c>
      <c r="AQ12" s="156">
        <v>49444</v>
      </c>
      <c r="AR12" s="156">
        <v>18429</v>
      </c>
      <c r="AS12" s="156">
        <v>122970</v>
      </c>
      <c r="AT12" s="156">
        <v>17811</v>
      </c>
      <c r="AU12" s="156">
        <v>9070</v>
      </c>
      <c r="AV12" s="156">
        <v>90267</v>
      </c>
      <c r="AW12" s="156">
        <v>14464</v>
      </c>
      <c r="AX12" s="156">
        <v>45205</v>
      </c>
      <c r="AY12" s="156">
        <v>60235</v>
      </c>
      <c r="AZ12" s="156">
        <v>120241</v>
      </c>
      <c r="BA12" s="156">
        <v>30261</v>
      </c>
      <c r="BB12" s="156">
        <v>12628</v>
      </c>
      <c r="BC12" s="156">
        <v>17633</v>
      </c>
      <c r="BD12" s="156">
        <v>137874</v>
      </c>
      <c r="BE12" s="156">
        <v>9634</v>
      </c>
      <c r="BF12" s="156">
        <v>9137</v>
      </c>
      <c r="BG12" s="156">
        <v>2994</v>
      </c>
      <c r="BH12" s="156">
        <v>140868</v>
      </c>
      <c r="BI12" s="156">
        <v>23887</v>
      </c>
      <c r="BJ12" s="156">
        <v>126615</v>
      </c>
      <c r="BK12" s="156">
        <v>106169</v>
      </c>
      <c r="BL12" s="156">
        <v>58419</v>
      </c>
      <c r="BM12" s="156">
        <v>29131</v>
      </c>
      <c r="BN12" s="156">
        <v>18619</v>
      </c>
      <c r="BO12" s="156">
        <v>77038</v>
      </c>
      <c r="BP12" s="156">
        <v>87549</v>
      </c>
      <c r="BQ12" s="156">
        <v>44333</v>
      </c>
      <c r="BR12" s="156">
        <v>86527</v>
      </c>
      <c r="BS12" s="156">
        <v>72867</v>
      </c>
      <c r="BT12" s="156">
        <v>56513</v>
      </c>
      <c r="BU12" s="156">
        <v>107453</v>
      </c>
      <c r="BV12" s="156">
        <v>103644</v>
      </c>
      <c r="BW12" s="156">
        <v>37302</v>
      </c>
      <c r="BX12" s="156">
        <v>43049</v>
      </c>
      <c r="BY12" s="156">
        <v>22697</v>
      </c>
      <c r="BZ12" s="156">
        <v>97329</v>
      </c>
      <c r="CA12" s="156">
        <v>50181</v>
      </c>
      <c r="CB12" s="156">
        <v>65790</v>
      </c>
      <c r="CC12" s="156">
        <v>27656</v>
      </c>
      <c r="CD12" s="156">
        <v>82259</v>
      </c>
      <c r="CE12" s="156">
        <v>68243</v>
      </c>
    </row>
    <row r="13" spans="1:83" s="147" customFormat="1" ht="12.5">
      <c r="A13" s="151" t="s">
        <v>332</v>
      </c>
      <c r="B13" s="156">
        <v>9634</v>
      </c>
      <c r="C13" s="156">
        <v>597</v>
      </c>
      <c r="D13" s="156">
        <v>451</v>
      </c>
      <c r="E13" s="156">
        <v>53</v>
      </c>
      <c r="F13" s="156">
        <v>336</v>
      </c>
      <c r="G13" s="156">
        <v>1280</v>
      </c>
      <c r="H13" s="156">
        <v>536</v>
      </c>
      <c r="I13" s="156">
        <v>679</v>
      </c>
      <c r="J13" s="156">
        <v>1551</v>
      </c>
      <c r="K13" s="156">
        <v>1410</v>
      </c>
      <c r="L13" s="156">
        <v>1238</v>
      </c>
      <c r="M13" s="156">
        <v>804</v>
      </c>
      <c r="N13" s="156">
        <v>814</v>
      </c>
      <c r="O13" s="156">
        <v>370</v>
      </c>
      <c r="P13" s="156">
        <v>389</v>
      </c>
      <c r="Q13" s="156">
        <v>3280</v>
      </c>
      <c r="R13" s="156">
        <v>3661</v>
      </c>
      <c r="S13" s="156">
        <v>1053</v>
      </c>
      <c r="T13" s="156">
        <v>812</v>
      </c>
      <c r="U13" s="156">
        <v>555</v>
      </c>
      <c r="V13" s="156">
        <v>273</v>
      </c>
      <c r="W13" s="156">
        <v>6355</v>
      </c>
      <c r="X13" s="156">
        <v>2693</v>
      </c>
      <c r="Y13" s="156">
        <v>829</v>
      </c>
      <c r="Z13" s="156">
        <v>372</v>
      </c>
      <c r="AA13" s="156">
        <v>459</v>
      </c>
      <c r="AB13" s="156">
        <v>696</v>
      </c>
      <c r="AC13" s="156">
        <v>1199</v>
      </c>
      <c r="AD13" s="156">
        <v>1292</v>
      </c>
      <c r="AE13" s="156">
        <v>295</v>
      </c>
      <c r="AF13" s="156">
        <v>311</v>
      </c>
      <c r="AG13" s="156">
        <v>188</v>
      </c>
      <c r="AH13" s="156">
        <v>2444</v>
      </c>
      <c r="AI13" s="156">
        <v>111</v>
      </c>
      <c r="AJ13" s="156">
        <v>518</v>
      </c>
      <c r="AK13" s="156">
        <v>838</v>
      </c>
      <c r="AL13" s="156">
        <v>912</v>
      </c>
      <c r="AM13" s="156">
        <v>372</v>
      </c>
      <c r="AN13" s="156">
        <v>459</v>
      </c>
      <c r="AO13" s="156">
        <v>696</v>
      </c>
      <c r="AP13" s="156">
        <v>2786</v>
      </c>
      <c r="AQ13" s="156">
        <v>3854</v>
      </c>
      <c r="AR13" s="156">
        <v>1467</v>
      </c>
      <c r="AS13" s="156">
        <v>8038</v>
      </c>
      <c r="AT13" s="156">
        <v>981</v>
      </c>
      <c r="AU13" s="156">
        <v>605</v>
      </c>
      <c r="AV13" s="156">
        <v>5009</v>
      </c>
      <c r="AW13" s="156">
        <v>1673</v>
      </c>
      <c r="AX13" s="156">
        <v>2948</v>
      </c>
      <c r="AY13" s="156">
        <v>4625</v>
      </c>
      <c r="AZ13" s="156">
        <v>0</v>
      </c>
      <c r="BA13" s="156">
        <v>9634</v>
      </c>
      <c r="BB13" s="156">
        <v>9634</v>
      </c>
      <c r="BC13" s="156">
        <v>0</v>
      </c>
      <c r="BD13" s="156">
        <v>0</v>
      </c>
      <c r="BE13" s="156">
        <v>9634</v>
      </c>
      <c r="BF13" s="156">
        <v>9137</v>
      </c>
      <c r="BG13" s="156">
        <v>0</v>
      </c>
      <c r="BH13" s="156">
        <v>0</v>
      </c>
      <c r="BI13" s="156">
        <v>2951</v>
      </c>
      <c r="BJ13" s="156">
        <v>6683</v>
      </c>
      <c r="BK13" s="156">
        <v>8462</v>
      </c>
      <c r="BL13" s="156">
        <v>5928</v>
      </c>
      <c r="BM13" s="156">
        <v>1717</v>
      </c>
      <c r="BN13" s="156">
        <v>817</v>
      </c>
      <c r="BO13" s="156">
        <v>6745</v>
      </c>
      <c r="BP13" s="156">
        <v>7645</v>
      </c>
      <c r="BQ13" s="156">
        <v>1172</v>
      </c>
      <c r="BR13" s="156">
        <v>6945</v>
      </c>
      <c r="BS13" s="156">
        <v>5891</v>
      </c>
      <c r="BT13" s="156">
        <v>4880</v>
      </c>
      <c r="BU13" s="156">
        <v>7795</v>
      </c>
      <c r="BV13" s="156">
        <v>7606</v>
      </c>
      <c r="BW13" s="156">
        <v>3905</v>
      </c>
      <c r="BX13" s="156">
        <v>1839</v>
      </c>
      <c r="BY13" s="156">
        <v>1650</v>
      </c>
      <c r="BZ13" s="156">
        <v>6129</v>
      </c>
      <c r="CA13" s="156">
        <v>2833</v>
      </c>
      <c r="CB13" s="156">
        <v>5281</v>
      </c>
      <c r="CC13" s="156">
        <v>1376</v>
      </c>
      <c r="CD13" s="156">
        <v>2996</v>
      </c>
      <c r="CE13" s="156">
        <v>6638</v>
      </c>
    </row>
    <row r="14" spans="1:83" s="147" customFormat="1" ht="12.5">
      <c r="A14" s="151"/>
      <c r="B14" s="157">
        <v>0.06</v>
      </c>
      <c r="C14" s="157">
        <v>0.03</v>
      </c>
      <c r="D14" s="157">
        <v>0.05</v>
      </c>
      <c r="E14" s="157">
        <v>0.01</v>
      </c>
      <c r="F14" s="157">
        <v>0.06</v>
      </c>
      <c r="G14" s="157">
        <v>7.0000000000000007E-2</v>
      </c>
      <c r="H14" s="157">
        <v>0.06</v>
      </c>
      <c r="I14" s="157">
        <v>0.09</v>
      </c>
      <c r="J14" s="157">
        <v>0.08</v>
      </c>
      <c r="K14" s="157">
        <v>7.0000000000000007E-2</v>
      </c>
      <c r="L14" s="157">
        <v>7.0000000000000007E-2</v>
      </c>
      <c r="M14" s="157">
        <v>7.0000000000000007E-2</v>
      </c>
      <c r="N14" s="157">
        <v>0.09</v>
      </c>
      <c r="O14" s="157">
        <v>0.09</v>
      </c>
      <c r="P14" s="157">
        <v>0.04</v>
      </c>
      <c r="Q14" s="157">
        <v>0.04</v>
      </c>
      <c r="R14" s="157">
        <v>0.06</v>
      </c>
      <c r="S14" s="157">
        <v>0.12</v>
      </c>
      <c r="T14" s="157">
        <v>0.19</v>
      </c>
      <c r="U14" s="157">
        <v>0.24</v>
      </c>
      <c r="V14" s="157">
        <v>0.27</v>
      </c>
      <c r="W14" s="157">
        <v>0.08</v>
      </c>
      <c r="X14" s="157">
        <v>0.17</v>
      </c>
      <c r="Y14" s="157">
        <v>0.25</v>
      </c>
      <c r="Z14" s="157">
        <v>0.03</v>
      </c>
      <c r="AA14" s="157">
        <v>7.0000000000000007E-2</v>
      </c>
      <c r="AB14" s="157">
        <v>0.05</v>
      </c>
      <c r="AC14" s="157">
        <v>0.04</v>
      </c>
      <c r="AD14" s="157">
        <v>0.08</v>
      </c>
      <c r="AE14" s="157">
        <v>0.06</v>
      </c>
      <c r="AF14" s="157">
        <v>7.0000000000000007E-2</v>
      </c>
      <c r="AG14" s="157">
        <v>7.0000000000000007E-2</v>
      </c>
      <c r="AH14" s="157">
        <v>0.08</v>
      </c>
      <c r="AI14" s="157">
        <v>0.04</v>
      </c>
      <c r="AJ14" s="157">
        <v>0.11</v>
      </c>
      <c r="AK14" s="157">
        <v>7.0000000000000007E-2</v>
      </c>
      <c r="AL14" s="157">
        <v>7.0000000000000007E-2</v>
      </c>
      <c r="AM14" s="157">
        <v>0.03</v>
      </c>
      <c r="AN14" s="157">
        <v>7.0000000000000007E-2</v>
      </c>
      <c r="AO14" s="157">
        <v>0.05</v>
      </c>
      <c r="AP14" s="157">
        <v>0.06</v>
      </c>
      <c r="AQ14" s="157">
        <v>0.08</v>
      </c>
      <c r="AR14" s="157">
        <v>0.08</v>
      </c>
      <c r="AS14" s="157">
        <v>7.0000000000000007E-2</v>
      </c>
      <c r="AT14" s="157">
        <v>0.06</v>
      </c>
      <c r="AU14" s="157">
        <v>7.0000000000000007E-2</v>
      </c>
      <c r="AV14" s="157">
        <v>0.06</v>
      </c>
      <c r="AW14" s="157">
        <v>0.12</v>
      </c>
      <c r="AX14" s="157">
        <v>7.0000000000000007E-2</v>
      </c>
      <c r="AY14" s="157">
        <v>0.08</v>
      </c>
      <c r="AZ14" s="157">
        <v>0</v>
      </c>
      <c r="BA14" s="157">
        <v>0.32</v>
      </c>
      <c r="BB14" s="157">
        <v>0.76</v>
      </c>
      <c r="BC14" s="157">
        <v>0</v>
      </c>
      <c r="BD14" s="157">
        <v>0</v>
      </c>
      <c r="BE14" s="157">
        <v>1</v>
      </c>
      <c r="BF14" s="157">
        <v>1</v>
      </c>
      <c r="BG14" s="157">
        <v>0</v>
      </c>
      <c r="BH14" s="157">
        <v>0</v>
      </c>
      <c r="BI14" s="157">
        <v>0.12</v>
      </c>
      <c r="BJ14" s="157">
        <v>0.05</v>
      </c>
      <c r="BK14" s="157">
        <v>0.08</v>
      </c>
      <c r="BL14" s="157">
        <v>0.1</v>
      </c>
      <c r="BM14" s="157">
        <v>0.06</v>
      </c>
      <c r="BN14" s="157">
        <v>0.04</v>
      </c>
      <c r="BO14" s="157">
        <v>0.09</v>
      </c>
      <c r="BP14" s="157">
        <v>0.09</v>
      </c>
      <c r="BQ14" s="157">
        <v>0.03</v>
      </c>
      <c r="BR14" s="157">
        <v>0.08</v>
      </c>
      <c r="BS14" s="157">
        <v>0.08</v>
      </c>
      <c r="BT14" s="157">
        <v>0.09</v>
      </c>
      <c r="BU14" s="157">
        <v>7.0000000000000007E-2</v>
      </c>
      <c r="BV14" s="157">
        <v>7.0000000000000007E-2</v>
      </c>
      <c r="BW14" s="157">
        <v>0.1</v>
      </c>
      <c r="BX14" s="157">
        <v>0.04</v>
      </c>
      <c r="BY14" s="157">
        <v>7.0000000000000007E-2</v>
      </c>
      <c r="BZ14" s="157">
        <v>0.06</v>
      </c>
      <c r="CA14" s="157">
        <v>0.06</v>
      </c>
      <c r="CB14" s="157">
        <v>0.08</v>
      </c>
      <c r="CC14" s="157">
        <v>0.05</v>
      </c>
      <c r="CD14" s="157">
        <v>0.04</v>
      </c>
      <c r="CE14" s="157">
        <v>0.1</v>
      </c>
    </row>
    <row r="17" spans="1:77" s="168" customFormat="1" ht="15.5">
      <c r="A17" s="169" t="s">
        <v>452</v>
      </c>
    </row>
    <row r="18" spans="1:77" s="161" customFormat="1" ht="12.5">
      <c r="A18" s="163"/>
    </row>
    <row r="19" spans="1:77" s="161" customFormat="1">
      <c r="A19" s="163" t="s">
        <v>451</v>
      </c>
      <c r="B19" s="7" t="s">
        <v>329</v>
      </c>
    </row>
    <row r="20" spans="1:77" s="161" customFormat="1" ht="12.5">
      <c r="A20" s="163"/>
    </row>
    <row r="21" spans="1:77" s="166" customFormat="1" ht="13">
      <c r="A21" s="167" t="s">
        <v>450</v>
      </c>
    </row>
    <row r="22" spans="1:77" s="161" customFormat="1" ht="12.5">
      <c r="A22" s="163" t="s">
        <v>326</v>
      </c>
    </row>
    <row r="23" spans="1:77" s="161" customFormat="1" ht="13">
      <c r="A23" s="636"/>
      <c r="B23" s="637"/>
      <c r="C23" s="638" t="s">
        <v>119</v>
      </c>
      <c r="D23" s="639"/>
      <c r="E23" s="639"/>
      <c r="F23" s="639"/>
      <c r="G23" s="639"/>
      <c r="H23" s="639"/>
      <c r="I23" s="639"/>
      <c r="J23" s="640"/>
      <c r="K23" s="638" t="s">
        <v>335</v>
      </c>
      <c r="L23" s="639"/>
      <c r="M23" s="639"/>
      <c r="N23" s="639"/>
      <c r="O23" s="639"/>
      <c r="P23" s="639"/>
      <c r="Q23" s="639"/>
      <c r="R23" s="640"/>
      <c r="S23" s="638" t="s">
        <v>336</v>
      </c>
      <c r="T23" s="639"/>
      <c r="U23" s="639"/>
      <c r="V23" s="639"/>
      <c r="W23" s="639"/>
      <c r="X23" s="639"/>
      <c r="Y23" s="639"/>
      <c r="Z23" s="639"/>
      <c r="AA23" s="639"/>
      <c r="AB23" s="639"/>
      <c r="AC23" s="639"/>
      <c r="AD23" s="639"/>
      <c r="AE23" s="640"/>
      <c r="AF23" s="638" t="s">
        <v>337</v>
      </c>
      <c r="AG23" s="639"/>
      <c r="AH23" s="639"/>
      <c r="AI23" s="639"/>
      <c r="AJ23" s="639"/>
      <c r="AK23" s="640"/>
      <c r="AL23" s="638" t="s">
        <v>338</v>
      </c>
      <c r="AM23" s="639"/>
      <c r="AN23" s="640"/>
      <c r="AO23" s="638" t="s">
        <v>339</v>
      </c>
      <c r="AP23" s="639"/>
      <c r="AQ23" s="640"/>
      <c r="AR23" s="638" t="s">
        <v>340</v>
      </c>
      <c r="AS23" s="639"/>
      <c r="AT23" s="639"/>
      <c r="AU23" s="639"/>
      <c r="AV23" s="639"/>
      <c r="AW23" s="639"/>
      <c r="AX23" s="639"/>
      <c r="AY23" s="639"/>
      <c r="AZ23" s="640"/>
      <c r="BA23" s="638" t="s">
        <v>341</v>
      </c>
      <c r="BB23" s="640"/>
      <c r="BC23" s="638" t="s">
        <v>342</v>
      </c>
      <c r="BD23" s="639"/>
      <c r="BE23" s="639"/>
      <c r="BF23" s="639"/>
      <c r="BG23" s="639"/>
      <c r="BH23" s="640"/>
      <c r="BI23" s="638" t="s">
        <v>343</v>
      </c>
      <c r="BJ23" s="639"/>
      <c r="BK23" s="639"/>
      <c r="BL23" s="639"/>
      <c r="BM23" s="639"/>
      <c r="BN23" s="639"/>
      <c r="BO23" s="640"/>
      <c r="BP23" s="638" t="s">
        <v>345</v>
      </c>
      <c r="BQ23" s="639"/>
      <c r="BR23" s="640"/>
      <c r="BS23" s="638" t="s">
        <v>449</v>
      </c>
      <c r="BT23" s="639"/>
      <c r="BU23" s="639"/>
      <c r="BV23" s="639"/>
      <c r="BW23" s="640"/>
      <c r="BX23" s="638" t="s">
        <v>346</v>
      </c>
      <c r="BY23" s="640"/>
    </row>
    <row r="24" spans="1:77" s="161" customFormat="1" ht="13">
      <c r="A24" s="163"/>
      <c r="B24" s="164" t="s">
        <v>82</v>
      </c>
      <c r="C24" s="164" t="s">
        <v>448</v>
      </c>
      <c r="D24" s="164" t="s">
        <v>324</v>
      </c>
      <c r="E24" s="164" t="s">
        <v>447</v>
      </c>
      <c r="F24" s="164" t="s">
        <v>321</v>
      </c>
      <c r="G24" s="164" t="s">
        <v>446</v>
      </c>
      <c r="H24" s="164" t="s">
        <v>445</v>
      </c>
      <c r="I24" s="164" t="s">
        <v>444</v>
      </c>
      <c r="J24" s="164" t="s">
        <v>317</v>
      </c>
      <c r="K24" s="165" t="s">
        <v>348</v>
      </c>
      <c r="L24" s="165" t="s">
        <v>349</v>
      </c>
      <c r="M24" s="165" t="s">
        <v>350</v>
      </c>
      <c r="N24" s="165" t="s">
        <v>351</v>
      </c>
      <c r="O24" s="165" t="s">
        <v>352</v>
      </c>
      <c r="P24" s="165" t="s">
        <v>353</v>
      </c>
      <c r="Q24" s="165" t="s">
        <v>354</v>
      </c>
      <c r="R24" s="165" t="s">
        <v>356</v>
      </c>
      <c r="S24" s="164" t="s">
        <v>443</v>
      </c>
      <c r="T24" s="164" t="s">
        <v>358</v>
      </c>
      <c r="U24" s="164" t="s">
        <v>442</v>
      </c>
      <c r="V24" s="164" t="s">
        <v>359</v>
      </c>
      <c r="W24" s="164" t="s">
        <v>441</v>
      </c>
      <c r="X24" s="164" t="s">
        <v>440</v>
      </c>
      <c r="Y24" s="164" t="s">
        <v>439</v>
      </c>
      <c r="Z24" s="164" t="s">
        <v>438</v>
      </c>
      <c r="AA24" s="164" t="s">
        <v>437</v>
      </c>
      <c r="AB24" s="164" t="s">
        <v>366</v>
      </c>
      <c r="AC24" s="164" t="s">
        <v>367</v>
      </c>
      <c r="AD24" s="164" t="s">
        <v>436</v>
      </c>
      <c r="AE24" s="164" t="s">
        <v>435</v>
      </c>
      <c r="AF24" s="164" t="s">
        <v>370</v>
      </c>
      <c r="AG24" s="164" t="s">
        <v>358</v>
      </c>
      <c r="AH24" s="164" t="s">
        <v>359</v>
      </c>
      <c r="AI24" s="164" t="s">
        <v>371</v>
      </c>
      <c r="AJ24" s="164" t="s">
        <v>372</v>
      </c>
      <c r="AK24" s="164" t="s">
        <v>373</v>
      </c>
      <c r="AL24" s="164" t="s">
        <v>374</v>
      </c>
      <c r="AM24" s="164" t="s">
        <v>375</v>
      </c>
      <c r="AN24" s="164" t="s">
        <v>376</v>
      </c>
      <c r="AO24" s="164" t="s">
        <v>377</v>
      </c>
      <c r="AP24" s="164" t="s">
        <v>378</v>
      </c>
      <c r="AQ24" s="164" t="s">
        <v>434</v>
      </c>
      <c r="AR24" s="164" t="s">
        <v>381</v>
      </c>
      <c r="AS24" s="164" t="s">
        <v>382</v>
      </c>
      <c r="AT24" s="164" t="s">
        <v>383</v>
      </c>
      <c r="AU24" s="164" t="s">
        <v>384</v>
      </c>
      <c r="AV24" s="164" t="s">
        <v>385</v>
      </c>
      <c r="AW24" s="164" t="s">
        <v>386</v>
      </c>
      <c r="AX24" s="164" t="s">
        <v>387</v>
      </c>
      <c r="AY24" s="164" t="s">
        <v>388</v>
      </c>
      <c r="AZ24" s="164" t="s">
        <v>389</v>
      </c>
      <c r="BA24" s="164" t="s">
        <v>390</v>
      </c>
      <c r="BB24" s="164" t="s">
        <v>391</v>
      </c>
      <c r="BC24" s="164" t="s">
        <v>392</v>
      </c>
      <c r="BD24" s="164" t="s">
        <v>393</v>
      </c>
      <c r="BE24" s="164" t="s">
        <v>394</v>
      </c>
      <c r="BF24" s="164" t="s">
        <v>395</v>
      </c>
      <c r="BG24" s="164" t="s">
        <v>396</v>
      </c>
      <c r="BH24" s="164" t="s">
        <v>398</v>
      </c>
      <c r="BI24" s="164" t="s">
        <v>399</v>
      </c>
      <c r="BJ24" s="164" t="s">
        <v>400</v>
      </c>
      <c r="BK24" s="164" t="s">
        <v>401</v>
      </c>
      <c r="BL24" s="164" t="s">
        <v>402</v>
      </c>
      <c r="BM24" s="164" t="s">
        <v>403</v>
      </c>
      <c r="BN24" s="164" t="s">
        <v>404</v>
      </c>
      <c r="BO24" s="164" t="s">
        <v>398</v>
      </c>
      <c r="BP24" s="164" t="s">
        <v>407</v>
      </c>
      <c r="BQ24" s="165" t="s">
        <v>408</v>
      </c>
      <c r="BR24" s="164" t="s">
        <v>409</v>
      </c>
      <c r="BS24" s="164" t="s">
        <v>433</v>
      </c>
      <c r="BT24" s="164" t="s">
        <v>432</v>
      </c>
      <c r="BU24" s="164" t="s">
        <v>431</v>
      </c>
      <c r="BV24" s="164" t="s">
        <v>430</v>
      </c>
      <c r="BW24" s="164" t="s">
        <v>429</v>
      </c>
      <c r="BX24" s="164" t="s">
        <v>410</v>
      </c>
      <c r="BY24" s="164" t="s">
        <v>411</v>
      </c>
    </row>
    <row r="25" spans="1:77" s="161" customFormat="1" ht="12.5">
      <c r="A25" s="163" t="s">
        <v>412</v>
      </c>
      <c r="B25" s="162"/>
      <c r="C25" s="162" t="s">
        <v>413</v>
      </c>
      <c r="D25" s="162" t="s">
        <v>414</v>
      </c>
      <c r="E25" s="162" t="s">
        <v>415</v>
      </c>
      <c r="F25" s="162" t="s">
        <v>416</v>
      </c>
      <c r="G25" s="162" t="s">
        <v>417</v>
      </c>
      <c r="H25" s="162" t="s">
        <v>418</v>
      </c>
      <c r="I25" s="162" t="s">
        <v>419</v>
      </c>
      <c r="J25" s="162" t="s">
        <v>420</v>
      </c>
      <c r="K25" s="162" t="s">
        <v>413</v>
      </c>
      <c r="L25" s="162" t="s">
        <v>414</v>
      </c>
      <c r="M25" s="162" t="s">
        <v>415</v>
      </c>
      <c r="N25" s="162" t="s">
        <v>416</v>
      </c>
      <c r="O25" s="162" t="s">
        <v>417</v>
      </c>
      <c r="P25" s="162" t="s">
        <v>418</v>
      </c>
      <c r="Q25" s="162" t="s">
        <v>419</v>
      </c>
      <c r="R25" s="162" t="s">
        <v>420</v>
      </c>
      <c r="S25" s="162" t="s">
        <v>413</v>
      </c>
      <c r="T25" s="162" t="s">
        <v>414</v>
      </c>
      <c r="U25" s="162" t="s">
        <v>415</v>
      </c>
      <c r="V25" s="162" t="s">
        <v>416</v>
      </c>
      <c r="W25" s="162" t="s">
        <v>417</v>
      </c>
      <c r="X25" s="162" t="s">
        <v>418</v>
      </c>
      <c r="Y25" s="162" t="s">
        <v>419</v>
      </c>
      <c r="Z25" s="162" t="s">
        <v>420</v>
      </c>
      <c r="AA25" s="162" t="s">
        <v>421</v>
      </c>
      <c r="AB25" s="162" t="s">
        <v>422</v>
      </c>
      <c r="AC25" s="162" t="s">
        <v>423</v>
      </c>
      <c r="AD25" s="162" t="s">
        <v>424</v>
      </c>
      <c r="AE25" s="162" t="s">
        <v>425</v>
      </c>
      <c r="AF25" s="162" t="s">
        <v>413</v>
      </c>
      <c r="AG25" s="162" t="s">
        <v>414</v>
      </c>
      <c r="AH25" s="162" t="s">
        <v>415</v>
      </c>
      <c r="AI25" s="162" t="s">
        <v>416</v>
      </c>
      <c r="AJ25" s="162" t="s">
        <v>417</v>
      </c>
      <c r="AK25" s="162" t="s">
        <v>418</v>
      </c>
      <c r="AL25" s="162" t="s">
        <v>413</v>
      </c>
      <c r="AM25" s="162" t="s">
        <v>414</v>
      </c>
      <c r="AN25" s="162" t="s">
        <v>415</v>
      </c>
      <c r="AO25" s="162" t="s">
        <v>413</v>
      </c>
      <c r="AP25" s="162" t="s">
        <v>414</v>
      </c>
      <c r="AQ25" s="162" t="s">
        <v>415</v>
      </c>
      <c r="AR25" s="162" t="s">
        <v>413</v>
      </c>
      <c r="AS25" s="162" t="s">
        <v>414</v>
      </c>
      <c r="AT25" s="162" t="s">
        <v>415</v>
      </c>
      <c r="AU25" s="162" t="s">
        <v>416</v>
      </c>
      <c r="AV25" s="162" t="s">
        <v>417</v>
      </c>
      <c r="AW25" s="162" t="s">
        <v>418</v>
      </c>
      <c r="AX25" s="162" t="s">
        <v>419</v>
      </c>
      <c r="AY25" s="162" t="s">
        <v>420</v>
      </c>
      <c r="AZ25" s="162" t="s">
        <v>421</v>
      </c>
      <c r="BA25" s="162" t="s">
        <v>413</v>
      </c>
      <c r="BB25" s="162" t="s">
        <v>414</v>
      </c>
      <c r="BC25" s="162" t="s">
        <v>413</v>
      </c>
      <c r="BD25" s="162" t="s">
        <v>414</v>
      </c>
      <c r="BE25" s="162" t="s">
        <v>415</v>
      </c>
      <c r="BF25" s="162" t="s">
        <v>416</v>
      </c>
      <c r="BG25" s="162" t="s">
        <v>417</v>
      </c>
      <c r="BH25" s="162" t="s">
        <v>418</v>
      </c>
      <c r="BI25" s="162" t="s">
        <v>413</v>
      </c>
      <c r="BJ25" s="162" t="s">
        <v>414</v>
      </c>
      <c r="BK25" s="162" t="s">
        <v>415</v>
      </c>
      <c r="BL25" s="162" t="s">
        <v>416</v>
      </c>
      <c r="BM25" s="162" t="s">
        <v>417</v>
      </c>
      <c r="BN25" s="162" t="s">
        <v>418</v>
      </c>
      <c r="BO25" s="162" t="s">
        <v>419</v>
      </c>
      <c r="BP25" s="162" t="s">
        <v>413</v>
      </c>
      <c r="BQ25" s="162" t="s">
        <v>414</v>
      </c>
      <c r="BR25" s="162" t="s">
        <v>415</v>
      </c>
      <c r="BS25" s="162" t="s">
        <v>413</v>
      </c>
      <c r="BT25" s="162" t="s">
        <v>414</v>
      </c>
      <c r="BU25" s="162" t="s">
        <v>415</v>
      </c>
      <c r="BV25" s="162" t="s">
        <v>416</v>
      </c>
      <c r="BW25" s="162" t="s">
        <v>417</v>
      </c>
      <c r="BX25" s="162" t="s">
        <v>413</v>
      </c>
      <c r="BY25" s="162" t="s">
        <v>414</v>
      </c>
    </row>
    <row r="26" spans="1:77" s="161" customFormat="1" ht="12.5">
      <c r="A26" s="163" t="s">
        <v>427</v>
      </c>
      <c r="B26" s="162">
        <v>6035</v>
      </c>
      <c r="C26" s="162">
        <v>698</v>
      </c>
      <c r="D26" s="162">
        <v>388</v>
      </c>
      <c r="E26" s="162">
        <v>1246</v>
      </c>
      <c r="F26" s="162">
        <v>299</v>
      </c>
      <c r="G26" s="162">
        <v>1694</v>
      </c>
      <c r="H26" s="162">
        <v>779</v>
      </c>
      <c r="I26" s="162">
        <v>433</v>
      </c>
      <c r="J26" s="162">
        <v>498</v>
      </c>
      <c r="K26" s="162">
        <v>1264</v>
      </c>
      <c r="L26" s="162">
        <v>3019</v>
      </c>
      <c r="M26" s="162">
        <v>929</v>
      </c>
      <c r="N26" s="162">
        <v>490</v>
      </c>
      <c r="O26" s="162">
        <v>249</v>
      </c>
      <c r="P26" s="162">
        <v>84</v>
      </c>
      <c r="Q26" s="162">
        <v>4771</v>
      </c>
      <c r="R26" s="162">
        <v>333</v>
      </c>
      <c r="S26" s="162">
        <v>492</v>
      </c>
      <c r="T26" s="162">
        <v>411</v>
      </c>
      <c r="U26" s="162">
        <v>70</v>
      </c>
      <c r="V26" s="162">
        <v>489</v>
      </c>
      <c r="W26" s="162">
        <v>938</v>
      </c>
      <c r="X26" s="162">
        <v>582</v>
      </c>
      <c r="Y26" s="162">
        <v>583</v>
      </c>
      <c r="Z26" s="162">
        <v>227</v>
      </c>
      <c r="AA26" s="162">
        <v>763</v>
      </c>
      <c r="AB26" s="162">
        <v>102</v>
      </c>
      <c r="AC26" s="162">
        <v>338</v>
      </c>
      <c r="AD26" s="162">
        <v>594</v>
      </c>
      <c r="AE26" s="162">
        <v>446</v>
      </c>
      <c r="AF26" s="162">
        <v>596</v>
      </c>
      <c r="AG26" s="162">
        <v>377</v>
      </c>
      <c r="AH26" s="162">
        <v>489</v>
      </c>
      <c r="AI26" s="162">
        <v>1843</v>
      </c>
      <c r="AJ26" s="162">
        <v>1696</v>
      </c>
      <c r="AK26" s="162">
        <v>1034</v>
      </c>
      <c r="AL26" s="162">
        <v>4759</v>
      </c>
      <c r="AM26" s="162">
        <v>639</v>
      </c>
      <c r="AN26" s="162">
        <v>617</v>
      </c>
      <c r="AO26" s="162">
        <v>3195</v>
      </c>
      <c r="AP26" s="162">
        <v>591</v>
      </c>
      <c r="AQ26" s="162">
        <v>2244</v>
      </c>
      <c r="AR26" s="162">
        <v>4416</v>
      </c>
      <c r="AS26" s="162">
        <v>1619</v>
      </c>
      <c r="AT26" s="162">
        <v>612</v>
      </c>
      <c r="AU26" s="162">
        <v>1007</v>
      </c>
      <c r="AV26" s="162">
        <v>5423</v>
      </c>
      <c r="AW26" s="162">
        <v>453</v>
      </c>
      <c r="AX26" s="162">
        <v>432</v>
      </c>
      <c r="AY26" s="162">
        <v>159</v>
      </c>
      <c r="AZ26" s="162">
        <v>5582</v>
      </c>
      <c r="BA26" s="162">
        <v>1236</v>
      </c>
      <c r="BB26" s="162">
        <v>4799</v>
      </c>
      <c r="BC26" s="162">
        <v>4894</v>
      </c>
      <c r="BD26" s="162">
        <v>3059</v>
      </c>
      <c r="BE26" s="162">
        <v>1109</v>
      </c>
      <c r="BF26" s="162">
        <v>726</v>
      </c>
      <c r="BG26" s="162">
        <v>3785</v>
      </c>
      <c r="BH26" s="162">
        <v>1141</v>
      </c>
      <c r="BI26" s="162">
        <v>3468</v>
      </c>
      <c r="BJ26" s="162">
        <v>2631</v>
      </c>
      <c r="BK26" s="162">
        <v>4158</v>
      </c>
      <c r="BL26" s="162">
        <v>4884</v>
      </c>
      <c r="BM26" s="162">
        <v>3972</v>
      </c>
      <c r="BN26" s="162">
        <v>1904</v>
      </c>
      <c r="BO26" s="162">
        <v>1151</v>
      </c>
      <c r="BP26" s="162">
        <v>2109</v>
      </c>
      <c r="BQ26" s="162">
        <v>2698</v>
      </c>
      <c r="BR26" s="162">
        <v>876</v>
      </c>
      <c r="BS26" s="162">
        <v>189</v>
      </c>
      <c r="BT26" s="162">
        <v>535</v>
      </c>
      <c r="BU26" s="162">
        <v>1184</v>
      </c>
      <c r="BV26" s="162">
        <v>1319</v>
      </c>
      <c r="BW26" s="162">
        <v>836</v>
      </c>
      <c r="BX26" s="162">
        <v>2952</v>
      </c>
      <c r="BY26" s="162">
        <v>3083</v>
      </c>
    </row>
    <row r="27" spans="1:77" s="161" customFormat="1" ht="12.5">
      <c r="A27" s="163" t="s">
        <v>82</v>
      </c>
      <c r="B27" s="162">
        <v>142947</v>
      </c>
      <c r="C27" s="162">
        <v>17216</v>
      </c>
      <c r="D27" s="162">
        <v>8834</v>
      </c>
      <c r="E27" s="162">
        <v>29388</v>
      </c>
      <c r="F27" s="162">
        <v>7103</v>
      </c>
      <c r="G27" s="162">
        <v>40430</v>
      </c>
      <c r="H27" s="162">
        <v>18452</v>
      </c>
      <c r="I27" s="162">
        <v>9963</v>
      </c>
      <c r="J27" s="162">
        <v>11561</v>
      </c>
      <c r="K27" s="162">
        <v>68741</v>
      </c>
      <c r="L27" s="162">
        <v>58442</v>
      </c>
      <c r="M27" s="162">
        <v>8416</v>
      </c>
      <c r="N27" s="162">
        <v>4066</v>
      </c>
      <c r="O27" s="162">
        <v>2251</v>
      </c>
      <c r="P27" s="162">
        <v>1031</v>
      </c>
      <c r="Q27" s="162">
        <v>74206</v>
      </c>
      <c r="R27" s="162">
        <v>3282</v>
      </c>
      <c r="S27" s="162">
        <v>12022</v>
      </c>
      <c r="T27" s="162">
        <v>7017</v>
      </c>
      <c r="U27" s="162">
        <v>918</v>
      </c>
      <c r="V27" s="162">
        <v>12142</v>
      </c>
      <c r="W27" s="162">
        <v>29109</v>
      </c>
      <c r="X27" s="162">
        <v>14436</v>
      </c>
      <c r="Y27" s="162">
        <v>8435</v>
      </c>
      <c r="Z27" s="162">
        <v>2836</v>
      </c>
      <c r="AA27" s="162">
        <v>26454</v>
      </c>
      <c r="AB27" s="162">
        <v>2615</v>
      </c>
      <c r="AC27" s="162">
        <v>4737</v>
      </c>
      <c r="AD27" s="162">
        <v>11051</v>
      </c>
      <c r="AE27" s="162">
        <v>11175</v>
      </c>
      <c r="AF27" s="162">
        <v>13270</v>
      </c>
      <c r="AG27" s="162">
        <v>6687</v>
      </c>
      <c r="AH27" s="162">
        <v>12142</v>
      </c>
      <c r="AI27" s="162">
        <v>48094</v>
      </c>
      <c r="AJ27" s="162">
        <v>44351</v>
      </c>
      <c r="AK27" s="162">
        <v>18403</v>
      </c>
      <c r="AL27" s="162">
        <v>118185</v>
      </c>
      <c r="AM27" s="162">
        <v>14418</v>
      </c>
      <c r="AN27" s="162">
        <v>9873</v>
      </c>
      <c r="AO27" s="162">
        <v>88681</v>
      </c>
      <c r="AP27" s="162">
        <v>11799</v>
      </c>
      <c r="AQ27" s="162">
        <v>42402</v>
      </c>
      <c r="AR27" s="162">
        <v>115868</v>
      </c>
      <c r="AS27" s="162">
        <v>27079</v>
      </c>
      <c r="AT27" s="162">
        <v>11004</v>
      </c>
      <c r="AU27" s="162">
        <v>16075</v>
      </c>
      <c r="AV27" s="162">
        <v>131943</v>
      </c>
      <c r="AW27" s="162">
        <v>8284</v>
      </c>
      <c r="AX27" s="162">
        <v>7791</v>
      </c>
      <c r="AY27" s="162">
        <v>2721</v>
      </c>
      <c r="AZ27" s="162">
        <v>134663</v>
      </c>
      <c r="BA27" s="162">
        <v>19315</v>
      </c>
      <c r="BB27" s="162">
        <v>123632</v>
      </c>
      <c r="BC27" s="162">
        <v>101981</v>
      </c>
      <c r="BD27" s="162">
        <v>54219</v>
      </c>
      <c r="BE27" s="162">
        <v>28001</v>
      </c>
      <c r="BF27" s="162">
        <v>19761</v>
      </c>
      <c r="BG27" s="162">
        <v>73980</v>
      </c>
      <c r="BH27" s="162">
        <v>40966</v>
      </c>
      <c r="BI27" s="162">
        <v>66350</v>
      </c>
      <c r="BJ27" s="162">
        <v>48124</v>
      </c>
      <c r="BK27" s="162">
        <v>86464</v>
      </c>
      <c r="BL27" s="162">
        <v>104003</v>
      </c>
      <c r="BM27" s="162">
        <v>77104</v>
      </c>
      <c r="BN27" s="162">
        <v>32606</v>
      </c>
      <c r="BO27" s="162">
        <v>38944</v>
      </c>
      <c r="BP27" s="162">
        <v>48592</v>
      </c>
      <c r="BQ27" s="162">
        <v>61815</v>
      </c>
      <c r="BR27" s="162">
        <v>25360</v>
      </c>
      <c r="BS27" s="162">
        <v>5765</v>
      </c>
      <c r="BT27" s="162">
        <v>14811</v>
      </c>
      <c r="BU27" s="162">
        <v>27542</v>
      </c>
      <c r="BV27" s="162">
        <v>34430</v>
      </c>
      <c r="BW27" s="162">
        <v>18598</v>
      </c>
      <c r="BX27" s="162">
        <v>75777</v>
      </c>
      <c r="BY27" s="162">
        <v>67170</v>
      </c>
    </row>
    <row r="28" spans="1:77" s="161" customFormat="1" ht="12.5">
      <c r="A28" s="163" t="s">
        <v>428</v>
      </c>
      <c r="B28" s="162">
        <v>8284</v>
      </c>
      <c r="C28" s="162">
        <v>930</v>
      </c>
      <c r="D28" s="162">
        <v>236</v>
      </c>
      <c r="E28" s="162">
        <v>2029</v>
      </c>
      <c r="F28" s="162">
        <v>555</v>
      </c>
      <c r="G28" s="162">
        <v>2495</v>
      </c>
      <c r="H28" s="162">
        <v>1008</v>
      </c>
      <c r="I28" s="162">
        <v>455</v>
      </c>
      <c r="J28" s="162">
        <v>575</v>
      </c>
      <c r="K28" s="162">
        <v>2861</v>
      </c>
      <c r="L28" s="162">
        <v>3422</v>
      </c>
      <c r="M28" s="162">
        <v>842</v>
      </c>
      <c r="N28" s="162">
        <v>633</v>
      </c>
      <c r="O28" s="162">
        <v>422</v>
      </c>
      <c r="P28" s="162">
        <v>104</v>
      </c>
      <c r="Q28" s="162">
        <v>5423</v>
      </c>
      <c r="R28" s="162">
        <v>526</v>
      </c>
      <c r="S28" s="162">
        <v>208</v>
      </c>
      <c r="T28" s="162">
        <v>419</v>
      </c>
      <c r="U28" s="162">
        <v>84</v>
      </c>
      <c r="V28" s="162">
        <v>596</v>
      </c>
      <c r="W28" s="162">
        <v>1118</v>
      </c>
      <c r="X28" s="162">
        <v>1119</v>
      </c>
      <c r="Y28" s="162">
        <v>516</v>
      </c>
      <c r="Z28" s="162">
        <v>125</v>
      </c>
      <c r="AA28" s="162">
        <v>1980</v>
      </c>
      <c r="AB28" s="162">
        <v>144</v>
      </c>
      <c r="AC28" s="162">
        <v>746</v>
      </c>
      <c r="AD28" s="162">
        <v>770</v>
      </c>
      <c r="AE28" s="162">
        <v>457</v>
      </c>
      <c r="AF28" s="162">
        <v>292</v>
      </c>
      <c r="AG28" s="162">
        <v>419</v>
      </c>
      <c r="AH28" s="162">
        <v>596</v>
      </c>
      <c r="AI28" s="162">
        <v>2558</v>
      </c>
      <c r="AJ28" s="162">
        <v>2758</v>
      </c>
      <c r="AK28" s="162">
        <v>1661</v>
      </c>
      <c r="AL28" s="162">
        <v>7291</v>
      </c>
      <c r="AM28" s="162">
        <v>493</v>
      </c>
      <c r="AN28" s="162">
        <v>499</v>
      </c>
      <c r="AO28" s="162">
        <v>4346</v>
      </c>
      <c r="AP28" s="162">
        <v>1099</v>
      </c>
      <c r="AQ28" s="162">
        <v>2839</v>
      </c>
      <c r="AR28" s="162">
        <v>0</v>
      </c>
      <c r="AS28" s="162">
        <v>8284</v>
      </c>
      <c r="AT28" s="162">
        <v>8284</v>
      </c>
      <c r="AU28" s="162">
        <v>0</v>
      </c>
      <c r="AV28" s="162">
        <v>0</v>
      </c>
      <c r="AW28" s="162">
        <v>8284</v>
      </c>
      <c r="AX28" s="162">
        <v>7791</v>
      </c>
      <c r="AY28" s="162">
        <v>0</v>
      </c>
      <c r="AZ28" s="162">
        <v>0</v>
      </c>
      <c r="BA28" s="162">
        <v>2614</v>
      </c>
      <c r="BB28" s="162">
        <v>5669</v>
      </c>
      <c r="BC28" s="162">
        <v>7595</v>
      </c>
      <c r="BD28" s="162">
        <v>4851</v>
      </c>
      <c r="BE28" s="162">
        <v>1376</v>
      </c>
      <c r="BF28" s="162">
        <v>1368</v>
      </c>
      <c r="BG28" s="162">
        <v>6219</v>
      </c>
      <c r="BH28" s="162">
        <v>688</v>
      </c>
      <c r="BI28" s="162">
        <v>5602</v>
      </c>
      <c r="BJ28" s="162">
        <v>4560</v>
      </c>
      <c r="BK28" s="162">
        <v>6346</v>
      </c>
      <c r="BL28" s="162">
        <v>7464</v>
      </c>
      <c r="BM28" s="162">
        <v>6451</v>
      </c>
      <c r="BN28" s="162">
        <v>3252</v>
      </c>
      <c r="BO28" s="162">
        <v>820</v>
      </c>
      <c r="BP28" s="162">
        <v>2059</v>
      </c>
      <c r="BQ28" s="162">
        <v>4415</v>
      </c>
      <c r="BR28" s="162">
        <v>1560</v>
      </c>
      <c r="BS28" s="162">
        <v>285</v>
      </c>
      <c r="BT28" s="162">
        <v>550</v>
      </c>
      <c r="BU28" s="162">
        <v>1739</v>
      </c>
      <c r="BV28" s="162">
        <v>1945</v>
      </c>
      <c r="BW28" s="162">
        <v>1679</v>
      </c>
      <c r="BX28" s="162">
        <v>3178</v>
      </c>
      <c r="BY28" s="162">
        <v>5105</v>
      </c>
    </row>
    <row r="29" spans="1:77" s="159" customFormat="1">
      <c r="A29" s="160"/>
    </row>
    <row r="30" spans="1:77" s="159" customFormat="1">
      <c r="A30" s="160"/>
    </row>
    <row r="31" spans="1:77" s="159" customFormat="1">
      <c r="A31" s="160"/>
    </row>
    <row r="32" spans="1:77" s="159" customFormat="1">
      <c r="A32" s="160"/>
    </row>
  </sheetData>
  <mergeCells count="28">
    <mergeCell ref="BA23:BB23"/>
    <mergeCell ref="BC23:BH23"/>
    <mergeCell ref="BR8:BX8"/>
    <mergeCell ref="BY8:BZ8"/>
    <mergeCell ref="CA8:CC8"/>
    <mergeCell ref="BI8:BJ8"/>
    <mergeCell ref="BK8:BQ8"/>
    <mergeCell ref="CD8:CE8"/>
    <mergeCell ref="A23:B23"/>
    <mergeCell ref="C23:J23"/>
    <mergeCell ref="K23:R23"/>
    <mergeCell ref="S23:AE23"/>
    <mergeCell ref="AF23:AK23"/>
    <mergeCell ref="BI23:BO23"/>
    <mergeCell ref="BP23:BR23"/>
    <mergeCell ref="BS23:BW23"/>
    <mergeCell ref="BX23:BY23"/>
    <mergeCell ref="AL23:AN23"/>
    <mergeCell ref="AO23:AQ23"/>
    <mergeCell ref="AR23:AZ23"/>
    <mergeCell ref="AS8:AU8"/>
    <mergeCell ref="AV8:AY8"/>
    <mergeCell ref="AZ8:BH8"/>
    <mergeCell ref="A8:B8"/>
    <mergeCell ref="C8:P8"/>
    <mergeCell ref="Q8:Y8"/>
    <mergeCell ref="Z8:AL8"/>
    <mergeCell ref="AM8:AR8"/>
  </mergeCells>
  <hyperlinks>
    <hyperlink ref="A3" location="Contents!B1" display="Back to contents" xr:uid="{00000000-0004-0000-6700-000000000000}"/>
    <hyperlink ref="B19" location="Contents!B1" display="Back to contents" xr:uid="{00000000-0004-0000-6700-000001000000}"/>
  </hyperlinks>
  <pageMargins left="0.70000000000000007" right="0.70000000000000007" top="0.75" bottom="0.75" header="0.30000000000000004" footer="0.30000000000000004"/>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37C4-4A62-424A-9766-169DD0254ABD}">
  <sheetPr>
    <pageSetUpPr autoPageBreaks="0"/>
  </sheetPr>
  <dimension ref="A1:I95"/>
  <sheetViews>
    <sheetView topLeftCell="A14" workbookViewId="0">
      <selection activeCell="K71" sqref="K71"/>
    </sheetView>
  </sheetViews>
  <sheetFormatPr defaultColWidth="8.7265625" defaultRowHeight="14.5"/>
  <cols>
    <col min="1" max="1" width="25" customWidth="1" collapsed="1"/>
    <col min="2" max="7" width="14" customWidth="1" collapsed="1"/>
    <col min="8" max="9" width="14" customWidth="1"/>
  </cols>
  <sheetData>
    <row r="1" spans="1:9" ht="15.5">
      <c r="A1" s="1" t="s">
        <v>216</v>
      </c>
    </row>
    <row r="2" spans="1:9">
      <c r="A2" s="2" t="s">
        <v>584</v>
      </c>
    </row>
    <row r="4" spans="1:9">
      <c r="A4" s="6" t="s">
        <v>150</v>
      </c>
      <c r="B4" s="227" t="s">
        <v>82</v>
      </c>
      <c r="D4" s="6"/>
    </row>
    <row r="5" spans="1:9">
      <c r="A5" s="6" t="s">
        <v>149</v>
      </c>
      <c r="B5" s="227" t="s">
        <v>585</v>
      </c>
      <c r="D5" s="6"/>
    </row>
    <row r="7" spans="1:9" ht="22" customHeight="1">
      <c r="A7" s="12" t="s">
        <v>5</v>
      </c>
      <c r="B7" s="226">
        <v>2015</v>
      </c>
      <c r="C7" s="226">
        <v>2016</v>
      </c>
      <c r="D7" s="65">
        <v>2017</v>
      </c>
      <c r="E7" s="65">
        <v>2018</v>
      </c>
      <c r="F7" s="65">
        <v>2019</v>
      </c>
      <c r="G7" s="65">
        <v>2020</v>
      </c>
      <c r="H7" s="65">
        <v>2021</v>
      </c>
      <c r="I7" s="65">
        <v>2022</v>
      </c>
    </row>
    <row r="8" spans="1:9">
      <c r="A8" s="6" t="s">
        <v>14</v>
      </c>
      <c r="B8" s="225">
        <v>230350</v>
      </c>
      <c r="C8" s="225">
        <v>229840</v>
      </c>
      <c r="D8" s="10">
        <v>228800</v>
      </c>
      <c r="E8" s="10">
        <v>227560</v>
      </c>
      <c r="F8" s="10">
        <v>228670</v>
      </c>
      <c r="G8" s="10">
        <v>229060</v>
      </c>
      <c r="H8" s="10">
        <v>227430</v>
      </c>
      <c r="I8" s="10">
        <v>224190</v>
      </c>
    </row>
    <row r="9" spans="1:9">
      <c r="A9" s="6" t="s">
        <v>15</v>
      </c>
      <c r="B9" s="225">
        <v>261960</v>
      </c>
      <c r="C9" s="225">
        <v>262190</v>
      </c>
      <c r="D9" s="10">
        <v>261800</v>
      </c>
      <c r="E9" s="10">
        <v>261470</v>
      </c>
      <c r="F9" s="10">
        <v>261210</v>
      </c>
      <c r="G9" s="10">
        <v>260780</v>
      </c>
      <c r="H9" s="10">
        <v>262690</v>
      </c>
      <c r="I9" s="10">
        <v>263750</v>
      </c>
    </row>
    <row r="10" spans="1:9">
      <c r="A10" s="6" t="s">
        <v>16</v>
      </c>
      <c r="B10" s="225">
        <v>116900</v>
      </c>
      <c r="C10" s="225">
        <v>116520</v>
      </c>
      <c r="D10" s="10">
        <v>116280</v>
      </c>
      <c r="E10" s="10">
        <v>116040</v>
      </c>
      <c r="F10" s="10">
        <v>116200</v>
      </c>
      <c r="G10" s="10">
        <v>115820</v>
      </c>
      <c r="H10" s="10">
        <v>116120</v>
      </c>
      <c r="I10" s="10">
        <v>114660</v>
      </c>
    </row>
    <row r="11" spans="1:9">
      <c r="A11" s="6" t="s">
        <v>17</v>
      </c>
      <c r="B11" s="225">
        <v>86890</v>
      </c>
      <c r="C11" s="225">
        <v>87130</v>
      </c>
      <c r="D11" s="10">
        <v>86810</v>
      </c>
      <c r="E11" s="10">
        <v>86260</v>
      </c>
      <c r="F11" s="10">
        <v>85870</v>
      </c>
      <c r="G11" s="10">
        <v>85430</v>
      </c>
      <c r="H11" s="10">
        <v>86220</v>
      </c>
      <c r="I11" s="10">
        <v>87920</v>
      </c>
    </row>
    <row r="12" spans="1:9">
      <c r="A12" s="6" t="s">
        <v>189</v>
      </c>
      <c r="B12" s="225">
        <v>498810</v>
      </c>
      <c r="C12" s="225">
        <v>507170</v>
      </c>
      <c r="D12" s="10">
        <v>513210</v>
      </c>
      <c r="E12" s="10">
        <v>518500</v>
      </c>
      <c r="F12" s="10">
        <v>524930</v>
      </c>
      <c r="G12" s="10">
        <v>527620</v>
      </c>
      <c r="H12" s="10">
        <v>526470</v>
      </c>
      <c r="I12" s="10">
        <v>514990</v>
      </c>
    </row>
    <row r="13" spans="1:9">
      <c r="A13" s="6" t="s">
        <v>18</v>
      </c>
      <c r="B13" s="225">
        <v>51360</v>
      </c>
      <c r="C13" s="225">
        <v>51350</v>
      </c>
      <c r="D13" s="10">
        <v>51450</v>
      </c>
      <c r="E13" s="10">
        <v>51400</v>
      </c>
      <c r="F13" s="10">
        <v>51540</v>
      </c>
      <c r="G13" s="10">
        <v>51290</v>
      </c>
      <c r="H13" s="10">
        <v>51540</v>
      </c>
      <c r="I13" s="10">
        <v>51750</v>
      </c>
    </row>
    <row r="14" spans="1:9">
      <c r="A14" s="6" t="s">
        <v>19</v>
      </c>
      <c r="B14" s="225">
        <v>149670</v>
      </c>
      <c r="C14" s="225">
        <v>149520</v>
      </c>
      <c r="D14" s="10">
        <v>149200</v>
      </c>
      <c r="E14" s="10">
        <v>148790</v>
      </c>
      <c r="F14" s="10">
        <v>148860</v>
      </c>
      <c r="G14" s="10">
        <v>148290</v>
      </c>
      <c r="H14" s="10">
        <v>148790</v>
      </c>
      <c r="I14" s="10">
        <v>145770</v>
      </c>
    </row>
    <row r="15" spans="1:9">
      <c r="A15" s="6" t="s">
        <v>20</v>
      </c>
      <c r="B15" s="225">
        <v>148210</v>
      </c>
      <c r="C15" s="225">
        <v>148270</v>
      </c>
      <c r="D15" s="10">
        <v>148710</v>
      </c>
      <c r="E15" s="10">
        <v>148750</v>
      </c>
      <c r="F15" s="10">
        <v>149320</v>
      </c>
      <c r="G15" s="10">
        <v>148820</v>
      </c>
      <c r="H15" s="10">
        <v>147720</v>
      </c>
      <c r="I15" s="10">
        <v>148350</v>
      </c>
    </row>
    <row r="16" spans="1:9">
      <c r="A16" s="6" t="s">
        <v>21</v>
      </c>
      <c r="B16" s="225">
        <v>122060</v>
      </c>
      <c r="C16" s="225">
        <v>122200</v>
      </c>
      <c r="D16" s="10">
        <v>121940</v>
      </c>
      <c r="E16" s="10">
        <v>121840</v>
      </c>
      <c r="F16" s="10">
        <v>122010</v>
      </c>
      <c r="G16" s="10">
        <v>121600</v>
      </c>
      <c r="H16" s="10">
        <v>122020</v>
      </c>
      <c r="I16" s="10">
        <v>120390</v>
      </c>
    </row>
    <row r="17" spans="1:9">
      <c r="A17" s="6" t="s">
        <v>22</v>
      </c>
      <c r="B17" s="225">
        <v>106960</v>
      </c>
      <c r="C17" s="225">
        <v>107540</v>
      </c>
      <c r="D17" s="10">
        <v>108130</v>
      </c>
      <c r="E17" s="10">
        <v>108330</v>
      </c>
      <c r="F17" s="10">
        <v>108640</v>
      </c>
      <c r="G17" s="10">
        <v>108750</v>
      </c>
      <c r="H17" s="10">
        <v>108900</v>
      </c>
      <c r="I17" s="10">
        <v>108980</v>
      </c>
    </row>
    <row r="18" spans="1:9">
      <c r="A18" s="6" t="s">
        <v>23</v>
      </c>
      <c r="B18" s="225">
        <v>103050</v>
      </c>
      <c r="C18" s="225">
        <v>104090</v>
      </c>
      <c r="D18" s="10">
        <v>104840</v>
      </c>
      <c r="E18" s="10">
        <v>105790</v>
      </c>
      <c r="F18" s="10">
        <v>107090</v>
      </c>
      <c r="G18" s="10">
        <v>107900</v>
      </c>
      <c r="H18" s="10">
        <v>109580</v>
      </c>
      <c r="I18" s="10">
        <v>112450</v>
      </c>
    </row>
    <row r="19" spans="1:9">
      <c r="A19" s="6" t="s">
        <v>24</v>
      </c>
      <c r="B19" s="225">
        <v>92940</v>
      </c>
      <c r="C19" s="225">
        <v>93810</v>
      </c>
      <c r="D19" s="10">
        <v>94760</v>
      </c>
      <c r="E19" s="10">
        <v>95170</v>
      </c>
      <c r="F19" s="10">
        <v>95530</v>
      </c>
      <c r="G19" s="10">
        <v>96060</v>
      </c>
      <c r="H19" s="10">
        <v>96580</v>
      </c>
      <c r="I19" s="10">
        <v>97160</v>
      </c>
    </row>
    <row r="20" spans="1:9">
      <c r="A20" s="6" t="s">
        <v>25</v>
      </c>
      <c r="B20" s="225">
        <v>158460</v>
      </c>
      <c r="C20" s="225">
        <v>159380</v>
      </c>
      <c r="D20" s="10">
        <v>160130</v>
      </c>
      <c r="E20" s="10">
        <v>160340</v>
      </c>
      <c r="F20" s="10">
        <v>160890</v>
      </c>
      <c r="G20" s="10">
        <v>160560</v>
      </c>
      <c r="H20" s="10">
        <v>160700</v>
      </c>
      <c r="I20" s="10">
        <v>158450</v>
      </c>
    </row>
    <row r="21" spans="1:9">
      <c r="A21" s="6" t="s">
        <v>26</v>
      </c>
      <c r="B21" s="225">
        <v>368080</v>
      </c>
      <c r="C21" s="225">
        <v>370330</v>
      </c>
      <c r="D21" s="10">
        <v>371410</v>
      </c>
      <c r="E21" s="10">
        <v>371910</v>
      </c>
      <c r="F21" s="10">
        <v>373550</v>
      </c>
      <c r="G21" s="10">
        <v>374130</v>
      </c>
      <c r="H21" s="10">
        <v>374730</v>
      </c>
      <c r="I21" s="10">
        <v>371340</v>
      </c>
    </row>
    <row r="22" spans="1:9">
      <c r="A22" s="6" t="s">
        <v>27</v>
      </c>
      <c r="B22" s="225">
        <v>606340</v>
      </c>
      <c r="C22" s="225">
        <v>615070</v>
      </c>
      <c r="D22" s="10">
        <v>621020</v>
      </c>
      <c r="E22" s="10">
        <v>626410</v>
      </c>
      <c r="F22" s="10">
        <v>633120</v>
      </c>
      <c r="G22" s="10">
        <v>635640</v>
      </c>
      <c r="H22" s="10">
        <v>635130</v>
      </c>
      <c r="I22" s="10">
        <v>622820</v>
      </c>
    </row>
    <row r="23" spans="1:9">
      <c r="A23" s="6" t="s">
        <v>28</v>
      </c>
      <c r="B23" s="225">
        <v>234110</v>
      </c>
      <c r="C23" s="225">
        <v>234770</v>
      </c>
      <c r="D23" s="10">
        <v>235180</v>
      </c>
      <c r="E23" s="10">
        <v>235540</v>
      </c>
      <c r="F23" s="10">
        <v>235830</v>
      </c>
      <c r="G23" s="10">
        <v>235430</v>
      </c>
      <c r="H23" s="10">
        <v>238060</v>
      </c>
      <c r="I23" s="10">
        <v>235710</v>
      </c>
    </row>
    <row r="24" spans="1:9">
      <c r="A24" s="6" t="s">
        <v>29</v>
      </c>
      <c r="B24" s="225">
        <v>79500</v>
      </c>
      <c r="C24" s="225">
        <v>79160</v>
      </c>
      <c r="D24" s="10">
        <v>78760</v>
      </c>
      <c r="E24" s="10">
        <v>78150</v>
      </c>
      <c r="F24" s="10">
        <v>77800</v>
      </c>
      <c r="G24" s="10">
        <v>77060</v>
      </c>
      <c r="H24" s="10">
        <v>76700</v>
      </c>
      <c r="I24" s="10">
        <v>78340</v>
      </c>
    </row>
    <row r="25" spans="1:9">
      <c r="A25" s="6" t="s">
        <v>30</v>
      </c>
      <c r="B25" s="225">
        <v>87390</v>
      </c>
      <c r="C25" s="225">
        <v>88610</v>
      </c>
      <c r="D25" s="10">
        <v>90090</v>
      </c>
      <c r="E25" s="10">
        <v>91340</v>
      </c>
      <c r="F25" s="10">
        <v>92460</v>
      </c>
      <c r="G25" s="10">
        <v>93150</v>
      </c>
      <c r="H25" s="10">
        <v>94680</v>
      </c>
      <c r="I25" s="10">
        <v>97030</v>
      </c>
    </row>
    <row r="26" spans="1:9">
      <c r="A26" s="6" t="s">
        <v>31</v>
      </c>
      <c r="B26" s="225">
        <v>95510</v>
      </c>
      <c r="C26" s="225">
        <v>96070</v>
      </c>
      <c r="D26" s="10">
        <v>95780</v>
      </c>
      <c r="E26" s="10">
        <v>95520</v>
      </c>
      <c r="F26" s="10">
        <v>95820</v>
      </c>
      <c r="G26" s="10">
        <v>95710</v>
      </c>
      <c r="H26" s="10">
        <v>96410</v>
      </c>
      <c r="I26" s="10">
        <v>94280</v>
      </c>
    </row>
    <row r="27" spans="1:9">
      <c r="A27" s="6" t="s">
        <v>32</v>
      </c>
      <c r="B27" s="225">
        <v>27070</v>
      </c>
      <c r="C27" s="225">
        <v>26900</v>
      </c>
      <c r="D27" s="10">
        <v>26950</v>
      </c>
      <c r="E27" s="10">
        <v>26830</v>
      </c>
      <c r="F27" s="10">
        <v>26720</v>
      </c>
      <c r="G27" s="10">
        <v>26500</v>
      </c>
      <c r="H27" s="10">
        <v>26640</v>
      </c>
      <c r="I27" s="10">
        <v>26120</v>
      </c>
    </row>
    <row r="28" spans="1:9">
      <c r="A28" s="6" t="s">
        <v>33</v>
      </c>
      <c r="B28" s="225">
        <v>136130</v>
      </c>
      <c r="C28" s="225">
        <v>135890</v>
      </c>
      <c r="D28" s="10">
        <v>135790</v>
      </c>
      <c r="E28" s="10">
        <v>135280</v>
      </c>
      <c r="F28" s="10">
        <v>134740</v>
      </c>
      <c r="G28" s="10">
        <v>134250</v>
      </c>
      <c r="H28" s="10">
        <v>134220</v>
      </c>
      <c r="I28" s="10">
        <v>133490</v>
      </c>
    </row>
    <row r="29" spans="1:9">
      <c r="A29" s="6" t="s">
        <v>34</v>
      </c>
      <c r="B29" s="225">
        <v>338260</v>
      </c>
      <c r="C29" s="225">
        <v>339390</v>
      </c>
      <c r="D29" s="10">
        <v>339960</v>
      </c>
      <c r="E29" s="10">
        <v>340180</v>
      </c>
      <c r="F29" s="10">
        <v>341370</v>
      </c>
      <c r="G29" s="10">
        <v>341140</v>
      </c>
      <c r="H29" s="10">
        <v>341400</v>
      </c>
      <c r="I29" s="10">
        <v>340930</v>
      </c>
    </row>
    <row r="30" spans="1:9">
      <c r="A30" s="6" t="s">
        <v>35</v>
      </c>
      <c r="B30" s="225">
        <v>21670</v>
      </c>
      <c r="C30" s="225">
        <v>21850</v>
      </c>
      <c r="D30" s="10">
        <v>22000</v>
      </c>
      <c r="E30" s="10">
        <v>22190</v>
      </c>
      <c r="F30" s="10">
        <v>22270</v>
      </c>
      <c r="G30" s="10">
        <v>22400</v>
      </c>
      <c r="H30" s="10">
        <v>22540</v>
      </c>
      <c r="I30" s="10">
        <v>22020</v>
      </c>
    </row>
    <row r="31" spans="1:9">
      <c r="A31" s="6" t="s">
        <v>36</v>
      </c>
      <c r="B31" s="225">
        <v>149930</v>
      </c>
      <c r="C31" s="225">
        <v>150680</v>
      </c>
      <c r="D31" s="10">
        <v>151100</v>
      </c>
      <c r="E31" s="10">
        <v>151290</v>
      </c>
      <c r="F31" s="10">
        <v>151950</v>
      </c>
      <c r="G31" s="10">
        <v>151910</v>
      </c>
      <c r="H31" s="10">
        <v>153810</v>
      </c>
      <c r="I31" s="10">
        <v>151120</v>
      </c>
    </row>
    <row r="32" spans="1:9">
      <c r="A32" s="6" t="s">
        <v>37</v>
      </c>
      <c r="B32" s="225">
        <v>174560</v>
      </c>
      <c r="C32" s="225">
        <v>175930</v>
      </c>
      <c r="D32" s="10">
        <v>176830</v>
      </c>
      <c r="E32" s="10">
        <v>177790</v>
      </c>
      <c r="F32" s="10">
        <v>179100</v>
      </c>
      <c r="G32" s="10">
        <v>179390</v>
      </c>
      <c r="H32" s="10">
        <v>179940</v>
      </c>
      <c r="I32" s="10">
        <v>184340</v>
      </c>
    </row>
    <row r="33" spans="1:9">
      <c r="A33" s="6" t="s">
        <v>38</v>
      </c>
      <c r="B33" s="225">
        <v>114030</v>
      </c>
      <c r="C33" s="225">
        <v>114530</v>
      </c>
      <c r="D33" s="10">
        <v>115020</v>
      </c>
      <c r="E33" s="10">
        <v>115270</v>
      </c>
      <c r="F33" s="10">
        <v>115510</v>
      </c>
      <c r="G33" s="10">
        <v>115240</v>
      </c>
      <c r="H33" s="10">
        <v>116020</v>
      </c>
      <c r="I33" s="10">
        <v>116820</v>
      </c>
    </row>
    <row r="34" spans="1:9">
      <c r="A34" s="6" t="s">
        <v>39</v>
      </c>
      <c r="B34" s="225">
        <v>23200</v>
      </c>
      <c r="C34" s="225">
        <v>23200</v>
      </c>
      <c r="D34" s="10">
        <v>23080</v>
      </c>
      <c r="E34" s="10">
        <v>22990</v>
      </c>
      <c r="F34" s="10">
        <v>22920</v>
      </c>
      <c r="G34" s="10">
        <v>22870</v>
      </c>
      <c r="H34" s="10">
        <v>22940</v>
      </c>
      <c r="I34" s="10">
        <v>23020</v>
      </c>
    </row>
    <row r="35" spans="1:9">
      <c r="A35" s="6" t="s">
        <v>40</v>
      </c>
      <c r="B35" s="225">
        <v>112400</v>
      </c>
      <c r="C35" s="225">
        <v>112470</v>
      </c>
      <c r="D35" s="10">
        <v>112680</v>
      </c>
      <c r="E35" s="10">
        <v>112550</v>
      </c>
      <c r="F35" s="10">
        <v>112610</v>
      </c>
      <c r="G35" s="10">
        <v>112140</v>
      </c>
      <c r="H35" s="10">
        <v>112450</v>
      </c>
      <c r="I35" s="10">
        <v>111560</v>
      </c>
    </row>
    <row r="36" spans="1:9">
      <c r="A36" s="6" t="s">
        <v>41</v>
      </c>
      <c r="B36" s="225">
        <v>316230</v>
      </c>
      <c r="C36" s="225">
        <v>317100</v>
      </c>
      <c r="D36" s="10">
        <v>318170</v>
      </c>
      <c r="E36" s="10">
        <v>319020</v>
      </c>
      <c r="F36" s="10">
        <v>320530</v>
      </c>
      <c r="G36" s="10">
        <v>320820</v>
      </c>
      <c r="H36" s="10">
        <v>322630</v>
      </c>
      <c r="I36" s="10">
        <v>327430</v>
      </c>
    </row>
    <row r="37" spans="1:9">
      <c r="A37" s="6" t="s">
        <v>42</v>
      </c>
      <c r="B37" s="225">
        <v>92830</v>
      </c>
      <c r="C37" s="225">
        <v>93750</v>
      </c>
      <c r="D37" s="10">
        <v>94000</v>
      </c>
      <c r="E37" s="10">
        <v>94330</v>
      </c>
      <c r="F37" s="10">
        <v>94210</v>
      </c>
      <c r="G37" s="10">
        <v>94080</v>
      </c>
      <c r="H37" s="10">
        <v>93470</v>
      </c>
      <c r="I37" s="10">
        <v>92530</v>
      </c>
    </row>
    <row r="38" spans="1:9">
      <c r="A38" s="6" t="s">
        <v>43</v>
      </c>
      <c r="B38" s="225">
        <v>89590</v>
      </c>
      <c r="C38" s="225">
        <v>89860</v>
      </c>
      <c r="D38" s="10">
        <v>89610</v>
      </c>
      <c r="E38" s="10">
        <v>89130</v>
      </c>
      <c r="F38" s="10">
        <v>88930</v>
      </c>
      <c r="G38" s="10">
        <v>88340</v>
      </c>
      <c r="H38" s="10">
        <v>87790</v>
      </c>
      <c r="I38" s="10">
        <v>88270</v>
      </c>
    </row>
    <row r="39" spans="1:9">
      <c r="A39" s="6" t="s">
        <v>44</v>
      </c>
      <c r="B39" s="225">
        <v>178550</v>
      </c>
      <c r="C39" s="225">
        <v>180130</v>
      </c>
      <c r="D39" s="10">
        <v>181310</v>
      </c>
      <c r="E39" s="10">
        <v>182140</v>
      </c>
      <c r="F39" s="10">
        <v>183100</v>
      </c>
      <c r="G39" s="10">
        <v>183820</v>
      </c>
      <c r="H39" s="10">
        <v>185580</v>
      </c>
      <c r="I39" s="10">
        <v>181720</v>
      </c>
    </row>
    <row r="40" spans="1:9">
      <c r="A40" s="6" t="s">
        <v>279</v>
      </c>
      <c r="D40" s="10">
        <v>64169395</v>
      </c>
      <c r="E40" s="10">
        <v>64553909</v>
      </c>
      <c r="F40" s="10">
        <v>64903140</v>
      </c>
      <c r="G40" s="10">
        <v>65185724</v>
      </c>
      <c r="H40" s="10">
        <v>65185724</v>
      </c>
      <c r="I40" s="10"/>
    </row>
    <row r="41" spans="1:9">
      <c r="A41" s="6" t="s">
        <v>45</v>
      </c>
      <c r="B41" s="225">
        <v>5373000</v>
      </c>
      <c r="C41" s="225">
        <v>5404700</v>
      </c>
      <c r="D41" s="10">
        <v>5424800</v>
      </c>
      <c r="E41" s="10">
        <v>5438100</v>
      </c>
      <c r="F41" s="10">
        <v>5463300</v>
      </c>
      <c r="G41" s="10">
        <v>5466000</v>
      </c>
      <c r="H41" s="10">
        <v>5479900</v>
      </c>
      <c r="I41" s="10">
        <v>5447700</v>
      </c>
    </row>
    <row r="42" spans="1:9">
      <c r="A42" s="6" t="s">
        <v>46</v>
      </c>
      <c r="B42" s="225">
        <v>65110034</v>
      </c>
      <c r="C42" s="225">
        <v>65648054</v>
      </c>
      <c r="D42" s="10">
        <v>66040229</v>
      </c>
      <c r="E42" s="10">
        <v>66435550</v>
      </c>
      <c r="F42" s="10">
        <v>66796807</v>
      </c>
      <c r="G42" s="10">
        <v>67081234</v>
      </c>
      <c r="H42" s="10"/>
      <c r="I42" s="10"/>
    </row>
    <row r="43" spans="1:9">
      <c r="A43" s="6" t="s">
        <v>47</v>
      </c>
      <c r="B43" s="225">
        <f>SUM(B38,B36,B32,B29,B24,B22,B19,B17)</f>
        <v>1804380</v>
      </c>
      <c r="C43" s="225">
        <f t="shared" ref="C43:H43" si="0">SUM(C38,C36,C32,C29,C24,C22,C19,C17)</f>
        <v>1817860</v>
      </c>
      <c r="D43" s="225">
        <f t="shared" si="0"/>
        <v>1827240</v>
      </c>
      <c r="E43" s="225">
        <f t="shared" si="0"/>
        <v>1834180</v>
      </c>
      <c r="F43" s="225">
        <f t="shared" si="0"/>
        <v>1845020</v>
      </c>
      <c r="G43" s="225">
        <f t="shared" si="0"/>
        <v>1847200</v>
      </c>
      <c r="H43" s="225">
        <f t="shared" si="0"/>
        <v>1849070</v>
      </c>
      <c r="I43" s="225">
        <v>1848270</v>
      </c>
    </row>
    <row r="44" spans="1:9">
      <c r="A44" s="6" t="s">
        <v>238</v>
      </c>
      <c r="B44" s="225">
        <f t="shared" ref="B44:G44" si="1">SUM(B8:B9)</f>
        <v>492310</v>
      </c>
      <c r="C44" s="225">
        <f t="shared" si="1"/>
        <v>492030</v>
      </c>
      <c r="D44" s="225">
        <f t="shared" si="1"/>
        <v>490600</v>
      </c>
      <c r="E44" s="225">
        <f t="shared" si="1"/>
        <v>489030</v>
      </c>
      <c r="F44" s="225">
        <f t="shared" si="1"/>
        <v>489880</v>
      </c>
      <c r="G44" s="225">
        <f t="shared" si="1"/>
        <v>489840</v>
      </c>
      <c r="H44" s="225">
        <f t="shared" ref="H44" si="2">SUM(H8:H9)</f>
        <v>490120</v>
      </c>
      <c r="I44" s="225">
        <v>487940</v>
      </c>
    </row>
    <row r="45" spans="1:9">
      <c r="A45" s="6" t="s">
        <v>596</v>
      </c>
      <c r="B45" s="225">
        <f t="shared" ref="B45:G45" si="3">SUM(B12+B18+B21+B25+B33+B39)</f>
        <v>1349910</v>
      </c>
      <c r="C45" s="225">
        <f t="shared" si="3"/>
        <v>1364860</v>
      </c>
      <c r="D45" s="225">
        <f t="shared" si="3"/>
        <v>1375880</v>
      </c>
      <c r="E45" s="225">
        <f t="shared" si="3"/>
        <v>1384950</v>
      </c>
      <c r="F45" s="225">
        <f t="shared" si="3"/>
        <v>1396640</v>
      </c>
      <c r="G45" s="225">
        <f t="shared" si="3"/>
        <v>1401860</v>
      </c>
      <c r="H45" s="225">
        <f t="shared" ref="H45" si="4">SUM(H12+H18+H21+H25+H33+H39)</f>
        <v>1407060</v>
      </c>
      <c r="I45" s="225">
        <v>1394350</v>
      </c>
    </row>
    <row r="46" spans="1:9">
      <c r="A46" s="6" t="s">
        <v>239</v>
      </c>
      <c r="B46" s="225">
        <f t="shared" ref="B46:G46" si="5">SUM(B31+B21+B15+B10)</f>
        <v>783120</v>
      </c>
      <c r="C46" s="225">
        <f t="shared" si="5"/>
        <v>785800</v>
      </c>
      <c r="D46" s="225">
        <f t="shared" si="5"/>
        <v>787500</v>
      </c>
      <c r="E46" s="225">
        <f t="shared" si="5"/>
        <v>787990</v>
      </c>
      <c r="F46" s="225">
        <f t="shared" si="5"/>
        <v>791020</v>
      </c>
      <c r="G46" s="225">
        <f t="shared" si="5"/>
        <v>790680</v>
      </c>
      <c r="H46" s="225">
        <f t="shared" ref="H46" si="6">SUM(H31+H21+H15+H10)</f>
        <v>792380</v>
      </c>
      <c r="I46" s="225">
        <v>785470</v>
      </c>
    </row>
    <row r="50" spans="1:9" ht="15.5">
      <c r="A50" s="1" t="s">
        <v>216</v>
      </c>
    </row>
    <row r="51" spans="1:9">
      <c r="A51" s="2" t="s">
        <v>584</v>
      </c>
    </row>
    <row r="52" spans="1:9">
      <c r="B52" s="227"/>
    </row>
    <row r="53" spans="1:9">
      <c r="A53" s="6" t="s">
        <v>150</v>
      </c>
      <c r="B53" s="227"/>
      <c r="D53" s="6" t="s">
        <v>82</v>
      </c>
    </row>
    <row r="54" spans="1:9">
      <c r="A54" s="6" t="s">
        <v>149</v>
      </c>
      <c r="D54" s="6" t="s">
        <v>215</v>
      </c>
    </row>
    <row r="56" spans="1:9" ht="22" customHeight="1">
      <c r="A56" s="12" t="s">
        <v>5</v>
      </c>
      <c r="B56" s="226">
        <v>2015</v>
      </c>
      <c r="C56" s="226">
        <v>2016</v>
      </c>
      <c r="D56" s="65">
        <v>2017</v>
      </c>
      <c r="E56" s="65">
        <v>2018</v>
      </c>
      <c r="F56" s="65">
        <v>2019</v>
      </c>
      <c r="G56" s="65">
        <v>2020</v>
      </c>
      <c r="H56" s="65">
        <v>2021</v>
      </c>
      <c r="I56" s="65">
        <v>2022</v>
      </c>
    </row>
    <row r="57" spans="1:9">
      <c r="A57" s="6" t="s">
        <v>14</v>
      </c>
      <c r="B57" s="225">
        <v>162073</v>
      </c>
      <c r="C57" s="225">
        <v>160821</v>
      </c>
      <c r="D57" s="10">
        <v>159013</v>
      </c>
      <c r="E57" s="10">
        <v>157195</v>
      </c>
      <c r="F57" s="10">
        <v>157090</v>
      </c>
      <c r="G57" s="10">
        <v>156660</v>
      </c>
      <c r="H57" s="10">
        <v>154229</v>
      </c>
      <c r="I57" s="10">
        <v>150298</v>
      </c>
    </row>
    <row r="58" spans="1:9">
      <c r="A58" s="6" t="s">
        <v>15</v>
      </c>
      <c r="B58" s="225">
        <v>166393</v>
      </c>
      <c r="C58" s="225">
        <v>165548</v>
      </c>
      <c r="D58" s="10">
        <v>164106</v>
      </c>
      <c r="E58" s="10">
        <v>162638</v>
      </c>
      <c r="F58" s="10">
        <v>161121</v>
      </c>
      <c r="G58" s="10">
        <v>160000</v>
      </c>
      <c r="H58" s="10">
        <v>160495</v>
      </c>
      <c r="I58" s="10">
        <v>159263</v>
      </c>
    </row>
    <row r="59" spans="1:9">
      <c r="A59" s="6" t="s">
        <v>16</v>
      </c>
      <c r="B59" s="225">
        <v>71170</v>
      </c>
      <c r="C59" s="225">
        <v>70588</v>
      </c>
      <c r="D59" s="10">
        <v>70187</v>
      </c>
      <c r="E59" s="10">
        <v>69499</v>
      </c>
      <c r="F59" s="10">
        <v>69265</v>
      </c>
      <c r="G59" s="10">
        <v>68871</v>
      </c>
      <c r="H59" s="10">
        <v>69017</v>
      </c>
      <c r="I59" s="10">
        <v>67593</v>
      </c>
    </row>
    <row r="60" spans="1:9">
      <c r="A60" s="6" t="s">
        <v>17</v>
      </c>
      <c r="B60" s="225">
        <v>52274</v>
      </c>
      <c r="C60" s="225">
        <v>52336</v>
      </c>
      <c r="D60" s="10">
        <v>51810</v>
      </c>
      <c r="E60" s="10">
        <v>51276</v>
      </c>
      <c r="F60" s="10">
        <v>50754</v>
      </c>
      <c r="G60" s="10">
        <v>50511</v>
      </c>
      <c r="H60" s="10">
        <v>51002</v>
      </c>
      <c r="I60" s="10">
        <v>51868</v>
      </c>
    </row>
    <row r="61" spans="1:9">
      <c r="A61" s="6" t="s">
        <v>189</v>
      </c>
      <c r="B61" s="225">
        <v>347874</v>
      </c>
      <c r="C61" s="225">
        <v>353873</v>
      </c>
      <c r="D61" s="10">
        <v>358090</v>
      </c>
      <c r="E61" s="10">
        <v>361939</v>
      </c>
      <c r="F61" s="10">
        <v>366508</v>
      </c>
      <c r="G61" s="10">
        <v>368491</v>
      </c>
      <c r="H61" s="10">
        <v>366367</v>
      </c>
      <c r="I61" s="10">
        <v>357141</v>
      </c>
    </row>
    <row r="62" spans="1:9">
      <c r="A62" s="6" t="s">
        <v>18</v>
      </c>
      <c r="B62" s="225">
        <v>32658</v>
      </c>
      <c r="C62" s="225">
        <v>32443</v>
      </c>
      <c r="D62" s="10">
        <v>32380</v>
      </c>
      <c r="E62" s="10">
        <v>32193</v>
      </c>
      <c r="F62" s="10">
        <v>32133</v>
      </c>
      <c r="G62" s="10">
        <v>31817</v>
      </c>
      <c r="H62" s="10">
        <v>31945</v>
      </c>
      <c r="I62" s="10">
        <v>32189</v>
      </c>
    </row>
    <row r="63" spans="1:9">
      <c r="A63" s="6" t="s">
        <v>19</v>
      </c>
      <c r="B63" s="225">
        <v>89653</v>
      </c>
      <c r="C63" s="225">
        <v>88999</v>
      </c>
      <c r="D63" s="10">
        <v>88304</v>
      </c>
      <c r="E63" s="10">
        <v>87487</v>
      </c>
      <c r="F63" s="10">
        <v>87047</v>
      </c>
      <c r="G63" s="10">
        <v>86182</v>
      </c>
      <c r="H63" s="10">
        <v>86346</v>
      </c>
      <c r="I63" s="10">
        <v>83896</v>
      </c>
    </row>
    <row r="64" spans="1:9">
      <c r="A64" s="6" t="s">
        <v>20</v>
      </c>
      <c r="B64" s="225">
        <v>98554</v>
      </c>
      <c r="C64" s="225">
        <v>98454</v>
      </c>
      <c r="D64" s="10">
        <v>98770</v>
      </c>
      <c r="E64" s="10">
        <v>98747</v>
      </c>
      <c r="F64" s="10">
        <v>99209</v>
      </c>
      <c r="G64" s="10">
        <v>98822</v>
      </c>
      <c r="H64" s="10">
        <v>97773</v>
      </c>
      <c r="I64" s="10">
        <v>97905</v>
      </c>
    </row>
    <row r="65" spans="1:9">
      <c r="A65" s="6" t="s">
        <v>21</v>
      </c>
      <c r="B65" s="225">
        <v>77358</v>
      </c>
      <c r="C65" s="225">
        <v>77024</v>
      </c>
      <c r="D65" s="10">
        <v>76589</v>
      </c>
      <c r="E65" s="10">
        <v>76168</v>
      </c>
      <c r="F65" s="10">
        <v>76005</v>
      </c>
      <c r="G65" s="10">
        <v>75511</v>
      </c>
      <c r="H65" s="10">
        <v>75654</v>
      </c>
      <c r="I65" s="10">
        <v>74068</v>
      </c>
    </row>
    <row r="66" spans="1:9">
      <c r="A66" s="6" t="s">
        <v>22</v>
      </c>
      <c r="B66" s="225">
        <v>65404</v>
      </c>
      <c r="C66" s="225">
        <v>65325</v>
      </c>
      <c r="D66" s="10">
        <v>65372</v>
      </c>
      <c r="E66" s="10">
        <v>65039</v>
      </c>
      <c r="F66" s="10">
        <v>64766</v>
      </c>
      <c r="G66" s="10">
        <v>64517</v>
      </c>
      <c r="H66" s="10">
        <v>64307</v>
      </c>
      <c r="I66" s="10">
        <v>63285</v>
      </c>
    </row>
    <row r="67" spans="1:9">
      <c r="A67" s="6" t="s">
        <v>23</v>
      </c>
      <c r="B67" s="225">
        <v>64200</v>
      </c>
      <c r="C67" s="225">
        <v>64703</v>
      </c>
      <c r="D67" s="10">
        <v>64933</v>
      </c>
      <c r="E67" s="10">
        <v>65270</v>
      </c>
      <c r="F67" s="10">
        <v>65659</v>
      </c>
      <c r="G67" s="10">
        <v>66007</v>
      </c>
      <c r="H67" s="10">
        <v>66893</v>
      </c>
      <c r="I67" s="10">
        <v>68402</v>
      </c>
    </row>
    <row r="68" spans="1:9">
      <c r="A68" s="6" t="s">
        <v>24</v>
      </c>
      <c r="B68" s="225">
        <v>56522</v>
      </c>
      <c r="C68" s="225">
        <v>56795</v>
      </c>
      <c r="D68" s="10">
        <v>57037</v>
      </c>
      <c r="E68" s="10">
        <v>56951</v>
      </c>
      <c r="F68" s="10">
        <v>56819</v>
      </c>
      <c r="G68" s="10">
        <v>56973</v>
      </c>
      <c r="H68" s="10">
        <v>57033</v>
      </c>
      <c r="I68" s="10">
        <v>56601</v>
      </c>
    </row>
    <row r="69" spans="1:9">
      <c r="A69" s="6" t="s">
        <v>25</v>
      </c>
      <c r="B69" s="225">
        <v>101594</v>
      </c>
      <c r="C69" s="225">
        <v>101864</v>
      </c>
      <c r="D69" s="10">
        <v>102271</v>
      </c>
      <c r="E69" s="10">
        <v>102104</v>
      </c>
      <c r="F69" s="10">
        <v>102329</v>
      </c>
      <c r="G69" s="10">
        <v>102019</v>
      </c>
      <c r="H69" s="10">
        <v>102021</v>
      </c>
      <c r="I69" s="10">
        <v>100328</v>
      </c>
    </row>
    <row r="70" spans="1:9">
      <c r="A70" s="6" t="s">
        <v>26</v>
      </c>
      <c r="B70" s="225">
        <v>231637</v>
      </c>
      <c r="C70" s="225">
        <v>232300</v>
      </c>
      <c r="D70" s="10">
        <v>232485</v>
      </c>
      <c r="E70" s="10">
        <v>231847</v>
      </c>
      <c r="F70" s="10">
        <v>231974</v>
      </c>
      <c r="G70" s="10">
        <v>231809</v>
      </c>
      <c r="H70" s="10">
        <v>231635</v>
      </c>
      <c r="I70" s="10">
        <v>229225</v>
      </c>
    </row>
    <row r="71" spans="1:9">
      <c r="A71" s="6" t="s">
        <v>27</v>
      </c>
      <c r="B71" s="225">
        <v>425305</v>
      </c>
      <c r="C71" s="225">
        <v>432793</v>
      </c>
      <c r="D71" s="10">
        <v>437911</v>
      </c>
      <c r="E71" s="10">
        <v>442207</v>
      </c>
      <c r="F71" s="10">
        <v>447290</v>
      </c>
      <c r="G71" s="10">
        <v>449539</v>
      </c>
      <c r="H71" s="10">
        <v>448645</v>
      </c>
      <c r="I71" s="10">
        <v>439158</v>
      </c>
    </row>
    <row r="72" spans="1:9">
      <c r="A72" s="6" t="s">
        <v>28</v>
      </c>
      <c r="B72" s="225">
        <v>145077</v>
      </c>
      <c r="C72" s="225">
        <v>144722</v>
      </c>
      <c r="D72" s="10">
        <v>144586</v>
      </c>
      <c r="E72" s="10">
        <v>144209</v>
      </c>
      <c r="F72" s="10">
        <v>143706</v>
      </c>
      <c r="G72" s="10">
        <v>142939</v>
      </c>
      <c r="H72" s="10">
        <v>144706</v>
      </c>
      <c r="I72" s="10">
        <v>142307</v>
      </c>
    </row>
    <row r="73" spans="1:9">
      <c r="A73" s="6" t="s">
        <v>29</v>
      </c>
      <c r="B73" s="225">
        <v>50643</v>
      </c>
      <c r="C73" s="225">
        <v>50140</v>
      </c>
      <c r="D73" s="10">
        <v>49776</v>
      </c>
      <c r="E73" s="10">
        <v>49140</v>
      </c>
      <c r="F73" s="10">
        <v>48689</v>
      </c>
      <c r="G73" s="10">
        <v>48152</v>
      </c>
      <c r="H73" s="10">
        <v>47782</v>
      </c>
      <c r="I73" s="10">
        <v>48719</v>
      </c>
    </row>
    <row r="74" spans="1:9">
      <c r="A74" s="6" t="s">
        <v>30</v>
      </c>
      <c r="B74" s="225">
        <v>54771</v>
      </c>
      <c r="C74" s="225">
        <v>55334</v>
      </c>
      <c r="D74" s="10">
        <v>56175</v>
      </c>
      <c r="E74" s="10">
        <v>56721</v>
      </c>
      <c r="F74" s="10">
        <v>57124</v>
      </c>
      <c r="G74" s="10">
        <v>57491</v>
      </c>
      <c r="H74" s="10">
        <v>58532</v>
      </c>
      <c r="I74" s="10">
        <v>60293</v>
      </c>
    </row>
    <row r="75" spans="1:9">
      <c r="A75" s="6" t="s">
        <v>31</v>
      </c>
      <c r="B75" s="225">
        <v>59619</v>
      </c>
      <c r="C75" s="225">
        <v>59789</v>
      </c>
      <c r="D75" s="10">
        <v>59364</v>
      </c>
      <c r="E75" s="10">
        <v>58924</v>
      </c>
      <c r="F75" s="10">
        <v>58959</v>
      </c>
      <c r="G75" s="10">
        <v>58602</v>
      </c>
      <c r="H75" s="10">
        <v>58935</v>
      </c>
      <c r="I75" s="10">
        <v>57099</v>
      </c>
    </row>
    <row r="76" spans="1:9">
      <c r="A76" s="6" t="s">
        <v>32</v>
      </c>
      <c r="B76" s="225">
        <v>16161</v>
      </c>
      <c r="C76" s="225">
        <v>15954</v>
      </c>
      <c r="D76" s="10">
        <v>15827</v>
      </c>
      <c r="E76" s="10">
        <v>15677</v>
      </c>
      <c r="F76" s="10">
        <v>15571</v>
      </c>
      <c r="G76" s="10">
        <v>15392</v>
      </c>
      <c r="H76" s="10">
        <v>15508</v>
      </c>
      <c r="I76" s="10">
        <v>15176</v>
      </c>
    </row>
    <row r="77" spans="1:9">
      <c r="A77" s="6" t="s">
        <v>33</v>
      </c>
      <c r="B77" s="225">
        <v>84121</v>
      </c>
      <c r="C77" s="225">
        <v>83535</v>
      </c>
      <c r="D77" s="10">
        <v>83169</v>
      </c>
      <c r="E77" s="10">
        <v>82426</v>
      </c>
      <c r="F77" s="10">
        <v>81740</v>
      </c>
      <c r="G77" s="10">
        <v>81123</v>
      </c>
      <c r="H77" s="10">
        <v>81035</v>
      </c>
      <c r="I77" s="10">
        <v>80452</v>
      </c>
    </row>
    <row r="78" spans="1:9">
      <c r="A78" s="6" t="s">
        <v>34</v>
      </c>
      <c r="B78" s="225">
        <v>219345</v>
      </c>
      <c r="C78" s="225">
        <v>219594</v>
      </c>
      <c r="D78" s="10">
        <v>219694</v>
      </c>
      <c r="E78" s="10">
        <v>219221</v>
      </c>
      <c r="F78" s="10">
        <v>219435</v>
      </c>
      <c r="G78" s="10">
        <v>219051</v>
      </c>
      <c r="H78" s="10">
        <v>219178</v>
      </c>
      <c r="I78" s="10">
        <v>219482</v>
      </c>
    </row>
    <row r="79" spans="1:9">
      <c r="A79" s="6" t="s">
        <v>35</v>
      </c>
      <c r="B79" s="225">
        <v>13367</v>
      </c>
      <c r="C79" s="225">
        <v>13367</v>
      </c>
      <c r="D79" s="10">
        <v>13382</v>
      </c>
      <c r="E79" s="10">
        <v>13412</v>
      </c>
      <c r="F79" s="10">
        <v>13382</v>
      </c>
      <c r="G79" s="10">
        <v>13386</v>
      </c>
      <c r="H79" s="10">
        <v>13447</v>
      </c>
      <c r="I79" s="10">
        <v>13020</v>
      </c>
    </row>
    <row r="80" spans="1:9">
      <c r="A80" s="6" t="s">
        <v>36</v>
      </c>
      <c r="B80" s="225">
        <v>92055</v>
      </c>
      <c r="C80" s="225">
        <v>92250</v>
      </c>
      <c r="D80" s="10">
        <v>92132</v>
      </c>
      <c r="E80" s="10">
        <v>91666</v>
      </c>
      <c r="F80" s="10">
        <v>91695</v>
      </c>
      <c r="G80" s="10">
        <v>91349</v>
      </c>
      <c r="H80" s="10">
        <v>92594</v>
      </c>
      <c r="I80" s="10">
        <v>89720</v>
      </c>
    </row>
    <row r="81" spans="1:9">
      <c r="A81" s="6" t="s">
        <v>37</v>
      </c>
      <c r="B81" s="225">
        <v>112611</v>
      </c>
      <c r="C81" s="225">
        <v>113311</v>
      </c>
      <c r="D81" s="10">
        <v>113843</v>
      </c>
      <c r="E81" s="10">
        <v>114331</v>
      </c>
      <c r="F81" s="10">
        <v>114946</v>
      </c>
      <c r="G81" s="10">
        <v>115055</v>
      </c>
      <c r="H81" s="10">
        <v>115571</v>
      </c>
      <c r="I81" s="10">
        <v>118453</v>
      </c>
    </row>
    <row r="82" spans="1:9">
      <c r="A82" s="6" t="s">
        <v>38</v>
      </c>
      <c r="B82" s="225">
        <v>68307</v>
      </c>
      <c r="C82" s="225">
        <v>68285</v>
      </c>
      <c r="D82" s="10">
        <v>68295</v>
      </c>
      <c r="E82" s="10">
        <v>68121</v>
      </c>
      <c r="F82" s="10">
        <v>67871</v>
      </c>
      <c r="G82" s="10">
        <v>67332</v>
      </c>
      <c r="H82" s="10">
        <v>67642</v>
      </c>
      <c r="I82" s="10">
        <v>67800</v>
      </c>
    </row>
    <row r="83" spans="1:9">
      <c r="A83" s="6" t="s">
        <v>39</v>
      </c>
      <c r="B83" s="225">
        <v>14619</v>
      </c>
      <c r="C83" s="225">
        <v>14564</v>
      </c>
      <c r="D83" s="10">
        <v>14365</v>
      </c>
      <c r="E83" s="10">
        <v>14230</v>
      </c>
      <c r="F83" s="10">
        <v>14036</v>
      </c>
      <c r="G83" s="10">
        <v>13905</v>
      </c>
      <c r="H83" s="10">
        <v>13912</v>
      </c>
      <c r="I83" s="10">
        <v>13827</v>
      </c>
    </row>
    <row r="84" spans="1:9">
      <c r="A84" s="6" t="s">
        <v>40</v>
      </c>
      <c r="B84" s="225">
        <v>67819</v>
      </c>
      <c r="C84" s="225">
        <v>67453</v>
      </c>
      <c r="D84" s="10">
        <v>67184</v>
      </c>
      <c r="E84" s="10">
        <v>66726</v>
      </c>
      <c r="F84" s="10">
        <v>66258</v>
      </c>
      <c r="G84" s="10">
        <v>65767</v>
      </c>
      <c r="H84" s="10">
        <v>65844</v>
      </c>
      <c r="I84" s="10">
        <v>64930</v>
      </c>
    </row>
    <row r="85" spans="1:9">
      <c r="A85" s="6" t="s">
        <v>41</v>
      </c>
      <c r="B85" s="225">
        <v>202813</v>
      </c>
      <c r="C85" s="225">
        <v>202849</v>
      </c>
      <c r="D85" s="10">
        <v>202763</v>
      </c>
      <c r="E85" s="10">
        <v>202463</v>
      </c>
      <c r="F85" s="10">
        <v>202175</v>
      </c>
      <c r="G85" s="10">
        <v>201790</v>
      </c>
      <c r="H85" s="10">
        <v>202430</v>
      </c>
      <c r="I85" s="10">
        <v>205490</v>
      </c>
    </row>
    <row r="86" spans="1:9">
      <c r="A86" s="6" t="s">
        <v>42</v>
      </c>
      <c r="B86" s="225">
        <v>60177</v>
      </c>
      <c r="C86" s="225">
        <v>60832</v>
      </c>
      <c r="D86" s="10">
        <v>60838</v>
      </c>
      <c r="E86" s="10">
        <v>60814</v>
      </c>
      <c r="F86" s="10">
        <v>60529</v>
      </c>
      <c r="G86" s="10">
        <v>60411</v>
      </c>
      <c r="H86" s="10">
        <v>59731</v>
      </c>
      <c r="I86" s="10">
        <v>58746</v>
      </c>
    </row>
    <row r="87" spans="1:9">
      <c r="A87" s="6" t="s">
        <v>43</v>
      </c>
      <c r="B87" s="225">
        <v>57987</v>
      </c>
      <c r="C87" s="225">
        <v>57905</v>
      </c>
      <c r="D87" s="10">
        <v>57491</v>
      </c>
      <c r="E87" s="10">
        <v>56998</v>
      </c>
      <c r="F87" s="10">
        <v>56552</v>
      </c>
      <c r="G87" s="10">
        <v>55988</v>
      </c>
      <c r="H87" s="10">
        <v>55414</v>
      </c>
      <c r="I87" s="10">
        <v>55508</v>
      </c>
    </row>
    <row r="88" spans="1:9">
      <c r="A88" s="6" t="s">
        <v>44</v>
      </c>
      <c r="B88" s="225">
        <v>115579</v>
      </c>
      <c r="C88" s="225">
        <v>116181</v>
      </c>
      <c r="D88" s="10">
        <v>116649</v>
      </c>
      <c r="E88" s="10">
        <v>116845</v>
      </c>
      <c r="F88" s="10">
        <v>117121</v>
      </c>
      <c r="G88" s="10">
        <v>117675</v>
      </c>
      <c r="H88" s="10">
        <v>118894</v>
      </c>
      <c r="I88" s="10">
        <v>116171</v>
      </c>
    </row>
    <row r="89" spans="1:9">
      <c r="A89" s="6" t="s">
        <v>279</v>
      </c>
      <c r="D89" s="10">
        <v>40368375</v>
      </c>
      <c r="E89" s="10">
        <v>40465880</v>
      </c>
      <c r="F89" s="10">
        <v>40540992</v>
      </c>
      <c r="G89" s="10">
        <v>40665282</v>
      </c>
      <c r="H89" s="10">
        <v>40665282</v>
      </c>
      <c r="I89" s="10"/>
    </row>
    <row r="90" spans="1:9">
      <c r="A90" s="6" t="s">
        <v>45</v>
      </c>
      <c r="B90" s="225">
        <v>3477740</v>
      </c>
      <c r="C90" s="225">
        <v>3489931</v>
      </c>
      <c r="D90" s="10">
        <v>3494791</v>
      </c>
      <c r="E90" s="10">
        <v>3492484</v>
      </c>
      <c r="F90" s="10">
        <v>3497758</v>
      </c>
      <c r="G90" s="10">
        <v>3493137</v>
      </c>
      <c r="H90" s="10">
        <v>3494517</v>
      </c>
      <c r="I90" s="10">
        <v>3458413</v>
      </c>
    </row>
    <row r="91" spans="1:9">
      <c r="A91" s="6" t="s">
        <v>46</v>
      </c>
      <c r="B91" s="225">
        <v>41241002</v>
      </c>
      <c r="C91" s="225">
        <v>41443872</v>
      </c>
      <c r="D91" s="10">
        <v>41545550</v>
      </c>
      <c r="E91" s="10">
        <v>41645814</v>
      </c>
      <c r="F91" s="10">
        <v>41724010</v>
      </c>
      <c r="G91" s="10">
        <v>41845027</v>
      </c>
      <c r="H91" s="10"/>
      <c r="I91" s="10"/>
    </row>
    <row r="92" spans="1:9">
      <c r="A92" s="6" t="s">
        <v>47</v>
      </c>
      <c r="B92" s="225">
        <f>SUM(B87,B85,B81,B78,B73,B71,B68,B66)</f>
        <v>1190630</v>
      </c>
      <c r="C92" s="225">
        <f t="shared" ref="C92:H92" si="7">SUM(C87,C85,C81,C78,C73,C71,C68,C66)</f>
        <v>1198712</v>
      </c>
      <c r="D92" s="225">
        <f t="shared" si="7"/>
        <v>1203887</v>
      </c>
      <c r="E92" s="225">
        <f t="shared" si="7"/>
        <v>1206350</v>
      </c>
      <c r="F92" s="225">
        <f t="shared" si="7"/>
        <v>1210672</v>
      </c>
      <c r="G92" s="225">
        <f t="shared" si="7"/>
        <v>1211065</v>
      </c>
      <c r="H92" s="225">
        <f t="shared" si="7"/>
        <v>1210360</v>
      </c>
      <c r="I92" s="225">
        <v>1206696</v>
      </c>
    </row>
    <row r="93" spans="1:9">
      <c r="A93" s="6" t="s">
        <v>238</v>
      </c>
      <c r="B93" s="225">
        <f t="shared" ref="B93:G93" si="8">SUM(B57:B58)</f>
        <v>328466</v>
      </c>
      <c r="C93" s="225">
        <f t="shared" si="8"/>
        <v>326369</v>
      </c>
      <c r="D93" s="225">
        <f t="shared" si="8"/>
        <v>323119</v>
      </c>
      <c r="E93" s="225">
        <f t="shared" si="8"/>
        <v>319833</v>
      </c>
      <c r="F93" s="225">
        <f t="shared" si="8"/>
        <v>318211</v>
      </c>
      <c r="G93" s="225">
        <f t="shared" si="8"/>
        <v>316660</v>
      </c>
      <c r="H93" s="225">
        <f t="shared" ref="H93" si="9">SUM(H57:H58)</f>
        <v>314724</v>
      </c>
      <c r="I93" s="225">
        <v>309561</v>
      </c>
    </row>
    <row r="94" spans="1:9">
      <c r="A94" s="6" t="s">
        <v>596</v>
      </c>
      <c r="B94" s="225">
        <f t="shared" ref="B94:H94" si="10">SUM(B61+B67+B70+B74+B82+B88)</f>
        <v>882368</v>
      </c>
      <c r="C94" s="225">
        <f t="shared" si="10"/>
        <v>890676</v>
      </c>
      <c r="D94" s="225">
        <f t="shared" si="10"/>
        <v>896627</v>
      </c>
      <c r="E94" s="225">
        <f t="shared" si="10"/>
        <v>900743</v>
      </c>
      <c r="F94" s="225">
        <f t="shared" si="10"/>
        <v>906257</v>
      </c>
      <c r="G94" s="225">
        <f t="shared" si="10"/>
        <v>908805</v>
      </c>
      <c r="H94" s="225">
        <f t="shared" si="10"/>
        <v>909963</v>
      </c>
      <c r="I94" s="225">
        <v>899032</v>
      </c>
    </row>
    <row r="95" spans="1:9">
      <c r="A95" s="6" t="s">
        <v>239</v>
      </c>
      <c r="B95" s="225">
        <f t="shared" ref="B95:H95" si="11">SUM(B80+B70+B64+B59)</f>
        <v>493416</v>
      </c>
      <c r="C95" s="225">
        <f t="shared" si="11"/>
        <v>493592</v>
      </c>
      <c r="D95" s="225">
        <f t="shared" si="11"/>
        <v>493574</v>
      </c>
      <c r="E95" s="225">
        <f t="shared" si="11"/>
        <v>491759</v>
      </c>
      <c r="F95" s="225">
        <f t="shared" si="11"/>
        <v>492143</v>
      </c>
      <c r="G95" s="225">
        <f t="shared" si="11"/>
        <v>490851</v>
      </c>
      <c r="H95" s="225">
        <f t="shared" si="11"/>
        <v>491019</v>
      </c>
      <c r="I95" s="225">
        <v>484443</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autoPageBreaks="0"/>
  </sheetPr>
  <dimension ref="B3:X18"/>
  <sheetViews>
    <sheetView zoomScale="90" zoomScaleNormal="90" workbookViewId="0">
      <selection activeCell="X6" sqref="X6"/>
    </sheetView>
  </sheetViews>
  <sheetFormatPr defaultRowHeight="14.5"/>
  <sheetData>
    <row r="3" spans="2:24" ht="39">
      <c r="B3" s="5" t="s">
        <v>51</v>
      </c>
      <c r="F3" s="133" t="s">
        <v>22</v>
      </c>
      <c r="X3" t="s">
        <v>51</v>
      </c>
    </row>
    <row r="4" spans="2:24" ht="39">
      <c r="B4" s="5" t="s">
        <v>47</v>
      </c>
      <c r="F4" s="133" t="s">
        <v>24</v>
      </c>
      <c r="I4" t="s">
        <v>479</v>
      </c>
      <c r="X4" t="s">
        <v>47</v>
      </c>
    </row>
    <row r="5" spans="2:24" ht="26">
      <c r="B5" s="5" t="s">
        <v>45</v>
      </c>
      <c r="F5" s="133" t="s">
        <v>27</v>
      </c>
      <c r="I5" t="s">
        <v>482</v>
      </c>
      <c r="T5" t="s">
        <v>563</v>
      </c>
      <c r="X5" t="s">
        <v>45</v>
      </c>
    </row>
    <row r="6" spans="2:24">
      <c r="B6" s="5" t="s">
        <v>46</v>
      </c>
      <c r="F6" s="133" t="s">
        <v>29</v>
      </c>
      <c r="T6" t="s">
        <v>564</v>
      </c>
      <c r="X6" t="s">
        <v>547</v>
      </c>
    </row>
    <row r="7" spans="2:24" ht="39">
      <c r="B7" s="212" t="s">
        <v>547</v>
      </c>
      <c r="F7" s="133" t="s">
        <v>34</v>
      </c>
      <c r="T7" t="s">
        <v>565</v>
      </c>
    </row>
    <row r="8" spans="2:24" ht="26">
      <c r="B8" s="5"/>
      <c r="F8" s="133" t="s">
        <v>37</v>
      </c>
      <c r="I8" s="201">
        <v>0.02</v>
      </c>
      <c r="L8" t="s">
        <v>539</v>
      </c>
      <c r="M8" t="s">
        <v>540</v>
      </c>
      <c r="N8" t="s">
        <v>541</v>
      </c>
      <c r="O8" t="s">
        <v>542</v>
      </c>
    </row>
    <row r="9" spans="2:24" ht="39">
      <c r="B9" s="5" t="s">
        <v>51</v>
      </c>
      <c r="F9" s="133" t="s">
        <v>41</v>
      </c>
      <c r="I9" s="201">
        <v>0.05</v>
      </c>
      <c r="L9" s="211" t="s">
        <v>24</v>
      </c>
      <c r="M9" s="211" t="s">
        <v>31</v>
      </c>
      <c r="N9" s="211" t="s">
        <v>25</v>
      </c>
      <c r="O9" s="3" t="s">
        <v>32</v>
      </c>
      <c r="R9" t="s">
        <v>543</v>
      </c>
      <c r="S9" t="s">
        <v>544</v>
      </c>
      <c r="T9" t="s">
        <v>545</v>
      </c>
      <c r="U9" t="s">
        <v>546</v>
      </c>
    </row>
    <row r="10" spans="2:24" ht="39">
      <c r="B10" s="5" t="s">
        <v>47</v>
      </c>
      <c r="F10" s="133" t="s">
        <v>43</v>
      </c>
      <c r="I10" s="201">
        <v>0.1</v>
      </c>
      <c r="L10" s="211" t="s">
        <v>22</v>
      </c>
      <c r="M10" s="211" t="s">
        <v>42</v>
      </c>
      <c r="N10" s="211" t="s">
        <v>19</v>
      </c>
      <c r="O10" s="211" t="s">
        <v>20</v>
      </c>
    </row>
    <row r="11" spans="2:24" ht="39">
      <c r="B11" s="5" t="s">
        <v>45</v>
      </c>
      <c r="F11" s="203" t="s">
        <v>530</v>
      </c>
      <c r="I11" s="201">
        <v>0.15</v>
      </c>
      <c r="L11" s="211" t="s">
        <v>15</v>
      </c>
      <c r="M11" s="211" t="s">
        <v>23</v>
      </c>
      <c r="N11" s="211" t="s">
        <v>26</v>
      </c>
      <c r="O11" s="211" t="s">
        <v>21</v>
      </c>
    </row>
    <row r="12" spans="2:24">
      <c r="B12" s="212" t="s">
        <v>547</v>
      </c>
      <c r="I12" s="201">
        <v>0.2</v>
      </c>
      <c r="L12" s="3" t="s">
        <v>189</v>
      </c>
      <c r="M12" s="211" t="s">
        <v>16</v>
      </c>
      <c r="N12" s="211" t="s">
        <v>40</v>
      </c>
      <c r="O12" s="211" t="s">
        <v>33</v>
      </c>
    </row>
    <row r="13" spans="2:24">
      <c r="I13" s="201">
        <v>0.25</v>
      </c>
      <c r="L13" s="211" t="s">
        <v>36</v>
      </c>
      <c r="M13" s="211" t="s">
        <v>38</v>
      </c>
      <c r="N13" s="211" t="s">
        <v>44</v>
      </c>
      <c r="O13" s="211" t="s">
        <v>34</v>
      </c>
    </row>
    <row r="14" spans="2:24" ht="39">
      <c r="F14" s="133" t="s">
        <v>34</v>
      </c>
      <c r="L14" s="211" t="s">
        <v>14</v>
      </c>
      <c r="M14" s="211" t="s">
        <v>28</v>
      </c>
      <c r="N14" s="211" t="s">
        <v>41</v>
      </c>
      <c r="O14" s="211" t="s">
        <v>29</v>
      </c>
    </row>
    <row r="15" spans="2:24" ht="60">
      <c r="B15" s="209" t="s">
        <v>51</v>
      </c>
      <c r="F15" s="133" t="s">
        <v>41</v>
      </c>
      <c r="L15" s="211" t="s">
        <v>39</v>
      </c>
      <c r="M15" s="211" t="s">
        <v>17</v>
      </c>
      <c r="N15" s="211" t="s">
        <v>37</v>
      </c>
      <c r="O15" s="211" t="s">
        <v>43</v>
      </c>
    </row>
    <row r="16" spans="2:24" ht="48">
      <c r="B16" s="209" t="s">
        <v>546</v>
      </c>
      <c r="F16" s="203" t="s">
        <v>530</v>
      </c>
      <c r="L16" s="211" t="s">
        <v>35</v>
      </c>
      <c r="M16" s="211" t="s">
        <v>30</v>
      </c>
      <c r="N16" s="211" t="s">
        <v>18</v>
      </c>
      <c r="O16" s="211" t="s">
        <v>27</v>
      </c>
    </row>
    <row r="17" spans="2:15">
      <c r="B17" s="208" t="s">
        <v>45</v>
      </c>
      <c r="L17" t="s">
        <v>543</v>
      </c>
      <c r="M17" t="s">
        <v>544</v>
      </c>
      <c r="N17" t="s">
        <v>545</v>
      </c>
      <c r="O17" t="s">
        <v>546</v>
      </c>
    </row>
    <row r="18" spans="2:15">
      <c r="B18" s="208" t="s">
        <v>46</v>
      </c>
    </row>
  </sheetData>
  <dataValidations count="5">
    <dataValidation type="list" allowBlank="1" showInputMessage="1" showErrorMessage="1" sqref="R9" xr:uid="{00000000-0002-0000-6800-000000000000}">
      <formula1>$L$9:$L$17</formula1>
    </dataValidation>
    <dataValidation type="list" allowBlank="1" showInputMessage="1" showErrorMessage="1" sqref="S9" xr:uid="{00000000-0002-0000-6800-000001000000}">
      <formula1>$M$9:$M$17</formula1>
    </dataValidation>
    <dataValidation type="list" allowBlank="1" showInputMessage="1" showErrorMessage="1" sqref="T9" xr:uid="{00000000-0002-0000-6800-000002000000}">
      <formula1>$N$9:$N$17</formula1>
    </dataValidation>
    <dataValidation type="list" allowBlank="1" showInputMessage="1" showErrorMessage="1" sqref="U9" xr:uid="{00000000-0002-0000-6800-000003000000}">
      <formula1>$O$9:$O$17</formula1>
    </dataValidation>
    <dataValidation type="list" allowBlank="1" showInputMessage="1" showErrorMessage="1" sqref="B16" xr:uid="{362AA892-9C39-4007-8739-2CC23F929B71}">
      <formula1>$R$9:$U$9</formula1>
    </dataValidation>
  </dataValidation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autoPageBreaks="0"/>
  </sheetPr>
  <dimension ref="B2:F27"/>
  <sheetViews>
    <sheetView workbookViewId="0"/>
  </sheetViews>
  <sheetFormatPr defaultRowHeight="14.5"/>
  <cols>
    <col min="2" max="2" width="43.453125" bestFit="1" customWidth="1"/>
    <col min="3" max="6" width="15.1796875" customWidth="1"/>
  </cols>
  <sheetData>
    <row r="2" spans="2:6" ht="36">
      <c r="C2" s="209" t="s">
        <v>51</v>
      </c>
      <c r="D2" s="209" t="s">
        <v>543</v>
      </c>
      <c r="E2" s="208" t="s">
        <v>45</v>
      </c>
      <c r="F2" s="208" t="s">
        <v>46</v>
      </c>
    </row>
    <row r="3" spans="2:6">
      <c r="B3" s="204" t="str">
        <f>Employment!$C$2</f>
        <v>Employment Rate (%)</v>
      </c>
    </row>
    <row r="4" spans="2:6">
      <c r="B4" s="204" t="str">
        <f>Unemployment!$C$2</f>
        <v>Unemployment Rate (%)</v>
      </c>
    </row>
    <row r="5" spans="2:6">
      <c r="B5" s="204" t="str">
        <f>'Economic Inactivity'!$C$2</f>
        <v>Economic Inactivity Rate (%)</v>
      </c>
    </row>
    <row r="6" spans="2:6">
      <c r="B6" s="204" t="str">
        <f>'High Qualifications'!$C$2</f>
        <v>RQF Level 4+ Qualifications (%)</v>
      </c>
    </row>
    <row r="7" spans="2:6">
      <c r="B7" s="204" t="str">
        <f>'No Qualifications'!$C$2</f>
        <v>No Qualifications (%)</v>
      </c>
    </row>
    <row r="8" spans="2:6">
      <c r="B8" s="210"/>
    </row>
    <row r="9" spans="2:6">
      <c r="B9" s="204" t="str">
        <f>'Enterprise Rate'!$C$2</f>
        <v>Enterprise Rate (per 10,000 working-age population)</v>
      </c>
    </row>
    <row r="10" spans="2:6">
      <c r="B10" s="204" t="str">
        <f>'Business Births'!$C$2</f>
        <v>Business Birth Rate (per 10,000 16-64 Population)</v>
      </c>
    </row>
    <row r="11" spans="2:6">
      <c r="B11" s="204" t="str">
        <f>'Business Deaths'!$C$2</f>
        <v>Business Death Rate (per 10,000 16-64 Population)</v>
      </c>
    </row>
    <row r="12" spans="2:6">
      <c r="B12" s="204" t="str">
        <f>'R&amp;D'!$C$2</f>
        <v>Business Expenditure in R&amp;D (per head of total population)</v>
      </c>
    </row>
    <row r="13" spans="2:6">
      <c r="B13" s="204" t="str">
        <f>'GVA phw'!$C$2</f>
        <v>GVA per hour worked (£)</v>
      </c>
    </row>
    <row r="14" spans="2:6">
      <c r="B14" s="210"/>
    </row>
    <row r="15" spans="2:6">
      <c r="B15" s="204" t="str">
        <f>'Child Poverty'!$C$2</f>
        <v>% Children in Child Poverty after Housing Costs</v>
      </c>
    </row>
    <row r="16" spans="2:6">
      <c r="B16" s="204" t="str">
        <f>'Fuel Poverty'!$C$2</f>
        <v>% Dwellings in Fuel Poverty</v>
      </c>
    </row>
    <row r="17" spans="2:2">
      <c r="B17" s="204" t="s">
        <v>535</v>
      </c>
    </row>
    <row r="18" spans="2:2">
      <c r="B18" s="204" t="s">
        <v>536</v>
      </c>
    </row>
    <row r="19" spans="2:2">
      <c r="B19" s="204" t="s">
        <v>537</v>
      </c>
    </row>
    <row r="20" spans="2:2">
      <c r="B20" s="210"/>
    </row>
    <row r="21" spans="2:2">
      <c r="B21" s="204" t="str">
        <f>'New Builds'!$C$2</f>
        <v>Rate of Housing New Builds (per 10,000 total population)</v>
      </c>
    </row>
    <row r="22" spans="2:2">
      <c r="B22" s="204" t="str">
        <f>'Social Builds'!$C$2</f>
        <v>Rate of Social Housing New Builds (per 10,000 total population)</v>
      </c>
    </row>
    <row r="23" spans="2:2">
      <c r="B23" s="204" t="str">
        <f>Adaptations!$C$2</f>
        <v>% Dwellings with Accessibility Adaptations</v>
      </c>
    </row>
    <row r="24" spans="2:2">
      <c r="B24" s="204" t="str">
        <f>SHQS!$C$2</f>
        <v>% Dwellings that fail the Scottish Household Quality Standard</v>
      </c>
    </row>
    <row r="25" spans="2:2">
      <c r="B25" s="204" t="str">
        <f>Disrepair!$C$2</f>
        <v>% Dwellings that are in Disrepair</v>
      </c>
    </row>
    <row r="26" spans="2:2">
      <c r="B26" s="210"/>
    </row>
    <row r="27" spans="2:2">
      <c r="B27" s="204" t="str">
        <f>'Emissions KM'!$C$2</f>
        <v>Emissions per square kilometers (CO2 Equivalent tonnes)</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0000000}">
          <x14:formula1>
            <xm:f>Lookups!$R$9:$U$9</xm:f>
          </x14:formula1>
          <xm:sqref>D2</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autoPageBreaks="0"/>
  </sheetPr>
  <dimension ref="A2:G49"/>
  <sheetViews>
    <sheetView topLeftCell="C1" workbookViewId="0">
      <selection activeCell="C22" sqref="C22"/>
    </sheetView>
  </sheetViews>
  <sheetFormatPr defaultRowHeight="14.5"/>
  <cols>
    <col min="1" max="1" width="83.453125" bestFit="1" customWidth="1"/>
    <col min="2" max="2" width="24.1796875" customWidth="1"/>
    <col min="4" max="8" width="20.81640625" customWidth="1"/>
  </cols>
  <sheetData>
    <row r="2" spans="1:7">
      <c r="A2" s="214" t="s">
        <v>58</v>
      </c>
      <c r="B2" t="s">
        <v>548</v>
      </c>
      <c r="D2" s="3" t="s">
        <v>32</v>
      </c>
      <c r="E2" t="s">
        <v>36</v>
      </c>
      <c r="F2" t="s">
        <v>16</v>
      </c>
      <c r="G2" t="s">
        <v>34</v>
      </c>
    </row>
    <row r="3" spans="1:7">
      <c r="A3" t="s">
        <v>270</v>
      </c>
      <c r="B3" t="s">
        <v>549</v>
      </c>
      <c r="D3" t="s">
        <v>17</v>
      </c>
      <c r="E3" t="s">
        <v>42</v>
      </c>
      <c r="F3" t="s">
        <v>18</v>
      </c>
      <c r="G3" t="s">
        <v>25</v>
      </c>
    </row>
    <row r="4" spans="1:7">
      <c r="A4" t="s">
        <v>153</v>
      </c>
      <c r="B4" t="s">
        <v>549</v>
      </c>
      <c r="D4" t="s">
        <v>39</v>
      </c>
      <c r="E4" t="s">
        <v>31</v>
      </c>
      <c r="F4" t="s">
        <v>30</v>
      </c>
      <c r="G4" t="s">
        <v>22</v>
      </c>
    </row>
    <row r="5" spans="1:7">
      <c r="A5" t="s">
        <v>311</v>
      </c>
      <c r="B5" t="s">
        <v>549</v>
      </c>
      <c r="D5" t="s">
        <v>28</v>
      </c>
      <c r="E5" t="s">
        <v>40</v>
      </c>
      <c r="F5" t="s">
        <v>41</v>
      </c>
      <c r="G5" t="s">
        <v>14</v>
      </c>
    </row>
    <row r="6" spans="1:7">
      <c r="A6" t="s">
        <v>296</v>
      </c>
      <c r="B6" t="s">
        <v>549</v>
      </c>
      <c r="D6" t="s">
        <v>35</v>
      </c>
      <c r="E6" t="s">
        <v>21</v>
      </c>
      <c r="F6" t="s">
        <v>29</v>
      </c>
      <c r="G6" t="s">
        <v>189</v>
      </c>
    </row>
    <row r="7" spans="1:7">
      <c r="A7" t="s">
        <v>459</v>
      </c>
      <c r="B7" t="s">
        <v>549</v>
      </c>
      <c r="D7" t="s">
        <v>38</v>
      </c>
      <c r="E7" t="s">
        <v>23</v>
      </c>
      <c r="F7" t="s">
        <v>37</v>
      </c>
      <c r="G7" t="s">
        <v>43</v>
      </c>
    </row>
    <row r="8" spans="1:7">
      <c r="A8" t="s">
        <v>460</v>
      </c>
      <c r="B8" t="s">
        <v>549</v>
      </c>
      <c r="D8" t="s">
        <v>550</v>
      </c>
      <c r="E8" t="s">
        <v>33</v>
      </c>
      <c r="F8" t="s">
        <v>44</v>
      </c>
      <c r="G8" t="s">
        <v>20</v>
      </c>
    </row>
    <row r="9" spans="1:7">
      <c r="A9" t="s">
        <v>508</v>
      </c>
      <c r="B9" t="s">
        <v>549</v>
      </c>
      <c r="D9" t="s">
        <v>15</v>
      </c>
      <c r="E9" t="s">
        <v>26</v>
      </c>
      <c r="F9" t="s">
        <v>24</v>
      </c>
      <c r="G9" t="s">
        <v>27</v>
      </c>
    </row>
    <row r="10" spans="1:7">
      <c r="A10" t="s">
        <v>461</v>
      </c>
      <c r="B10" t="s">
        <v>549</v>
      </c>
      <c r="D10" t="s">
        <v>543</v>
      </c>
      <c r="E10" t="s">
        <v>544</v>
      </c>
      <c r="F10" t="s">
        <v>545</v>
      </c>
      <c r="G10" t="s">
        <v>546</v>
      </c>
    </row>
    <row r="11" spans="1:7">
      <c r="A11" t="s">
        <v>166</v>
      </c>
      <c r="B11" t="s">
        <v>549</v>
      </c>
    </row>
    <row r="12" spans="1:7">
      <c r="A12" t="s">
        <v>168</v>
      </c>
      <c r="B12" t="s">
        <v>549</v>
      </c>
    </row>
    <row r="13" spans="1:7">
      <c r="A13" t="s">
        <v>458</v>
      </c>
      <c r="B13" t="s">
        <v>549</v>
      </c>
      <c r="D13" s="215" t="s">
        <v>556</v>
      </c>
    </row>
    <row r="14" spans="1:7">
      <c r="A14" t="s">
        <v>456</v>
      </c>
      <c r="B14" t="s">
        <v>549</v>
      </c>
      <c r="D14" s="215" t="s">
        <v>553</v>
      </c>
    </row>
    <row r="15" spans="1:7">
      <c r="A15" t="s">
        <v>457</v>
      </c>
      <c r="B15" t="s">
        <v>549</v>
      </c>
      <c r="D15" s="215" t="s">
        <v>554</v>
      </c>
    </row>
    <row r="16" spans="1:7">
      <c r="A16" t="s">
        <v>286</v>
      </c>
      <c r="B16" t="s">
        <v>549</v>
      </c>
      <c r="D16" s="215" t="s">
        <v>555</v>
      </c>
    </row>
    <row r="17" spans="1:2">
      <c r="A17" t="s">
        <v>196</v>
      </c>
      <c r="B17" t="s">
        <v>549</v>
      </c>
    </row>
    <row r="18" spans="1:2">
      <c r="A18" t="s">
        <v>528</v>
      </c>
      <c r="B18" t="s">
        <v>549</v>
      </c>
    </row>
    <row r="19" spans="1:2">
      <c r="A19" t="s">
        <v>65</v>
      </c>
      <c r="B19" t="s">
        <v>549</v>
      </c>
    </row>
    <row r="20" spans="1:2">
      <c r="A20" t="s">
        <v>462</v>
      </c>
      <c r="B20" t="s">
        <v>549</v>
      </c>
    </row>
    <row r="21" spans="1:2">
      <c r="A21" t="s">
        <v>195</v>
      </c>
      <c r="B21" t="s">
        <v>549</v>
      </c>
    </row>
    <row r="22" spans="1:2">
      <c r="A22" t="s">
        <v>174</v>
      </c>
      <c r="B22" t="s">
        <v>549</v>
      </c>
    </row>
    <row r="23" spans="1:2">
      <c r="A23" t="s">
        <v>313</v>
      </c>
      <c r="B23" t="s">
        <v>549</v>
      </c>
    </row>
    <row r="24" spans="1:2">
      <c r="A24" t="s">
        <v>465</v>
      </c>
      <c r="B24" t="s">
        <v>549</v>
      </c>
    </row>
    <row r="25" spans="1:2">
      <c r="A25" t="s">
        <v>464</v>
      </c>
      <c r="B25" t="s">
        <v>549</v>
      </c>
    </row>
    <row r="26" spans="1:2">
      <c r="A26" t="s">
        <v>203</v>
      </c>
      <c r="B26" t="s">
        <v>549</v>
      </c>
    </row>
    <row r="27" spans="1:2">
      <c r="A27" t="s">
        <v>201</v>
      </c>
      <c r="B27" t="s">
        <v>549</v>
      </c>
    </row>
    <row r="28" spans="1:2">
      <c r="A28" t="s">
        <v>205</v>
      </c>
      <c r="B28" t="s">
        <v>549</v>
      </c>
    </row>
    <row r="29" spans="1:2">
      <c r="A29" s="214" t="s">
        <v>526</v>
      </c>
      <c r="B29" t="s">
        <v>548</v>
      </c>
    </row>
    <row r="30" spans="1:2">
      <c r="A30" s="214" t="s">
        <v>527</v>
      </c>
      <c r="B30" t="s">
        <v>548</v>
      </c>
    </row>
    <row r="31" spans="1:2">
      <c r="A31" s="214" t="s">
        <v>272</v>
      </c>
      <c r="B31" t="s">
        <v>548</v>
      </c>
    </row>
    <row r="32" spans="1:2">
      <c r="A32" s="214" t="s">
        <v>274</v>
      </c>
      <c r="B32" t="s">
        <v>548</v>
      </c>
    </row>
    <row r="33" spans="1:2">
      <c r="A33" s="214" t="s">
        <v>275</v>
      </c>
      <c r="B33" t="s">
        <v>548</v>
      </c>
    </row>
    <row r="34" spans="1:2">
      <c r="A34" t="s">
        <v>235</v>
      </c>
      <c r="B34" t="s">
        <v>549</v>
      </c>
    </row>
    <row r="35" spans="1:2">
      <c r="A35" t="s">
        <v>237</v>
      </c>
      <c r="B35" t="s">
        <v>549</v>
      </c>
    </row>
    <row r="36" spans="1:2">
      <c r="A36" t="s">
        <v>500</v>
      </c>
      <c r="B36" t="s">
        <v>549</v>
      </c>
    </row>
    <row r="37" spans="1:2">
      <c r="A37" s="214" t="s">
        <v>244</v>
      </c>
      <c r="B37" t="s">
        <v>548</v>
      </c>
    </row>
    <row r="38" spans="1:2">
      <c r="A38" t="s">
        <v>277</v>
      </c>
      <c r="B38" t="s">
        <v>549</v>
      </c>
    </row>
    <row r="39" spans="1:2">
      <c r="A39" t="s">
        <v>245</v>
      </c>
      <c r="B39" t="s">
        <v>549</v>
      </c>
    </row>
    <row r="40" spans="1:2">
      <c r="A40" t="s">
        <v>454</v>
      </c>
      <c r="B40" t="s">
        <v>549</v>
      </c>
    </row>
    <row r="41" spans="1:2">
      <c r="A41" t="s">
        <v>137</v>
      </c>
      <c r="B41" t="s">
        <v>549</v>
      </c>
    </row>
    <row r="42" spans="1:2">
      <c r="A42" t="s">
        <v>298</v>
      </c>
      <c r="B42" t="s">
        <v>549</v>
      </c>
    </row>
    <row r="43" spans="1:2">
      <c r="A43" t="s">
        <v>220</v>
      </c>
      <c r="B43" t="s">
        <v>549</v>
      </c>
    </row>
    <row r="44" spans="1:2">
      <c r="A44" t="s">
        <v>515</v>
      </c>
      <c r="B44" t="s">
        <v>549</v>
      </c>
    </row>
    <row r="45" spans="1:2">
      <c r="A45" t="s">
        <v>518</v>
      </c>
      <c r="B45" t="s">
        <v>549</v>
      </c>
    </row>
    <row r="46" spans="1:2">
      <c r="A46" t="s">
        <v>517</v>
      </c>
      <c r="B46" t="s">
        <v>549</v>
      </c>
    </row>
    <row r="47" spans="1:2">
      <c r="A47" t="s">
        <v>219</v>
      </c>
      <c r="B47" t="s">
        <v>549</v>
      </c>
    </row>
    <row r="48" spans="1:2">
      <c r="A48" t="s">
        <v>466</v>
      </c>
      <c r="B48" t="s">
        <v>549</v>
      </c>
    </row>
    <row r="49" spans="1:2">
      <c r="A49" t="s">
        <v>287</v>
      </c>
      <c r="B49" t="s">
        <v>549</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B1: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1" spans="2:10">
      <c r="I1" s="311"/>
    </row>
    <row r="2" spans="2:10" ht="13">
      <c r="B2" s="286" t="s">
        <v>48</v>
      </c>
      <c r="C2" s="287" t="s">
        <v>755</v>
      </c>
      <c r="F2" s="595" t="s">
        <v>507</v>
      </c>
      <c r="G2" s="596"/>
    </row>
    <row r="3" spans="2:10" ht="13">
      <c r="B3" s="286" t="s">
        <v>49</v>
      </c>
      <c r="C3" s="288" t="s">
        <v>756</v>
      </c>
    </row>
    <row r="4" spans="2:10" ht="13">
      <c r="B4" s="287"/>
      <c r="C4" s="289" t="s">
        <v>478</v>
      </c>
      <c r="I4" s="591" t="s">
        <v>52</v>
      </c>
      <c r="J4" s="591"/>
    </row>
    <row r="5" spans="2:10" ht="22" customHeight="1">
      <c r="C5" s="291"/>
      <c r="D5" s="292"/>
      <c r="E5" s="292"/>
      <c r="F5" s="292"/>
      <c r="G5" s="592" t="s">
        <v>50</v>
      </c>
      <c r="H5" s="593"/>
      <c r="I5" s="594" t="s">
        <v>51</v>
      </c>
      <c r="J5" s="594"/>
    </row>
    <row r="6" spans="2:10" ht="26.15" customHeight="1">
      <c r="B6" s="293" t="s">
        <v>271</v>
      </c>
      <c r="C6" s="293" t="s">
        <v>5</v>
      </c>
      <c r="D6" s="294">
        <v>2022</v>
      </c>
      <c r="E6" s="294">
        <v>2023</v>
      </c>
      <c r="F6" s="294" t="s">
        <v>737</v>
      </c>
      <c r="G6" s="295" t="s">
        <v>53</v>
      </c>
      <c r="H6" s="295" t="s">
        <v>54</v>
      </c>
      <c r="I6" s="295" t="s">
        <v>56</v>
      </c>
      <c r="J6" s="295" t="s">
        <v>57</v>
      </c>
    </row>
    <row r="7" spans="2:10" ht="19.5" customHeight="1">
      <c r="B7" s="296" t="s">
        <v>249</v>
      </c>
      <c r="C7" s="296" t="s">
        <v>22</v>
      </c>
      <c r="D7" s="297">
        <f>VLOOKUP($C7,'Raw - High Quals'!$A:$Q,12,FALSE)</f>
        <v>67.5</v>
      </c>
      <c r="E7" s="297">
        <f>VLOOKUP($C7,'Raw - High Quals'!$A:$Q,16,FALSE)</f>
        <v>65.900000000000006</v>
      </c>
      <c r="F7" s="318">
        <f>VLOOKUP(C7,'Raw - High Quals'!A:Q,14,FALSE)</f>
        <v>38700</v>
      </c>
      <c r="G7" s="299">
        <f>E7-D7</f>
        <v>-1.5999999999999943</v>
      </c>
      <c r="H7" s="300">
        <f>SUM(VLOOKUP(C7,'Raw - High Quals'!A:Q,14,FALSE)-VLOOKUP(C7,'Raw - High Quals'!A:Q,10,FALSE))</f>
        <v>-1400</v>
      </c>
      <c r="I7" s="301">
        <f t="shared" ref="I7:I14" si="0">IF(IF($I$5="LGBF Family Group",SUM(E$17-E7),IF($I$5="Glasgow City Region",SUM(E$18-E7),IF($I$5="Scotland",SUM(E$19-E7),IF($I$5="United Kingdom",SUM(E$20-E7),SUM(E$16-E7)))))&lt;0,"",IF($I$5="LGBF Family Group",SUM(E$17-E7),IF($I$5="Glasgow City Region",SUM(E$18-E7),IF($I$5="Scotland",SUM(E$19-E7),IF($I$5="United Kingdom",SUM(E$20-E7),SUM(E$16-E7))))))</f>
        <v>4.1999999999999886</v>
      </c>
      <c r="J7" s="302">
        <f>IF(I7="","",IF($I$5="LGBF Family Group",SUM(MROUND(SUM(SUM(VLOOKUP(C$17,'Raw - High Quals'!A:Q,16,FALSE)*VLOOKUP(C7,'Raw - High Quals'!A:Q,15,FALSE))/100),100)-MROUND(SUM(SUM(VLOOKUP(C7,'Raw - High Quals'!A:Q,16,FALSE)*VLOOKUP(C7,'Raw - High Quals'!A:Q,15,FALSE))/100),100)),IF($I$5="Glasgow City Region",SUM(MROUND(SUM(SUM(VLOOKUP(C$18,'Raw - High Quals'!A:Q,16,FALSE)*VLOOKUP(C7,'Raw - High Quals'!A:Q,15,FALSE))/100),100)-MROUND(SUM(SUM(VLOOKUP(C7,'Raw - High Quals'!A:Q,16,FALSE)*VLOOKUP(C7,'Raw - High Quals'!A:Q,15,FALSE))/100),100)),IF($I$5="Scotland",SUM(MROUND(SUM(SUM(VLOOKUP(C$19,'Raw - High Quals'!A:Q,16,FALSE)*VLOOKUP(C7,'Raw - High Quals'!A:Q,15,FALSE))/100),100)-MROUND(SUM(SUM(VLOOKUP(C7,'Raw - High Quals'!A:Q,16,FALSE)*VLOOKUP(C7,'Raw - High Quals'!A:Q,15,FALSE))/100),100)),IF($I$5="United Kingdom",SUM(MROUND(SUM(SUM(VLOOKUP(C$20,'Raw - High Quals'!A:Q,16,FALSE)*VLOOKUP(C7,'Raw - High Quals'!A:Q,15,FALSE))/100),100)-MROUND(SUM(SUM(VLOOKUP(C7,'Raw - High Quals'!A:Q,16,FALSE)*VLOOKUP(C7,'Raw - High Quals'!A:Q,15,FALSE))/100),100)),SUM(MROUND(SUM(SUM(VLOOKUP(C$16,'Raw - High Quals'!A:Q,16,FALSE)*VLOOKUP(C7,'Raw - High Quals'!A:Q,15,FALSE))/100),100)-MROUND(SUM(SUM(VLOOKUP(C7,'Raw - High Quals'!A:Q,16,FALSE)*VLOOKUP(C7,'Raw - High Quals'!A:Q,15,FALSE))/100),100)))))))</f>
        <v>2400</v>
      </c>
    </row>
    <row r="8" spans="2:10" ht="19.5" customHeight="1">
      <c r="B8" s="296" t="s">
        <v>249</v>
      </c>
      <c r="C8" s="296" t="s">
        <v>24</v>
      </c>
      <c r="D8" s="297">
        <f>VLOOKUP($C8,'Raw - High Quals'!$A:$Q,12,FALSE)</f>
        <v>65.599999999999994</v>
      </c>
      <c r="E8" s="297">
        <f>VLOOKUP($C8,'Raw - High Quals'!$A:$Q,16,FALSE)</f>
        <v>70.099999999999994</v>
      </c>
      <c r="F8" s="318">
        <f>VLOOKUP(C8,'Raw - High Quals'!A:Q,14,FALSE)</f>
        <v>38000</v>
      </c>
      <c r="G8" s="299">
        <f t="shared" ref="G8:G20" si="1">E8-D8</f>
        <v>4.5</v>
      </c>
      <c r="H8" s="300">
        <f>SUM(VLOOKUP(C8,'Raw - High Quals'!A:Q,14,FALSE)-VLOOKUP(C8,'Raw - High Quals'!A:Q,10,FALSE))</f>
        <v>2700</v>
      </c>
      <c r="I8" s="301">
        <f t="shared" si="0"/>
        <v>0</v>
      </c>
      <c r="J8" s="302">
        <f>IF(I8="","",IF($I$5="LGBF Family Group",SUM(MROUND(SUM(SUM(VLOOKUP(C$17,'Raw - High Quals'!A:Q,16,FALSE)*VLOOKUP(C8,'Raw - High Quals'!A:Q,15,FALSE))/100),100)-MROUND(SUM(SUM(VLOOKUP(C8,'Raw - High Quals'!A:Q,16,FALSE)*VLOOKUP(C8,'Raw - High Quals'!A:Q,15,FALSE))/100),100)),IF($I$5="Glasgow City Region",SUM(MROUND(SUM(SUM(VLOOKUP(C$18,'Raw - High Quals'!A:Q,16,FALSE)*VLOOKUP(C8,'Raw - High Quals'!A:Q,15,FALSE))/100),100)-MROUND(SUM(SUM(VLOOKUP(C8,'Raw - High Quals'!A:Q,16,FALSE)*VLOOKUP(C8,'Raw - High Quals'!A:Q,15,FALSE))/100),100)),IF($I$5="Scotland",SUM(MROUND(SUM(SUM(VLOOKUP(C$19,'Raw - High Quals'!A:Q,16,FALSE)*VLOOKUP(C8,'Raw - High Quals'!A:Q,15,FALSE))/100),100)-MROUND(SUM(SUM(VLOOKUP(C8,'Raw - High Quals'!A:Q,16,FALSE)*VLOOKUP(C8,'Raw - High Quals'!A:Q,15,FALSE))/100),100)),IF($I$5="United Kingdom",SUM(MROUND(SUM(SUM(VLOOKUP(C$20,'Raw - High Quals'!A:Q,16,FALSE)*VLOOKUP(C8,'Raw - High Quals'!A:Q,15,FALSE))/100),100)-MROUND(SUM(SUM(VLOOKUP(C8,'Raw - High Quals'!A:Q,16,FALSE)*VLOOKUP(C8,'Raw - High Quals'!A:Q,15,FALSE))/100),100)),SUM(MROUND(SUM(SUM(VLOOKUP(C$16,'Raw - High Quals'!A:Q,16,FALSE)*VLOOKUP(C8,'Raw - High Quals'!A:Q,15,FALSE))/100),100)-MROUND(SUM(SUM(VLOOKUP(C8,'Raw - High Quals'!A:Q,16,FALSE)*VLOOKUP(C8,'Raw - High Quals'!A:Q,15,FALSE))/100),100)))))))</f>
        <v>0</v>
      </c>
    </row>
    <row r="9" spans="2:10" ht="19.5" customHeight="1">
      <c r="B9" s="296" t="s">
        <v>249</v>
      </c>
      <c r="C9" s="296" t="s">
        <v>27</v>
      </c>
      <c r="D9" s="297">
        <f>VLOOKUP($C9,'Raw - High Quals'!$A:$Q,12,FALSE)</f>
        <v>54.4</v>
      </c>
      <c r="E9" s="297">
        <f>VLOOKUP($C9,'Raw - High Quals'!$A:$Q,16,FALSE)</f>
        <v>56.9</v>
      </c>
      <c r="F9" s="318">
        <f>VLOOKUP(C9,'Raw - High Quals'!A:Q,14,FALSE)</f>
        <v>231800</v>
      </c>
      <c r="G9" s="299">
        <f t="shared" si="1"/>
        <v>2.5</v>
      </c>
      <c r="H9" s="300">
        <f>SUM(VLOOKUP(C9,'Raw - High Quals'!A:Q,14,FALSE)-VLOOKUP(C9,'Raw - High Quals'!A:Q,10,FALSE))</f>
        <v>11100</v>
      </c>
      <c r="I9" s="301">
        <f t="shared" si="0"/>
        <v>13.199999999999996</v>
      </c>
      <c r="J9" s="302">
        <f>IF(I9="","",IF($I$5="LGBF Family Group",SUM(MROUND(SUM(SUM(VLOOKUP(C$17,'Raw - High Quals'!A:Q,16,FALSE)*VLOOKUP(C9,'Raw - High Quals'!A:Q,15,FALSE))/100),100)-MROUND(SUM(SUM(VLOOKUP(C9,'Raw - High Quals'!A:Q,16,FALSE)*VLOOKUP(C9,'Raw - High Quals'!A:Q,15,FALSE))/100),100)),IF($I$5="Glasgow City Region",SUM(MROUND(SUM(SUM(VLOOKUP(C$18,'Raw - High Quals'!A:Q,16,FALSE)*VLOOKUP(C9,'Raw - High Quals'!A:Q,15,FALSE))/100),100)-MROUND(SUM(SUM(VLOOKUP(C9,'Raw - High Quals'!A:Q,16,FALSE)*VLOOKUP(C9,'Raw - High Quals'!A:Q,15,FALSE))/100),100)),IF($I$5="Scotland",SUM(MROUND(SUM(SUM(VLOOKUP(C$19,'Raw - High Quals'!A:Q,16,FALSE)*VLOOKUP(C9,'Raw - High Quals'!A:Q,15,FALSE))/100),100)-MROUND(SUM(SUM(VLOOKUP(C9,'Raw - High Quals'!A:Q,16,FALSE)*VLOOKUP(C9,'Raw - High Quals'!A:Q,15,FALSE))/100),100)),IF($I$5="United Kingdom",SUM(MROUND(SUM(SUM(VLOOKUP(C$20,'Raw - High Quals'!A:Q,16,FALSE)*VLOOKUP(C9,'Raw - High Quals'!A:Q,15,FALSE))/100),100)-MROUND(SUM(SUM(VLOOKUP(C9,'Raw - High Quals'!A:Q,16,FALSE)*VLOOKUP(C9,'Raw - High Quals'!A:Q,15,FALSE))/100),100)),SUM(MROUND(SUM(SUM(VLOOKUP(C$16,'Raw - High Quals'!A:Q,16,FALSE)*VLOOKUP(C9,'Raw - High Quals'!A:Q,15,FALSE))/100),100)-MROUND(SUM(SUM(VLOOKUP(C9,'Raw - High Quals'!A:Q,16,FALSE)*VLOOKUP(C9,'Raw - High Quals'!A:Q,15,FALSE))/100),100)))))))</f>
        <v>53800</v>
      </c>
    </row>
    <row r="10" spans="2:10" ht="19.5" customHeight="1">
      <c r="B10" s="296" t="s">
        <v>249</v>
      </c>
      <c r="C10" s="296" t="s">
        <v>29</v>
      </c>
      <c r="D10" s="297">
        <f>VLOOKUP($C10,'Raw - High Quals'!$A:$Q,12,FALSE)</f>
        <v>56.7</v>
      </c>
      <c r="E10" s="297">
        <f>VLOOKUP($C10,'Raw - High Quals'!$A:$Q,16,FALSE)</f>
        <v>48.5</v>
      </c>
      <c r="F10" s="318">
        <f>VLOOKUP(C10,'Raw - High Quals'!A:Q,14,FALSE)</f>
        <v>21600</v>
      </c>
      <c r="G10" s="299">
        <f t="shared" si="1"/>
        <v>-8.2000000000000028</v>
      </c>
      <c r="H10" s="300">
        <f>SUM(VLOOKUP(C10,'Raw - High Quals'!A:Q,14,FALSE)-VLOOKUP(C10,'Raw - High Quals'!A:Q,10,FALSE))</f>
        <v>-3700</v>
      </c>
      <c r="I10" s="301">
        <f t="shared" si="0"/>
        <v>21.599999999999994</v>
      </c>
      <c r="J10" s="302">
        <f>IF(I10="","",IF($I$5="LGBF Family Group",SUM(MROUND(SUM(SUM(VLOOKUP(C$17,'Raw - High Quals'!A:Q,16,FALSE)*VLOOKUP(C10,'Raw - High Quals'!A:Q,15,FALSE))/100),100)-MROUND(SUM(SUM(VLOOKUP(C10,'Raw - High Quals'!A:Q,16,FALSE)*VLOOKUP(C10,'Raw - High Quals'!A:Q,15,FALSE))/100),100)),IF($I$5="Glasgow City Region",SUM(MROUND(SUM(SUM(VLOOKUP(C$18,'Raw - High Quals'!A:Q,16,FALSE)*VLOOKUP(C10,'Raw - High Quals'!A:Q,15,FALSE))/100),100)-MROUND(SUM(SUM(VLOOKUP(C10,'Raw - High Quals'!A:Q,16,FALSE)*VLOOKUP(C10,'Raw - High Quals'!A:Q,15,FALSE))/100),100)),IF($I$5="Scotland",SUM(MROUND(SUM(SUM(VLOOKUP(C$19,'Raw - High Quals'!A:Q,16,FALSE)*VLOOKUP(C10,'Raw - High Quals'!A:Q,15,FALSE))/100),100)-MROUND(SUM(SUM(VLOOKUP(C10,'Raw - High Quals'!A:Q,16,FALSE)*VLOOKUP(C10,'Raw - High Quals'!A:Q,15,FALSE))/100),100)),IF($I$5="United Kingdom",SUM(MROUND(SUM(SUM(VLOOKUP(C$20,'Raw - High Quals'!A:Q,16,FALSE)*VLOOKUP(C10,'Raw - High Quals'!A:Q,15,FALSE))/100),100)-MROUND(SUM(SUM(VLOOKUP(C10,'Raw - High Quals'!A:Q,16,FALSE)*VLOOKUP(C10,'Raw - High Quals'!A:Q,15,FALSE))/100),100)),SUM(MROUND(SUM(SUM(VLOOKUP(C$16,'Raw - High Quals'!A:Q,16,FALSE)*VLOOKUP(C10,'Raw - High Quals'!A:Q,15,FALSE))/100),100)-MROUND(SUM(SUM(VLOOKUP(C10,'Raw - High Quals'!A:Q,16,FALSE)*VLOOKUP(C10,'Raw - High Quals'!A:Q,15,FALSE))/100),100)))))))</f>
        <v>9600</v>
      </c>
    </row>
    <row r="11" spans="2:10" ht="19.5" customHeight="1">
      <c r="B11" s="296" t="s">
        <v>249</v>
      </c>
      <c r="C11" s="296" t="s">
        <v>34</v>
      </c>
      <c r="D11" s="297">
        <f>VLOOKUP($C11,'Raw - High Quals'!$A:$Q,12,FALSE)</f>
        <v>38.200000000000003</v>
      </c>
      <c r="E11" s="297">
        <f>VLOOKUP($C11,'Raw - High Quals'!$A:$Q,16,FALSE)</f>
        <v>44.1</v>
      </c>
      <c r="F11" s="318">
        <f>VLOOKUP(C11,'Raw - High Quals'!A:Q,14,FALSE)</f>
        <v>92500</v>
      </c>
      <c r="G11" s="299">
        <f t="shared" si="1"/>
        <v>5.8999999999999986</v>
      </c>
      <c r="H11" s="300">
        <f>SUM(VLOOKUP(C11,'Raw - High Quals'!A:Q,14,FALSE)-VLOOKUP(C11,'Raw - High Quals'!A:Q,10,FALSE))</f>
        <v>11400</v>
      </c>
      <c r="I11" s="301">
        <f t="shared" si="0"/>
        <v>25.999999999999993</v>
      </c>
      <c r="J11" s="302">
        <f>IF(I11="","",IF($I$5="LGBF Family Group",SUM(MROUND(SUM(SUM(VLOOKUP(C$17,'Raw - High Quals'!A:Q,16,FALSE)*VLOOKUP(C11,'Raw - High Quals'!A:Q,15,FALSE))/100),100)-MROUND(SUM(SUM(VLOOKUP(C11,'Raw - High Quals'!A:Q,16,FALSE)*VLOOKUP(C11,'Raw - High Quals'!A:Q,15,FALSE))/100),100)),IF($I$5="Glasgow City Region",SUM(MROUND(SUM(SUM(VLOOKUP(C$18,'Raw - High Quals'!A:Q,16,FALSE)*VLOOKUP(C11,'Raw - High Quals'!A:Q,15,FALSE))/100),100)-MROUND(SUM(SUM(VLOOKUP(C11,'Raw - High Quals'!A:Q,16,FALSE)*VLOOKUP(C11,'Raw - High Quals'!A:Q,15,FALSE))/100),100)),IF($I$5="Scotland",SUM(MROUND(SUM(SUM(VLOOKUP(C$19,'Raw - High Quals'!A:Q,16,FALSE)*VLOOKUP(C11,'Raw - High Quals'!A:Q,15,FALSE))/100),100)-MROUND(SUM(SUM(VLOOKUP(C11,'Raw - High Quals'!A:Q,16,FALSE)*VLOOKUP(C11,'Raw - High Quals'!A:Q,15,FALSE))/100),100)),IF($I$5="United Kingdom",SUM(MROUND(SUM(SUM(VLOOKUP(C$20,'Raw - High Quals'!A:Q,16,FALSE)*VLOOKUP(C11,'Raw - High Quals'!A:Q,15,FALSE))/100),100)-MROUND(SUM(SUM(VLOOKUP(C11,'Raw - High Quals'!A:Q,16,FALSE)*VLOOKUP(C11,'Raw - High Quals'!A:Q,15,FALSE))/100),100)),SUM(MROUND(SUM(SUM(VLOOKUP(C$16,'Raw - High Quals'!A:Q,16,FALSE)*VLOOKUP(C11,'Raw - High Quals'!A:Q,15,FALSE))/100),100)-MROUND(SUM(SUM(VLOOKUP(C11,'Raw - High Quals'!A:Q,16,FALSE)*VLOOKUP(C11,'Raw - High Quals'!A:Q,15,FALSE))/100),100)))))))</f>
        <v>54500</v>
      </c>
    </row>
    <row r="12" spans="2:10" ht="19.5" customHeight="1">
      <c r="B12" s="296" t="s">
        <v>249</v>
      </c>
      <c r="C12" s="296" t="s">
        <v>37</v>
      </c>
      <c r="D12" s="297">
        <f>VLOOKUP($C12,'Raw - High Quals'!$A:$Q,12,FALSE)</f>
        <v>54.8</v>
      </c>
      <c r="E12" s="297">
        <f>VLOOKUP($C12,'Raw - High Quals'!$A:$Q,16,FALSE)</f>
        <v>62.9</v>
      </c>
      <c r="F12" s="318">
        <f>VLOOKUP(C12,'Raw - High Quals'!A:Q,14,FALSE)</f>
        <v>67300</v>
      </c>
      <c r="G12" s="299">
        <f t="shared" si="1"/>
        <v>8.1000000000000014</v>
      </c>
      <c r="H12" s="300">
        <f>SUM(VLOOKUP(C12,'Raw - High Quals'!A:Q,14,FALSE)-VLOOKUP(C12,'Raw - High Quals'!A:Q,10,FALSE))</f>
        <v>9100</v>
      </c>
      <c r="I12" s="301">
        <f t="shared" si="0"/>
        <v>7.1999999999999957</v>
      </c>
      <c r="J12" s="302">
        <f>IF(I12="","",IF($I$5="LGBF Family Group",SUM(MROUND(SUM(SUM(VLOOKUP(C$17,'Raw - High Quals'!A:Q,16,FALSE)*VLOOKUP(C12,'Raw - High Quals'!A:Q,15,FALSE))/100),100)-MROUND(SUM(SUM(VLOOKUP(C12,'Raw - High Quals'!A:Q,16,FALSE)*VLOOKUP(C12,'Raw - High Quals'!A:Q,15,FALSE))/100),100)),IF($I$5="Glasgow City Region",SUM(MROUND(SUM(SUM(VLOOKUP(C$18,'Raw - High Quals'!A:Q,16,FALSE)*VLOOKUP(C12,'Raw - High Quals'!A:Q,15,FALSE))/100),100)-MROUND(SUM(SUM(VLOOKUP(C12,'Raw - High Quals'!A:Q,16,FALSE)*VLOOKUP(C12,'Raw - High Quals'!A:Q,15,FALSE))/100),100)),IF($I$5="Scotland",SUM(MROUND(SUM(SUM(VLOOKUP(C$19,'Raw - High Quals'!A:Q,16,FALSE)*VLOOKUP(C12,'Raw - High Quals'!A:Q,15,FALSE))/100),100)-MROUND(SUM(SUM(VLOOKUP(C12,'Raw - High Quals'!A:Q,16,FALSE)*VLOOKUP(C12,'Raw - High Quals'!A:Q,15,FALSE))/100),100)),IF($I$5="United Kingdom",SUM(MROUND(SUM(SUM(VLOOKUP(C$20,'Raw - High Quals'!A:Q,16,FALSE)*VLOOKUP(C12,'Raw - High Quals'!A:Q,15,FALSE))/100),100)-MROUND(SUM(SUM(VLOOKUP(C12,'Raw - High Quals'!A:Q,16,FALSE)*VLOOKUP(C12,'Raw - High Quals'!A:Q,15,FALSE))/100),100)),SUM(MROUND(SUM(SUM(VLOOKUP(C$16,'Raw - High Quals'!A:Q,16,FALSE)*VLOOKUP(C12,'Raw - High Quals'!A:Q,15,FALSE))/100),100)-MROUND(SUM(SUM(VLOOKUP(C12,'Raw - High Quals'!A:Q,16,FALSE)*VLOOKUP(C12,'Raw - High Quals'!A:Q,15,FALSE))/100),100)))))))</f>
        <v>7700</v>
      </c>
    </row>
    <row r="13" spans="2:10" ht="19.5" customHeight="1">
      <c r="B13" s="296" t="s">
        <v>249</v>
      </c>
      <c r="C13" s="296" t="s">
        <v>41</v>
      </c>
      <c r="D13" s="297">
        <f>VLOOKUP($C13,'Raw - High Quals'!$A:$Q,12,FALSE)</f>
        <v>49.2</v>
      </c>
      <c r="E13" s="297">
        <f>VLOOKUP($C13,'Raw - High Quals'!$A:$Q,16,FALSE)</f>
        <v>48.9</v>
      </c>
      <c r="F13" s="318">
        <f>VLOOKUP(C13,'Raw - High Quals'!A:Q,14,FALSE)</f>
        <v>91600</v>
      </c>
      <c r="G13" s="299">
        <f t="shared" si="1"/>
        <v>-0.30000000000000426</v>
      </c>
      <c r="H13" s="300">
        <f>SUM(VLOOKUP(C13,'Raw - High Quals'!A:Q,14,FALSE)-VLOOKUP(C13,'Raw - High Quals'!A:Q,10,FALSE))</f>
        <v>-400</v>
      </c>
      <c r="I13" s="301">
        <f t="shared" si="0"/>
        <v>21.199999999999996</v>
      </c>
      <c r="J13" s="302">
        <f>IF(I13="","",IF($I$5="LGBF Family Group",SUM(MROUND(SUM(SUM(VLOOKUP(C$17,'Raw - High Quals'!A:Q,16,FALSE)*VLOOKUP(C13,'Raw - High Quals'!A:Q,15,FALSE))/100),100)-MROUND(SUM(SUM(VLOOKUP(C13,'Raw - High Quals'!A:Q,16,FALSE)*VLOOKUP(C13,'Raw - High Quals'!A:Q,15,FALSE))/100),100)),IF($I$5="Glasgow City Region",SUM(MROUND(SUM(SUM(VLOOKUP(C$18,'Raw - High Quals'!A:Q,16,FALSE)*VLOOKUP(C13,'Raw - High Quals'!A:Q,15,FALSE))/100),100)-MROUND(SUM(SUM(VLOOKUP(C13,'Raw - High Quals'!A:Q,16,FALSE)*VLOOKUP(C13,'Raw - High Quals'!A:Q,15,FALSE))/100),100)),IF($I$5="Scotland",SUM(MROUND(SUM(SUM(VLOOKUP(C$19,'Raw - High Quals'!A:Q,16,FALSE)*VLOOKUP(C13,'Raw - High Quals'!A:Q,15,FALSE))/100),100)-MROUND(SUM(SUM(VLOOKUP(C13,'Raw - High Quals'!A:Q,16,FALSE)*VLOOKUP(C13,'Raw - High Quals'!A:Q,15,FALSE))/100),100)),IF($I$5="United Kingdom",SUM(MROUND(SUM(SUM(VLOOKUP(C$20,'Raw - High Quals'!A:Q,16,FALSE)*VLOOKUP(C13,'Raw - High Quals'!A:Q,15,FALSE))/100),100)-MROUND(SUM(SUM(VLOOKUP(C13,'Raw - High Quals'!A:Q,16,FALSE)*VLOOKUP(C13,'Raw - High Quals'!A:Q,15,FALSE))/100),100)),SUM(MROUND(SUM(SUM(VLOOKUP(C$16,'Raw - High Quals'!A:Q,16,FALSE)*VLOOKUP(C13,'Raw - High Quals'!A:Q,15,FALSE))/100),100)-MROUND(SUM(SUM(VLOOKUP(C13,'Raw - High Quals'!A:Q,16,FALSE)*VLOOKUP(C13,'Raw - High Quals'!A:Q,15,FALSE))/100),100)))))))</f>
        <v>39700</v>
      </c>
    </row>
    <row r="14" spans="2:10" ht="19.5" customHeight="1">
      <c r="B14" s="296" t="s">
        <v>249</v>
      </c>
      <c r="C14" s="296" t="s">
        <v>43</v>
      </c>
      <c r="D14" s="297">
        <f>VLOOKUP($C14,'Raw - High Quals'!$A:$Q,12,FALSE)</f>
        <v>46.9</v>
      </c>
      <c r="E14" s="297">
        <f>VLOOKUP($C14,'Raw - High Quals'!$A:$Q,16,FALSE)</f>
        <v>44.1</v>
      </c>
      <c r="F14" s="318">
        <f>VLOOKUP(C14,'Raw - High Quals'!A:Q,14,FALSE)</f>
        <v>22300</v>
      </c>
      <c r="G14" s="299">
        <f t="shared" si="1"/>
        <v>-2.7999999999999972</v>
      </c>
      <c r="H14" s="300">
        <f>SUM(VLOOKUP(C14,'Raw - High Quals'!A:Q,14,FALSE)-VLOOKUP(C14,'Raw - High Quals'!A:Q,10,FALSE))</f>
        <v>-2200</v>
      </c>
      <c r="I14" s="301">
        <f t="shared" si="0"/>
        <v>25.999999999999993</v>
      </c>
      <c r="J14" s="302">
        <f>IF(I14="","",IF($I$5="LGBF Family Group",SUM(MROUND(SUM(SUM(VLOOKUP(C$17,'Raw - High Quals'!A:Q,16,FALSE)*VLOOKUP(C14,'Raw - High Quals'!A:Q,15,FALSE))/100),100)-MROUND(SUM(SUM(VLOOKUP(C14,'Raw - High Quals'!A:Q,16,FALSE)*VLOOKUP(C14,'Raw - High Quals'!A:Q,15,FALSE))/100),100)),IF($I$5="Glasgow City Region",SUM(MROUND(SUM(SUM(VLOOKUP(C$18,'Raw - High Quals'!A:Q,16,FALSE)*VLOOKUP(C14,'Raw - High Quals'!A:Q,15,FALSE))/100),100)-MROUND(SUM(SUM(VLOOKUP(C14,'Raw - High Quals'!A:Q,16,FALSE)*VLOOKUP(C14,'Raw - High Quals'!A:Q,15,FALSE))/100),100)),IF($I$5="Scotland",SUM(MROUND(SUM(SUM(VLOOKUP(C$19,'Raw - High Quals'!A:Q,16,FALSE)*VLOOKUP(C14,'Raw - High Quals'!A:Q,15,FALSE))/100),100)-MROUND(SUM(SUM(VLOOKUP(C14,'Raw - High Quals'!A:Q,16,FALSE)*VLOOKUP(C14,'Raw - High Quals'!A:Q,15,FALSE))/100),100)),IF($I$5="United Kingdom",SUM(MROUND(SUM(SUM(VLOOKUP(C$20,'Raw - High Quals'!A:Q,16,FALSE)*VLOOKUP(C14,'Raw - High Quals'!A:Q,15,FALSE))/100),100)-MROUND(SUM(SUM(VLOOKUP(C14,'Raw - High Quals'!A:Q,16,FALSE)*VLOOKUP(C14,'Raw - High Quals'!A:Q,15,FALSE))/100),100)),SUM(MROUND(SUM(SUM(VLOOKUP(C$16,'Raw - High Quals'!A:Q,16,FALSE)*VLOOKUP(C14,'Raw - High Quals'!A:Q,15,FALSE))/100),100)-MROUND(SUM(SUM(VLOOKUP(C14,'Raw - High Quals'!A:Q,16,FALSE)*VLOOKUP(C14,'Raw - High Quals'!A:Q,15,FALSE))/100),100)))))))</f>
        <v>13200</v>
      </c>
    </row>
    <row r="15" spans="2:10" ht="19.5" customHeight="1">
      <c r="B15" s="303"/>
      <c r="C15" s="303"/>
      <c r="D15" s="304"/>
      <c r="E15" s="304"/>
      <c r="F15" s="304"/>
      <c r="G15" s="306"/>
      <c r="H15" s="306"/>
      <c r="I15" s="306"/>
      <c r="J15" s="306"/>
    </row>
    <row r="16" spans="2:10" ht="19.5" customHeight="1">
      <c r="B16" s="307" t="s">
        <v>51</v>
      </c>
      <c r="C16" s="296" t="str">
        <f>INDEX('Raw - High Quals'!$A$9:$A$40,MATCH(MAX('Raw - High Quals'!P9:P40),'Raw - High Quals'!P9:P40,0))</f>
        <v>East Renfrewshire</v>
      </c>
      <c r="D16" s="297">
        <f>VLOOKUP($C16,'Raw - High Quals'!$A:$Q,12,FALSE)</f>
        <v>65.599999999999994</v>
      </c>
      <c r="E16" s="297">
        <f>VLOOKUP($C16,'Raw - High Quals'!$A:$Q,16,FALSE)</f>
        <v>70.099999999999994</v>
      </c>
      <c r="F16" s="318">
        <f>VLOOKUP(C16,'Raw - High Quals'!A:Q,14,FALSE)</f>
        <v>38000</v>
      </c>
      <c r="G16" s="299">
        <f t="shared" si="1"/>
        <v>4.5</v>
      </c>
      <c r="H16" s="300">
        <f>SUM(VLOOKUP(C16,'Raw - High Quals'!A:Q,14,FALSE)-VLOOKUP(C16,'Raw - High Quals'!A:Q,10,FALSE))</f>
        <v>2700</v>
      </c>
    </row>
    <row r="17" spans="2:12" ht="19.5" customHeight="1">
      <c r="B17" s="307" t="s">
        <v>542</v>
      </c>
      <c r="C17" s="308" t="s">
        <v>546</v>
      </c>
      <c r="D17" s="297">
        <f>VLOOKUP($C17,'Raw - High Quals'!$A:$Q,12,FALSE)</f>
        <v>57.291592889014794</v>
      </c>
      <c r="E17" s="297">
        <f>VLOOKUP($C17,'Raw - High Quals'!$A:$Q,16,FALSE)</f>
        <v>57.841140529531565</v>
      </c>
      <c r="F17" s="318">
        <f>VLOOKUP(C17,'Raw - High Quals'!A:Q,14,FALSE)</f>
        <v>823600</v>
      </c>
      <c r="G17" s="299">
        <f t="shared" si="1"/>
        <v>0.54954764051677074</v>
      </c>
      <c r="H17" s="300">
        <f>SUM(VLOOKUP(C17,'Raw - High Quals'!A:Q,14,FALSE)-VLOOKUP(C17,'Raw - High Quals'!A:Q,10,FALSE))</f>
        <v>14700</v>
      </c>
    </row>
    <row r="18" spans="2:12" ht="19.5" customHeight="1">
      <c r="B18" s="307" t="s">
        <v>250</v>
      </c>
      <c r="C18" s="296" t="s">
        <v>47</v>
      </c>
      <c r="D18" s="297">
        <f>VLOOKUP($C18,'Raw - High Quals'!$A:$Q,12,FALSE)</f>
        <v>51.5</v>
      </c>
      <c r="E18" s="297">
        <f>VLOOKUP($C18,'Raw - High Quals'!$A:$Q,16,FALSE)</f>
        <v>53.9</v>
      </c>
      <c r="F18" s="318">
        <f>VLOOKUP(C18,'Raw - High Quals'!A:Q,14,FALSE)</f>
        <v>603900</v>
      </c>
      <c r="G18" s="299">
        <f t="shared" si="1"/>
        <v>2.3999999999999986</v>
      </c>
      <c r="H18" s="300">
        <f>SUM(VLOOKUP(C18,'Raw - High Quals'!A:Q,14,FALSE)-VLOOKUP(C18,'Raw - High Quals'!A:Q,10,FALSE))</f>
        <v>26800</v>
      </c>
    </row>
    <row r="19" spans="2:12" ht="19.5" customHeight="1">
      <c r="B19" s="307" t="s">
        <v>251</v>
      </c>
      <c r="C19" s="296" t="s">
        <v>45</v>
      </c>
      <c r="D19" s="297">
        <f>VLOOKUP($C19,'Raw - High Quals'!$A:$Q,12,FALSE)</f>
        <v>54.2</v>
      </c>
      <c r="E19" s="297">
        <f>VLOOKUP($C19,'Raw - High Quals'!$A:$Q,16,FALSE)</f>
        <v>55.1</v>
      </c>
      <c r="F19" s="318">
        <f>VLOOKUP(C19,'Raw - High Quals'!A:Q,14,FALSE)</f>
        <v>1831700</v>
      </c>
      <c r="G19" s="299">
        <f t="shared" si="1"/>
        <v>0.89999999999999858</v>
      </c>
      <c r="H19" s="300">
        <f>SUM(VLOOKUP(C19,'Raw - High Quals'!A:Q,14,FALSE)-VLOOKUP(C19,'Raw - High Quals'!A:Q,10,FALSE))</f>
        <v>61400</v>
      </c>
    </row>
    <row r="20" spans="2:12" ht="19.5" customHeight="1">
      <c r="B20" s="307" t="s">
        <v>251</v>
      </c>
      <c r="C20" s="296" t="s">
        <v>46</v>
      </c>
      <c r="D20" s="297">
        <f>VLOOKUP($C20,'Raw - High Quals'!$A:$Q,12,FALSE)</f>
        <v>45.5</v>
      </c>
      <c r="E20" s="297">
        <f>VLOOKUP($C20,'Raw - High Quals'!$A:$Q,16,FALSE)</f>
        <v>47.1</v>
      </c>
      <c r="F20" s="318">
        <f>VLOOKUP(C20,'Raw - High Quals'!A:Q,14,FALSE)</f>
        <v>19134600</v>
      </c>
      <c r="G20" s="299">
        <f t="shared" si="1"/>
        <v>1.6000000000000014</v>
      </c>
      <c r="H20" s="300">
        <f>SUM(VLOOKUP(C20,'Raw - High Quals'!A:Q,14,FALSE)-VLOOKUP(C20,'Raw - High Quals'!A:Q,10,FALSE))</f>
        <v>1067000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I5</f>
        <v>Top Performing Scottish Local Authority</v>
      </c>
    </row>
    <row r="23" spans="2:12">
      <c r="B23" s="313" t="s">
        <v>467</v>
      </c>
    </row>
    <row r="24" spans="2:12">
      <c r="I24" s="314"/>
      <c r="J24" s="314"/>
      <c r="K24" s="314"/>
      <c r="L24" s="311"/>
    </row>
  </sheetData>
  <sheetProtection algorithmName="SHA-512" hashValue="MQOCuZdp3hjzDwzCDU44aL7pzG7OCvTwdJoujOR8GrBbOX7e7qfjIzShXMEreP9ydBhj5/eWN3VqUmPqOOgNiQ==" saltValue="Kalz/Q6jy1Eg8buQJe4aIQ==" spinCount="100000" sheet="1" objects="1" scenarios="1"/>
  <autoFilter ref="B6:J6" xr:uid="{00000000-0001-0000-0900-000000000000}"/>
  <mergeCells count="4">
    <mergeCell ref="I4:J4"/>
    <mergeCell ref="G5:H5"/>
    <mergeCell ref="I5:J5"/>
    <mergeCell ref="F2:G2"/>
  </mergeCells>
  <dataValidations count="1">
    <dataValidation type="list" allowBlank="1" showInputMessage="1" showErrorMessage="1" sqref="C17" xr:uid="{00000000-0002-0000-0900-000000000000}">
      <formula1>IF(B17="LGBF Family Group 1",LGBF_5,IF(B17="LGBF Family Group 3",LGBF_7,IF(B17="LGBF Family Group 4",LGBF_8,LGBF_6)))</formula1>
    </dataValidation>
  </dataValidations>
  <hyperlinks>
    <hyperlink ref="C3" r:id="rId1" xr:uid="{00000000-0004-0000-0900-000000000000}"/>
    <hyperlink ref="F2:G2" location="'Index RAG'!A1" display="Return to Index RAG" xr:uid="{00000000-0004-0000-09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1000000}">
          <x14:formula1>
            <xm:f>Lookups!$L$8:$O$8</xm:f>
          </x14:formula1>
          <xm:sqref>B17</xm:sqref>
        </x14:dataValidation>
        <x14:dataValidation type="list" allowBlank="1" showInputMessage="1" showErrorMessage="1" xr:uid="{00000000-0002-0000-0900-000002000000}">
          <x14:formula1>
            <xm:f>Lookups!$B$3:$B$7</xm:f>
          </x14:formula1>
          <xm:sqref>I5:J5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0" ht="13">
      <c r="B2" s="286" t="s">
        <v>48</v>
      </c>
      <c r="C2" s="287" t="s">
        <v>480</v>
      </c>
      <c r="F2" s="595" t="s">
        <v>507</v>
      </c>
      <c r="G2" s="596"/>
    </row>
    <row r="3" spans="2:10" ht="13">
      <c r="B3" s="286" t="s">
        <v>49</v>
      </c>
      <c r="C3" s="288" t="s">
        <v>756</v>
      </c>
    </row>
    <row r="4" spans="2:10" ht="13">
      <c r="B4" s="287"/>
      <c r="C4" s="289" t="s">
        <v>478</v>
      </c>
      <c r="I4" s="591" t="s">
        <v>52</v>
      </c>
      <c r="J4" s="591"/>
    </row>
    <row r="5" spans="2:10" ht="22" customHeight="1">
      <c r="C5" s="291"/>
      <c r="D5" s="292"/>
      <c r="E5" s="292"/>
      <c r="F5" s="292"/>
      <c r="G5" s="592" t="s">
        <v>50</v>
      </c>
      <c r="H5" s="593"/>
      <c r="I5" s="594" t="s">
        <v>51</v>
      </c>
      <c r="J5" s="594"/>
    </row>
    <row r="6" spans="2:10" ht="26.15" customHeight="1">
      <c r="B6" s="293" t="s">
        <v>271</v>
      </c>
      <c r="C6" s="293" t="s">
        <v>5</v>
      </c>
      <c r="D6" s="294">
        <v>2022</v>
      </c>
      <c r="E6" s="294">
        <v>2023</v>
      </c>
      <c r="F6" s="294" t="s">
        <v>737</v>
      </c>
      <c r="G6" s="295" t="s">
        <v>53</v>
      </c>
      <c r="H6" s="295" t="s">
        <v>54</v>
      </c>
      <c r="I6" s="295" t="s">
        <v>56</v>
      </c>
      <c r="J6" s="295" t="s">
        <v>57</v>
      </c>
    </row>
    <row r="7" spans="2:10" ht="19.5" customHeight="1">
      <c r="B7" s="296" t="s">
        <v>249</v>
      </c>
      <c r="C7" s="296" t="s">
        <v>22</v>
      </c>
      <c r="D7" s="298">
        <f>VLOOKUP($C7,'Raw - No Qualifications'!$A:$Q,12,FALSE)</f>
        <v>4.4000000000000004</v>
      </c>
      <c r="E7" s="298">
        <f>VLOOKUP($C7,'Raw - No Qualifications'!$A:$Q,16,FALSE)</f>
        <v>5.3</v>
      </c>
      <c r="F7" s="318">
        <f>VLOOKUP(C7,'Raw - No Qualifications'!A:Q,14,FALSE)</f>
        <v>3100</v>
      </c>
      <c r="G7" s="299">
        <f>E7-D7</f>
        <v>0.89999999999999947</v>
      </c>
      <c r="H7" s="300">
        <f>SUM(VLOOKUP(C7,'Raw - No Qualifications'!A:Q,14,FALSE)-VLOOKUP(C7,'Raw - No Qualifications'!A:Q,10,FALSE))</f>
        <v>500</v>
      </c>
      <c r="I7" s="301">
        <f t="shared" ref="I7:I14" si="0">IF(IF($I$5="LGBF Family Group",SUM(E$17-E7),IF($I$5="Glasgow City Region",SUM(E$18-E7),IF($I$5="Scotland",SUM(E$19-E7),IF($I$5="United Kingdom",SUM(E$20-E7),SUM(E$16-E7)))))&gt;0,"",IF($I$5="LGBF Family Group",SUM(E$17-E7),IF($I$5="Glasgow City Region",SUM(E$18-E7),IF($I$5="Scotland",SUM(E$19-E7),IF($I$5="United Kingdom",SUM(E$20-E7),SUM(E$16-E7))))))</f>
        <v>-3.1999999999999997</v>
      </c>
      <c r="J7" s="302">
        <f>IF(I7="","",IF($I$5="LGBF Family Group",SUM(MROUND(SUM(SUM(VLOOKUP(C$17,'Raw - No Qualifications'!A:Q,16,FALSE)*VLOOKUP(C7,'Raw - No Qualifications'!A:Q,15,FALSE))/100),100)-MROUND(SUM(SUM(VLOOKUP(C7,'Raw - No Qualifications'!A:Q,16,FALSE)*VLOOKUP(C7,'Raw - No Qualifications'!A:Q,15,FALSE))/100),100)),IF($I$5="Glasgow City Region",SUM(MROUND(SUM(SUM(VLOOKUP(C$18,'Raw - No Qualifications'!A:Q,16,FALSE)*VLOOKUP(C7,'Raw - No Qualifications'!A:Q,15,FALSE))/100),100)-MROUND(SUM(SUM(VLOOKUP(C7,'Raw - No Qualifications'!A:Q,16,FALSE)*VLOOKUP(C7,'Raw - No Qualifications'!A:Q,15,FALSE))/100),100)),IF($I$5="Scotland",SUM(MROUND(SUM(SUM(VLOOKUP(C$19,'Raw - No Qualifications'!A:Q,16,FALSE)*VLOOKUP(C7,'Raw - No Qualifications'!A:Q,15,FALSE))/100),100)-MROUND(SUM(SUM(VLOOKUP(C7,'Raw - No Qualifications'!A:Q,16,FALSE)*VLOOKUP(C7,'Raw - No Qualifications'!A:Q,15,FALSE))/100),100)),IF($I$5="United Kingdom",SUM(MROUND(SUM(SUM(VLOOKUP(C$20,'Raw - No Qualifications'!A:Q,16,FALSE)*VLOOKUP(C7,'Raw - No Qualifications'!A:Q,15,FALSE))/100),100)-MROUND(SUM(SUM(VLOOKUP(C7,'Raw - No Qualifications'!A:Q,16,FALSE)*VLOOKUP(C7,'Raw - No Qualifications'!A:Q,15,FALSE))/100),100)),SUM(MROUND(SUM(SUM(VLOOKUP(C$16,'Raw - No Qualifications'!A:Q,16,FALSE)*VLOOKUP(C7,'Raw - No Qualifications'!A:Q,15,FALSE))/100),100)-MROUND(SUM(SUM(VLOOKUP(C7,'Raw - No Qualifications'!A:Q,16,FALSE)*VLOOKUP(C7,'Raw - No Qualifications'!A:Q,15,FALSE))/100),100)))))))</f>
        <v>-1900</v>
      </c>
    </row>
    <row r="8" spans="2:10" ht="19.5" customHeight="1">
      <c r="B8" s="296" t="s">
        <v>249</v>
      </c>
      <c r="C8" s="296" t="s">
        <v>24</v>
      </c>
      <c r="D8" s="298">
        <f>VLOOKUP($C8,'Raw - No Qualifications'!$A:$Q,12,FALSE)</f>
        <v>5.7</v>
      </c>
      <c r="E8" s="298">
        <f>VLOOKUP($C8,'Raw - No Qualifications'!$A:$Q,16,FALSE)</f>
        <v>4.4000000000000004</v>
      </c>
      <c r="F8" s="318">
        <f>VLOOKUP(C8,'Raw - No Qualifications'!A:Q,14,FALSE)</f>
        <v>2400</v>
      </c>
      <c r="G8" s="299">
        <f t="shared" ref="G8:G20" si="1">E8-D8</f>
        <v>-1.2999999999999998</v>
      </c>
      <c r="H8" s="300">
        <f>SUM(VLOOKUP(C8,'Raw - No Qualifications'!A:Q,14,FALSE)-VLOOKUP(C8,'Raw - No Qualifications'!A:Q,10,FALSE))</f>
        <v>-700</v>
      </c>
      <c r="I8" s="301">
        <f t="shared" si="0"/>
        <v>-2.3000000000000003</v>
      </c>
      <c r="J8" s="302">
        <f>IF(I8="","",IF($I$5="LGBF Family Group",SUM(MROUND(SUM(SUM(VLOOKUP(C$17,'Raw - No Qualifications'!A:Q,16,FALSE)*VLOOKUP(C8,'Raw - No Qualifications'!A:Q,15,FALSE))/100),100)-MROUND(SUM(SUM(VLOOKUP(C8,'Raw - No Qualifications'!A:Q,16,FALSE)*VLOOKUP(C8,'Raw - No Qualifications'!A:Q,15,FALSE))/100),100)),IF($I$5="Glasgow City Region",SUM(MROUND(SUM(SUM(VLOOKUP(C$18,'Raw - No Qualifications'!A:Q,16,FALSE)*VLOOKUP(C8,'Raw - No Qualifications'!A:Q,15,FALSE))/100),100)-MROUND(SUM(SUM(VLOOKUP(C8,'Raw - No Qualifications'!A:Q,16,FALSE)*VLOOKUP(C8,'Raw - No Qualifications'!A:Q,15,FALSE))/100),100)),IF($I$5="Scotland",SUM(MROUND(SUM(SUM(VLOOKUP(C$19,'Raw - No Qualifications'!A:Q,16,FALSE)*VLOOKUP(C8,'Raw - No Qualifications'!A:Q,15,FALSE))/100),100)-MROUND(SUM(SUM(VLOOKUP(C8,'Raw - No Qualifications'!A:Q,16,FALSE)*VLOOKUP(C8,'Raw - No Qualifications'!A:Q,15,FALSE))/100),100)),IF($I$5="United Kingdom",SUM(MROUND(SUM(SUM(VLOOKUP(C$20,'Raw - No Qualifications'!A:Q,16,FALSE)*VLOOKUP(C8,'Raw - No Qualifications'!A:Q,15,FALSE))/100),100)-MROUND(SUM(SUM(VLOOKUP(C8,'Raw - No Qualifications'!A:Q,16,FALSE)*VLOOKUP(C8,'Raw - No Qualifications'!A:Q,15,FALSE))/100),100)),SUM(MROUND(SUM(SUM(VLOOKUP(C$16,'Raw - No Qualifications'!A:Q,16,FALSE)*VLOOKUP(C8,'Raw - No Qualifications'!A:Q,15,FALSE))/100),100)-MROUND(SUM(SUM(VLOOKUP(C8,'Raw - No Qualifications'!A:Q,16,FALSE)*VLOOKUP(C8,'Raw - No Qualifications'!A:Q,15,FALSE))/100),100)))))))</f>
        <v>-1300</v>
      </c>
    </row>
    <row r="9" spans="2:10" ht="19.5" customHeight="1">
      <c r="B9" s="296" t="s">
        <v>249</v>
      </c>
      <c r="C9" s="296" t="s">
        <v>27</v>
      </c>
      <c r="D9" s="298">
        <f>VLOOKUP($C9,'Raw - No Qualifications'!$A:$Q,12,FALSE)</f>
        <v>11.2</v>
      </c>
      <c r="E9" s="298">
        <f>VLOOKUP($C9,'Raw - No Qualifications'!$A:$Q,16,FALSE)</f>
        <v>11.9</v>
      </c>
      <c r="F9" s="318">
        <f>VLOOKUP(C9,'Raw - No Qualifications'!A:Q,14,FALSE)</f>
        <v>48600</v>
      </c>
      <c r="G9" s="299">
        <f t="shared" si="1"/>
        <v>0.70000000000000107</v>
      </c>
      <c r="H9" s="300">
        <f>SUM(VLOOKUP(C9,'Raw - No Qualifications'!A:Q,14,FALSE)-VLOOKUP(C9,'Raw - No Qualifications'!A:Q,10,FALSE))</f>
        <v>3100</v>
      </c>
      <c r="I9" s="301">
        <f t="shared" si="0"/>
        <v>-9.8000000000000007</v>
      </c>
      <c r="J9" s="302">
        <f>IF(I9="","",IF($I$5="LGBF Family Group",SUM(MROUND(SUM(SUM(VLOOKUP(C$17,'Raw - No Qualifications'!A:Q,16,FALSE)*VLOOKUP(C9,'Raw - No Qualifications'!A:Q,15,FALSE))/100),100)-MROUND(SUM(SUM(VLOOKUP(C9,'Raw - No Qualifications'!A:Q,16,FALSE)*VLOOKUP(C9,'Raw - No Qualifications'!A:Q,15,FALSE))/100),100)),IF($I$5="Glasgow City Region",SUM(MROUND(SUM(SUM(VLOOKUP(C$18,'Raw - No Qualifications'!A:Q,16,FALSE)*VLOOKUP(C9,'Raw - No Qualifications'!A:Q,15,FALSE))/100),100)-MROUND(SUM(SUM(VLOOKUP(C9,'Raw - No Qualifications'!A:Q,16,FALSE)*VLOOKUP(C9,'Raw - No Qualifications'!A:Q,15,FALSE))/100),100)),IF($I$5="Scotland",SUM(MROUND(SUM(SUM(VLOOKUP(C$19,'Raw - No Qualifications'!A:Q,16,FALSE)*VLOOKUP(C9,'Raw - No Qualifications'!A:Q,15,FALSE))/100),100)-MROUND(SUM(SUM(VLOOKUP(C9,'Raw - No Qualifications'!A:Q,16,FALSE)*VLOOKUP(C9,'Raw - No Qualifications'!A:Q,15,FALSE))/100),100)),IF($I$5="United Kingdom",SUM(MROUND(SUM(SUM(VLOOKUP(C$20,'Raw - No Qualifications'!A:Q,16,FALSE)*VLOOKUP(C9,'Raw - No Qualifications'!A:Q,15,FALSE))/100),100)-MROUND(SUM(SUM(VLOOKUP(C9,'Raw - No Qualifications'!A:Q,16,FALSE)*VLOOKUP(C9,'Raw - No Qualifications'!A:Q,15,FALSE))/100),100)),SUM(MROUND(SUM(SUM(VLOOKUP(C$16,'Raw - No Qualifications'!A:Q,16,FALSE)*VLOOKUP(C9,'Raw - No Qualifications'!A:Q,15,FALSE))/100),100)-MROUND(SUM(SUM(VLOOKUP(C9,'Raw - No Qualifications'!A:Q,16,FALSE)*VLOOKUP(C9,'Raw - No Qualifications'!A:Q,15,FALSE))/100),100)))))))</f>
        <v>-39900</v>
      </c>
    </row>
    <row r="10" spans="2:10" ht="19.5" customHeight="1">
      <c r="B10" s="296" t="s">
        <v>249</v>
      </c>
      <c r="C10" s="296" t="s">
        <v>29</v>
      </c>
      <c r="D10" s="298">
        <f>VLOOKUP($C10,'Raw - No Qualifications'!$A:$Q,12,FALSE)</f>
        <v>9.1</v>
      </c>
      <c r="E10" s="298">
        <f>VLOOKUP($C10,'Raw - No Qualifications'!$A:$Q,16,FALSE)</f>
        <v>9.1999999999999993</v>
      </c>
      <c r="F10" s="318">
        <f>VLOOKUP(C10,'Raw - No Qualifications'!A:Q,14,FALSE)</f>
        <v>4100</v>
      </c>
      <c r="G10" s="299">
        <f t="shared" si="1"/>
        <v>9.9999999999999645E-2</v>
      </c>
      <c r="H10" s="300">
        <f>SUM(VLOOKUP(C10,'Raw - No Qualifications'!A:Q,14,FALSE)-VLOOKUP(C10,'Raw - No Qualifications'!A:Q,10,FALSE))</f>
        <v>0</v>
      </c>
      <c r="I10" s="301">
        <f t="shared" si="0"/>
        <v>-7.1</v>
      </c>
      <c r="J10" s="302">
        <f>IF(I10="","",IF($I$5="LGBF Family Group",SUM(MROUND(SUM(SUM(VLOOKUP(C$17,'Raw - No Qualifications'!A:Q,16,FALSE)*VLOOKUP(C10,'Raw - No Qualifications'!A:Q,15,FALSE))/100),100)-MROUND(SUM(SUM(VLOOKUP(C10,'Raw - No Qualifications'!A:Q,16,FALSE)*VLOOKUP(C10,'Raw - No Qualifications'!A:Q,15,FALSE))/100),100)),IF($I$5="Glasgow City Region",SUM(MROUND(SUM(SUM(VLOOKUP(C$18,'Raw - No Qualifications'!A:Q,16,FALSE)*VLOOKUP(C10,'Raw - No Qualifications'!A:Q,15,FALSE))/100),100)-MROUND(SUM(SUM(VLOOKUP(C10,'Raw - No Qualifications'!A:Q,16,FALSE)*VLOOKUP(C10,'Raw - No Qualifications'!A:Q,15,FALSE))/100),100)),IF($I$5="Scotland",SUM(MROUND(SUM(SUM(VLOOKUP(C$19,'Raw - No Qualifications'!A:Q,16,FALSE)*VLOOKUP(C10,'Raw - No Qualifications'!A:Q,15,FALSE))/100),100)-MROUND(SUM(SUM(VLOOKUP(C10,'Raw - No Qualifications'!A:Q,16,FALSE)*VLOOKUP(C10,'Raw - No Qualifications'!A:Q,15,FALSE))/100),100)),IF($I$5="United Kingdom",SUM(MROUND(SUM(SUM(VLOOKUP(C$20,'Raw - No Qualifications'!A:Q,16,FALSE)*VLOOKUP(C10,'Raw - No Qualifications'!A:Q,15,FALSE))/100),100)-MROUND(SUM(SUM(VLOOKUP(C10,'Raw - No Qualifications'!A:Q,16,FALSE)*VLOOKUP(C10,'Raw - No Qualifications'!A:Q,15,FALSE))/100),100)),SUM(MROUND(SUM(SUM(VLOOKUP(C$16,'Raw - No Qualifications'!A:Q,16,FALSE)*VLOOKUP(C10,'Raw - No Qualifications'!A:Q,15,FALSE))/100),100)-MROUND(SUM(SUM(VLOOKUP(C10,'Raw - No Qualifications'!A:Q,16,FALSE)*VLOOKUP(C10,'Raw - No Qualifications'!A:Q,15,FALSE))/100),100)))))))</f>
        <v>-3200</v>
      </c>
    </row>
    <row r="11" spans="2:10" ht="19.5" customHeight="1">
      <c r="B11" s="296" t="s">
        <v>249</v>
      </c>
      <c r="C11" s="296" t="s">
        <v>34</v>
      </c>
      <c r="D11" s="298">
        <f>VLOOKUP($C11,'Raw - No Qualifications'!$A:$Q,12,FALSE)</f>
        <v>14.4</v>
      </c>
      <c r="E11" s="298">
        <f>VLOOKUP($C11,'Raw - No Qualifications'!$A:$Q,16,FALSE)</f>
        <v>14.3</v>
      </c>
      <c r="F11" s="318">
        <f>VLOOKUP(C11,'Raw - No Qualifications'!A:Q,14,FALSE)</f>
        <v>30100</v>
      </c>
      <c r="G11" s="299">
        <f t="shared" si="1"/>
        <v>-9.9999999999999645E-2</v>
      </c>
      <c r="H11" s="300">
        <f>SUM(VLOOKUP(C11,'Raw - No Qualifications'!A:Q,14,FALSE)-VLOOKUP(C11,'Raw - No Qualifications'!A:Q,10,FALSE))</f>
        <v>-400</v>
      </c>
      <c r="I11" s="301">
        <f t="shared" si="0"/>
        <v>-12.200000000000001</v>
      </c>
      <c r="J11" s="302">
        <f>IF(I11="","",IF($I$5="LGBF Family Group",SUM(MROUND(SUM(SUM(VLOOKUP(C$17,'Raw - No Qualifications'!A:Q,16,FALSE)*VLOOKUP(C11,'Raw - No Qualifications'!A:Q,15,FALSE))/100),100)-MROUND(SUM(SUM(VLOOKUP(C11,'Raw - No Qualifications'!A:Q,16,FALSE)*VLOOKUP(C11,'Raw - No Qualifications'!A:Q,15,FALSE))/100),100)),IF($I$5="Glasgow City Region",SUM(MROUND(SUM(SUM(VLOOKUP(C$18,'Raw - No Qualifications'!A:Q,16,FALSE)*VLOOKUP(C11,'Raw - No Qualifications'!A:Q,15,FALSE))/100),100)-MROUND(SUM(SUM(VLOOKUP(C11,'Raw - No Qualifications'!A:Q,16,FALSE)*VLOOKUP(C11,'Raw - No Qualifications'!A:Q,15,FALSE))/100),100)),IF($I$5="Scotland",SUM(MROUND(SUM(SUM(VLOOKUP(C$19,'Raw - No Qualifications'!A:Q,16,FALSE)*VLOOKUP(C11,'Raw - No Qualifications'!A:Q,15,FALSE))/100),100)-MROUND(SUM(SUM(VLOOKUP(C11,'Raw - No Qualifications'!A:Q,16,FALSE)*VLOOKUP(C11,'Raw - No Qualifications'!A:Q,15,FALSE))/100),100)),IF($I$5="United Kingdom",SUM(MROUND(SUM(SUM(VLOOKUP(C$20,'Raw - No Qualifications'!A:Q,16,FALSE)*VLOOKUP(C11,'Raw - No Qualifications'!A:Q,15,FALSE))/100),100)-MROUND(SUM(SUM(VLOOKUP(C11,'Raw - No Qualifications'!A:Q,16,FALSE)*VLOOKUP(C11,'Raw - No Qualifications'!A:Q,15,FALSE))/100),100)),SUM(MROUND(SUM(SUM(VLOOKUP(C$16,'Raw - No Qualifications'!A:Q,16,FALSE)*VLOOKUP(C11,'Raw - No Qualifications'!A:Q,15,FALSE))/100),100)-MROUND(SUM(SUM(VLOOKUP(C11,'Raw - No Qualifications'!A:Q,16,FALSE)*VLOOKUP(C11,'Raw - No Qualifications'!A:Q,15,FALSE))/100),100)))))))</f>
        <v>-25600</v>
      </c>
    </row>
    <row r="12" spans="2:10" ht="19.5" customHeight="1">
      <c r="B12" s="296" t="s">
        <v>249</v>
      </c>
      <c r="C12" s="296" t="s">
        <v>37</v>
      </c>
      <c r="D12" s="298">
        <f>VLOOKUP($C12,'Raw - No Qualifications'!$A:$Q,12,FALSE)</f>
        <v>5.2</v>
      </c>
      <c r="E12" s="298">
        <f>VLOOKUP($C12,'Raw - No Qualifications'!$A:$Q,16,FALSE)</f>
        <v>7.3</v>
      </c>
      <c r="F12" s="318">
        <f>VLOOKUP(C12,'Raw - No Qualifications'!A:Q,14,FALSE)</f>
        <v>7800</v>
      </c>
      <c r="G12" s="299">
        <f t="shared" si="1"/>
        <v>2.0999999999999996</v>
      </c>
      <c r="H12" s="300">
        <f>SUM(VLOOKUP(C12,'Raw - No Qualifications'!A:Q,14,FALSE)-VLOOKUP(C12,'Raw - No Qualifications'!A:Q,10,FALSE))</f>
        <v>2300</v>
      </c>
      <c r="I12" s="301">
        <f t="shared" si="0"/>
        <v>-5.1999999999999993</v>
      </c>
      <c r="J12" s="302">
        <f>IF(I12="","",IF($I$5="LGBF Family Group",SUM(MROUND(SUM(SUM(VLOOKUP(C$17,'Raw - No Qualifications'!A:Q,16,FALSE)*VLOOKUP(C12,'Raw - No Qualifications'!A:Q,15,FALSE))/100),100)-MROUND(SUM(SUM(VLOOKUP(C12,'Raw - No Qualifications'!A:Q,16,FALSE)*VLOOKUP(C12,'Raw - No Qualifications'!A:Q,15,FALSE))/100),100)),IF($I$5="Glasgow City Region",SUM(MROUND(SUM(SUM(VLOOKUP(C$18,'Raw - No Qualifications'!A:Q,16,FALSE)*VLOOKUP(C12,'Raw - No Qualifications'!A:Q,15,FALSE))/100),100)-MROUND(SUM(SUM(VLOOKUP(C12,'Raw - No Qualifications'!A:Q,16,FALSE)*VLOOKUP(C12,'Raw - No Qualifications'!A:Q,15,FALSE))/100),100)),IF($I$5="Scotland",SUM(MROUND(SUM(SUM(VLOOKUP(C$19,'Raw - No Qualifications'!A:Q,16,FALSE)*VLOOKUP(C12,'Raw - No Qualifications'!A:Q,15,FALSE))/100),100)-MROUND(SUM(SUM(VLOOKUP(C12,'Raw - No Qualifications'!A:Q,16,FALSE)*VLOOKUP(C12,'Raw - No Qualifications'!A:Q,15,FALSE))/100),100)),IF($I$5="United Kingdom",SUM(MROUND(SUM(SUM(VLOOKUP(C$20,'Raw - No Qualifications'!A:Q,16,FALSE)*VLOOKUP(C12,'Raw - No Qualifications'!A:Q,15,FALSE))/100),100)-MROUND(SUM(SUM(VLOOKUP(C12,'Raw - No Qualifications'!A:Q,16,FALSE)*VLOOKUP(C12,'Raw - No Qualifications'!A:Q,15,FALSE))/100),100)),SUM(MROUND(SUM(SUM(VLOOKUP(C$16,'Raw - No Qualifications'!A:Q,16,FALSE)*VLOOKUP(C12,'Raw - No Qualifications'!A:Q,15,FALSE))/100),100)-MROUND(SUM(SUM(VLOOKUP(C12,'Raw - No Qualifications'!A:Q,16,FALSE)*VLOOKUP(C12,'Raw - No Qualifications'!A:Q,15,FALSE))/100),100)))))))</f>
        <v>-5600</v>
      </c>
    </row>
    <row r="13" spans="2:10" ht="19.5" customHeight="1">
      <c r="B13" s="296" t="s">
        <v>249</v>
      </c>
      <c r="C13" s="296" t="s">
        <v>41</v>
      </c>
      <c r="D13" s="298">
        <f>VLOOKUP($C13,'Raw - No Qualifications'!$A:$Q,12,FALSE)</f>
        <v>9.5</v>
      </c>
      <c r="E13" s="298">
        <f>VLOOKUP($C13,'Raw - No Qualifications'!$A:$Q,16,FALSE)</f>
        <v>10.6</v>
      </c>
      <c r="F13" s="318">
        <f>VLOOKUP(C13,'Raw - No Qualifications'!A:Q,14,FALSE)</f>
        <v>20000</v>
      </c>
      <c r="G13" s="299">
        <f t="shared" si="1"/>
        <v>1.0999999999999996</v>
      </c>
      <c r="H13" s="300">
        <f>SUM(VLOOKUP(C13,'Raw - No Qualifications'!A:Q,14,FALSE)-VLOOKUP(C13,'Raw - No Qualifications'!A:Q,10,FALSE))</f>
        <v>2200</v>
      </c>
      <c r="I13" s="301">
        <f t="shared" si="0"/>
        <v>-8.5</v>
      </c>
      <c r="J13" s="302">
        <f>IF(I13="","",IF($I$5="LGBF Family Group",SUM(MROUND(SUM(SUM(VLOOKUP(C$17,'Raw - No Qualifications'!A:Q,16,FALSE)*VLOOKUP(C13,'Raw - No Qualifications'!A:Q,15,FALSE))/100),100)-MROUND(SUM(SUM(VLOOKUP(C13,'Raw - No Qualifications'!A:Q,16,FALSE)*VLOOKUP(C13,'Raw - No Qualifications'!A:Q,15,FALSE))/100),100)),IF($I$5="Glasgow City Region",SUM(MROUND(SUM(SUM(VLOOKUP(C$18,'Raw - No Qualifications'!A:Q,16,FALSE)*VLOOKUP(C13,'Raw - No Qualifications'!A:Q,15,FALSE))/100),100)-MROUND(SUM(SUM(VLOOKUP(C13,'Raw - No Qualifications'!A:Q,16,FALSE)*VLOOKUP(C13,'Raw - No Qualifications'!A:Q,15,FALSE))/100),100)),IF($I$5="Scotland",SUM(MROUND(SUM(SUM(VLOOKUP(C$19,'Raw - No Qualifications'!A:Q,16,FALSE)*VLOOKUP(C13,'Raw - No Qualifications'!A:Q,15,FALSE))/100),100)-MROUND(SUM(SUM(VLOOKUP(C13,'Raw - No Qualifications'!A:Q,16,FALSE)*VLOOKUP(C13,'Raw - No Qualifications'!A:Q,15,FALSE))/100),100)),IF($I$5="United Kingdom",SUM(MROUND(SUM(SUM(VLOOKUP(C$20,'Raw - No Qualifications'!A:Q,16,FALSE)*VLOOKUP(C13,'Raw - No Qualifications'!A:Q,15,FALSE))/100),100)-MROUND(SUM(SUM(VLOOKUP(C13,'Raw - No Qualifications'!A:Q,16,FALSE)*VLOOKUP(C13,'Raw - No Qualifications'!A:Q,15,FALSE))/100),100)),SUM(MROUND(SUM(SUM(VLOOKUP(C$16,'Raw - No Qualifications'!A:Q,16,FALSE)*VLOOKUP(C13,'Raw - No Qualifications'!A:Q,15,FALSE))/100),100)-MROUND(SUM(SUM(VLOOKUP(C13,'Raw - No Qualifications'!A:Q,16,FALSE)*VLOOKUP(C13,'Raw - No Qualifications'!A:Q,15,FALSE))/100),100)))))))</f>
        <v>-16000</v>
      </c>
    </row>
    <row r="14" spans="2:10" ht="19.5" customHeight="1">
      <c r="B14" s="296" t="s">
        <v>249</v>
      </c>
      <c r="C14" s="296" t="s">
        <v>43</v>
      </c>
      <c r="D14" s="298">
        <f>VLOOKUP($C14,'Raw - No Qualifications'!$A:$Q,12,FALSE)</f>
        <v>10.1</v>
      </c>
      <c r="E14" s="298">
        <f>VLOOKUP($C14,'Raw - No Qualifications'!$A:$Q,16,FALSE)</f>
        <v>8.5</v>
      </c>
      <c r="F14" s="318">
        <f>VLOOKUP(C14,'Raw - No Qualifications'!A:Q,14,FALSE)</f>
        <v>4300</v>
      </c>
      <c r="G14" s="299">
        <f t="shared" si="1"/>
        <v>-1.5999999999999996</v>
      </c>
      <c r="H14" s="300">
        <f>SUM(VLOOKUP(C14,'Raw - No Qualifications'!A:Q,14,FALSE)-VLOOKUP(C14,'Raw - No Qualifications'!A:Q,10,FALSE))</f>
        <v>-1000</v>
      </c>
      <c r="I14" s="301">
        <f t="shared" si="0"/>
        <v>-6.4</v>
      </c>
      <c r="J14" s="302">
        <f>IF(I14="","",IF($I$5="LGBF Family Group",SUM(MROUND(SUM(SUM(VLOOKUP(C$17,'Raw - No Qualifications'!A:Q,16,FALSE)*VLOOKUP(C14,'Raw - No Qualifications'!A:Q,15,FALSE))/100),100)-MROUND(SUM(SUM(VLOOKUP(C14,'Raw - No Qualifications'!A:Q,16,FALSE)*VLOOKUP(C14,'Raw - No Qualifications'!A:Q,15,FALSE))/100),100)),IF($I$5="Glasgow City Region",SUM(MROUND(SUM(SUM(VLOOKUP(C$18,'Raw - No Qualifications'!A:Q,16,FALSE)*VLOOKUP(C14,'Raw - No Qualifications'!A:Q,15,FALSE))/100),100)-MROUND(SUM(SUM(VLOOKUP(C14,'Raw - No Qualifications'!A:Q,16,FALSE)*VLOOKUP(C14,'Raw - No Qualifications'!A:Q,15,FALSE))/100),100)),IF($I$5="Scotland",SUM(MROUND(SUM(SUM(VLOOKUP(C$19,'Raw - No Qualifications'!A:Q,16,FALSE)*VLOOKUP(C14,'Raw - No Qualifications'!A:Q,15,FALSE))/100),100)-MROUND(SUM(SUM(VLOOKUP(C14,'Raw - No Qualifications'!A:Q,16,FALSE)*VLOOKUP(C14,'Raw - No Qualifications'!A:Q,15,FALSE))/100),100)),IF($I$5="United Kingdom",SUM(MROUND(SUM(SUM(VLOOKUP(C$20,'Raw - No Qualifications'!A:Q,16,FALSE)*VLOOKUP(C14,'Raw - No Qualifications'!A:Q,15,FALSE))/100),100)-MROUND(SUM(SUM(VLOOKUP(C14,'Raw - No Qualifications'!A:Q,16,FALSE)*VLOOKUP(C14,'Raw - No Qualifications'!A:Q,15,FALSE))/100),100)),SUM(MROUND(SUM(SUM(VLOOKUP(C$16,'Raw - No Qualifications'!A:Q,16,FALSE)*VLOOKUP(C14,'Raw - No Qualifications'!A:Q,15,FALSE))/100),100)-MROUND(SUM(SUM(VLOOKUP(C14,'Raw - No Qualifications'!A:Q,16,FALSE)*VLOOKUP(C14,'Raw - No Qualifications'!A:Q,15,FALSE))/100),100)))))))</f>
        <v>-3200</v>
      </c>
    </row>
    <row r="15" spans="2:10" ht="19.5" customHeight="1">
      <c r="B15" s="303"/>
      <c r="C15" s="303"/>
      <c r="D15" s="304"/>
      <c r="E15" s="304"/>
      <c r="F15" s="304"/>
      <c r="G15" s="306"/>
      <c r="H15" s="306"/>
      <c r="I15" s="306"/>
      <c r="J15" s="306"/>
    </row>
    <row r="16" spans="2:10" ht="19.5" customHeight="1">
      <c r="B16" s="307" t="s">
        <v>51</v>
      </c>
      <c r="C16" s="296" t="str">
        <f>INDEX('Raw - No Qualifications'!$A$9:$A$40,MATCH(MIN('Raw - No Qualifications'!P9:P40),'Raw - No Qualifications'!P9:P40,0))</f>
        <v>Aberdeen City</v>
      </c>
      <c r="D16" s="298">
        <f>VLOOKUP($C16,'Raw - No Qualifications'!$A:$Q,12,FALSE)</f>
        <v>4.5999999999999996</v>
      </c>
      <c r="E16" s="298">
        <f>VLOOKUP($C16,'Raw - No Qualifications'!$A:$Q,16,FALSE)</f>
        <v>2.1</v>
      </c>
      <c r="F16" s="318">
        <f>VLOOKUP(C16,'Raw - No Qualifications'!A:Q,14,FALSE)</f>
        <v>3300</v>
      </c>
      <c r="G16" s="299">
        <f t="shared" si="1"/>
        <v>-2.4999999999999996</v>
      </c>
      <c r="H16" s="300">
        <f>SUM(VLOOKUP(C16,'Raw - No Qualifications'!A:Q,14,FALSE)-VLOOKUP(C16,'Raw - No Qualifications'!A:Q,10,FALSE))</f>
        <v>-3700</v>
      </c>
    </row>
    <row r="17" spans="2:12" ht="19.5" customHeight="1">
      <c r="B17" s="307" t="s">
        <v>542</v>
      </c>
      <c r="C17" s="308" t="s">
        <v>546</v>
      </c>
      <c r="D17" s="298">
        <f>VLOOKUP($C17,'Raw - No Qualifications'!$A:$Q,12,FALSE)</f>
        <v>8.6195906225653367</v>
      </c>
      <c r="E17" s="298">
        <f>VLOOKUP($C17,'Raw - No Qualifications'!$A:$Q,16,FALSE)</f>
        <v>8.7014537537748424</v>
      </c>
      <c r="F17" s="318">
        <f>VLOOKUP(C17,'Raw - No Qualifications'!A:Q,14,FALSE)</f>
        <v>123900</v>
      </c>
      <c r="G17" s="299">
        <f t="shared" si="1"/>
        <v>8.1863131209505724E-2</v>
      </c>
      <c r="H17" s="300">
        <f>SUM(VLOOKUP(C17,'Raw - No Qualifications'!A:Q,14,FALSE)-VLOOKUP(C17,'Raw - No Qualifications'!A:Q,10,FALSE))</f>
        <v>2200</v>
      </c>
    </row>
    <row r="18" spans="2:12" ht="19.5" customHeight="1">
      <c r="B18" s="307" t="s">
        <v>250</v>
      </c>
      <c r="C18" s="296" t="s">
        <v>47</v>
      </c>
      <c r="D18" s="298">
        <f>VLOOKUP($C18,'Raw - No Qualifications'!$A:$Q,12,FALSE)</f>
        <v>10.199999999999999</v>
      </c>
      <c r="E18" s="298">
        <f>VLOOKUP($C18,'Raw - No Qualifications'!$A:$Q,16,FALSE)</f>
        <v>10.7</v>
      </c>
      <c r="F18" s="318">
        <f>VLOOKUP(C18,'Raw - No Qualifications'!A:Q,14,FALSE)</f>
        <v>120300</v>
      </c>
      <c r="G18" s="299">
        <f t="shared" si="1"/>
        <v>0.5</v>
      </c>
      <c r="H18" s="300">
        <f>SUM(VLOOKUP(C18,'Raw - No Qualifications'!A:Q,14,FALSE)-VLOOKUP(C18,'Raw - No Qualifications'!A:Q,10,FALSE))</f>
        <v>5900</v>
      </c>
    </row>
    <row r="19" spans="2:12" ht="19.5" customHeight="1">
      <c r="B19" s="307" t="s">
        <v>251</v>
      </c>
      <c r="C19" s="296" t="s">
        <v>45</v>
      </c>
      <c r="D19" s="298">
        <f>VLOOKUP($C19,'Raw - No Qualifications'!$A:$Q,12,FALSE)</f>
        <v>8</v>
      </c>
      <c r="E19" s="298">
        <f>VLOOKUP($C19,'Raw - No Qualifications'!$A:$Q,16,FALSE)</f>
        <v>8.1999999999999993</v>
      </c>
      <c r="F19" s="318">
        <f>VLOOKUP(C19,'Raw - No Qualifications'!A:Q,14,FALSE)</f>
        <v>271400</v>
      </c>
      <c r="G19" s="299">
        <f t="shared" si="1"/>
        <v>0.19999999999999929</v>
      </c>
      <c r="H19" s="300">
        <f>SUM(VLOOKUP(C19,'Raw - No Qualifications'!A:Q,14,FALSE)-VLOOKUP(C19,'Raw - No Qualifications'!A:Q,10,FALSE))</f>
        <v>9100</v>
      </c>
    </row>
    <row r="20" spans="2:12" ht="19.5" customHeight="1">
      <c r="B20" s="307" t="s">
        <v>251</v>
      </c>
      <c r="C20" s="296" t="s">
        <v>46</v>
      </c>
      <c r="D20" s="298">
        <f>VLOOKUP($C20,'Raw - No Qualifications'!$A:$Q,12,FALSE)</f>
        <v>7</v>
      </c>
      <c r="E20" s="298">
        <f>VLOOKUP($C20,'Raw - No Qualifications'!$A:$Q,16,FALSE)</f>
        <v>6.6</v>
      </c>
      <c r="F20" s="318">
        <f>VLOOKUP(C20,'Raw - No Qualifications'!A:Q,14,FALSE)</f>
        <v>2697900</v>
      </c>
      <c r="G20" s="299">
        <f t="shared" si="1"/>
        <v>-0.40000000000000036</v>
      </c>
      <c r="H20" s="300">
        <f>SUM(VLOOKUP(C20,'Raw - No Qualifications'!A:Q,14,FALSE)-VLOOKUP(C20,'Raw - No Qualifications'!A:Q,10,FALSE))</f>
        <v>-79500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I5</f>
        <v>Top Performing Scottish Local Authority</v>
      </c>
    </row>
    <row r="23" spans="2:12">
      <c r="B23" s="313" t="s">
        <v>467</v>
      </c>
    </row>
    <row r="24" spans="2:12">
      <c r="I24" s="314"/>
      <c r="J24" s="314"/>
      <c r="K24" s="314"/>
      <c r="L24" s="311"/>
    </row>
  </sheetData>
  <sheetProtection algorithmName="SHA-512" hashValue="CiLMxZVcrK51OB4P3UD1DGxe1jkrS1kLS/F+iygbnOmrN5V6h0tdAKdLonIZkJ/DBiWntPWRkegeL4Kxa29ysg==" saltValue="nGDsjCObD+m4tV9oW+Lyzg==" spinCount="100000" sheet="1" objects="1" scenarios="1"/>
  <autoFilter ref="B6:J6" xr:uid="{00000000-0001-0000-0A00-000000000000}"/>
  <mergeCells count="4">
    <mergeCell ref="I4:J4"/>
    <mergeCell ref="G5:H5"/>
    <mergeCell ref="I5:J5"/>
    <mergeCell ref="F2:G2"/>
  </mergeCells>
  <dataValidations count="1">
    <dataValidation type="list" allowBlank="1" showInputMessage="1" showErrorMessage="1" sqref="C17" xr:uid="{00000000-0002-0000-0A00-000000000000}">
      <formula1>IF(B17="LGBF Family Group 1",LGBF_5,IF(B17="LGBF Family Group 3",LGBF_7,IF(B17="LGBF Family Group 4",LGBF_8,LGBF_6)))</formula1>
    </dataValidation>
  </dataValidations>
  <hyperlinks>
    <hyperlink ref="F2:G2" location="'Index RAG'!A1" display="Return to Index RAG" xr:uid="{00000000-0004-0000-0A00-000001000000}"/>
    <hyperlink ref="C3" r:id="rId1" xr:uid="{740F1130-9673-4670-BD71-18F12F1F1C3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Lookups!$L$8:$O$8</xm:f>
          </x14:formula1>
          <xm:sqref>B17</xm:sqref>
        </x14:dataValidation>
        <x14:dataValidation type="list" allowBlank="1" showInputMessage="1" showErrorMessage="1" xr:uid="{00000000-0002-0000-0A00-000002000000}">
          <x14:formula1>
            <xm:f>Lookups!$B$3:$B$7</xm:f>
          </x14:formula1>
          <xm:sqref>I5:J5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329" t="s">
        <v>714</v>
      </c>
      <c r="F2" s="595" t="s">
        <v>507</v>
      </c>
      <c r="G2" s="596"/>
    </row>
    <row r="3" spans="2:12" ht="13">
      <c r="B3" s="286" t="s">
        <v>49</v>
      </c>
      <c r="C3" s="381" t="s">
        <v>314</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331">
        <v>44228</v>
      </c>
      <c r="E6" s="331">
        <v>44593</v>
      </c>
      <c r="F6" s="331">
        <v>44958</v>
      </c>
      <c r="G6" s="331">
        <v>45323</v>
      </c>
      <c r="H6" s="294" t="s">
        <v>775</v>
      </c>
      <c r="I6" s="295" t="s">
        <v>53</v>
      </c>
      <c r="J6" s="295" t="s">
        <v>54</v>
      </c>
      <c r="K6" s="295" t="s">
        <v>56</v>
      </c>
      <c r="L6" s="295" t="s">
        <v>57</v>
      </c>
    </row>
    <row r="7" spans="2:12" ht="19.5" customHeight="1">
      <c r="B7" s="296" t="s">
        <v>249</v>
      </c>
      <c r="C7" s="296" t="s">
        <v>22</v>
      </c>
      <c r="D7" s="297">
        <f>VLOOKUP($C7,'Raw - Incapacity'!$A:$Q,4,FALSE)</f>
        <v>41.659539396955232</v>
      </c>
      <c r="E7" s="297">
        <f>VLOOKUP($C7,'Raw - Incapacity'!$A:$Q,8,FALSE)</f>
        <v>40.199099312633329</v>
      </c>
      <c r="F7" s="297">
        <f>VLOOKUP($C7,'Raw - Incapacity'!$A:$Q,12,FALSE)</f>
        <v>38.92315253753587</v>
      </c>
      <c r="G7" s="297">
        <f>VLOOKUP($C7,'Raw - Incapacity'!$A:$Q,16,FALSE)</f>
        <v>37.337688075721779</v>
      </c>
      <c r="H7" s="318">
        <f>VLOOKUP(C7,'Raw - Incapacity'!A:Q,14,FALSE)</f>
        <v>2355</v>
      </c>
      <c r="I7" s="299">
        <f>SUM(G7-D7)</f>
        <v>-4.3218513212334528</v>
      </c>
      <c r="J7" s="300">
        <f>SUM(VLOOKUP(C7,'Raw - Incapacity'!A:Q,14,FALSE)-VLOOKUP(C7,'Raw - Incapacity'!A:Q,2,FALSE))</f>
        <v>-324</v>
      </c>
      <c r="K7" s="301">
        <f t="shared" ref="K7:K14" si="0">IF(IF($K$5="LGBF Family Group",SUM(G$17-G7),IF($K$5="Glasgow City Region",SUM(G$18-G7),IF($K$5="Scotland",SUM(G$19-G7),IF($K$5="United Kingdom",SUM(G$20-G7),SUM(G$16-G7)))))&gt;0,"",IF($K$5="LGBF Family Group",SUM(G$17-G7),IF($K$5="Glasgow City Region",SUM(G$18-G7),IF($K$5="Scotland",SUM(G$19-G7),IF($K$5="United Kingdom",SUM(G$20-G7),SUM(G$16-G7))))))</f>
        <v>-6.0198059050034338</v>
      </c>
      <c r="L7" s="302">
        <f>IF(K7="","",IF($K$5="LGBF Family Group",SUM(MROUND(SUM(SUM(VLOOKUP(C$17,'Raw - Incapacity'!A:Q,16,FALSE)*VLOOKUP(C7,'Raw - Incapacity'!A:Q,15,FALSE))),100)-MROUND(SUM(SUM(VLOOKUP(C7,'Raw - Incapacity'!A:Q,16,FALSE)*VLOOKUP(C7,'Raw - Incapacity'!A:Q,15,FALSE))),100)),IF($K$5="Glasgow City Region",SUM(MROUND(SUM(SUM(VLOOKUP(C$18,'Raw - Incapacity'!A:Q,16,FALSE)*VLOOKUP(C7,'Raw - Incapacity'!A:Q,15,FALSE))),100)-MROUND(SUM(SUM(VLOOKUP(C7,'Raw - Incapacity'!A:Q,16,FALSE)*VLOOKUP(C7,'Raw - Incapacity'!A:Q,15,FALSE))),100)),IF($K$5="Scotland",SUM(MROUND(SUM(SUM(VLOOKUP(C$19,'Raw - Incapacity'!A:Q,16,FALSE)*VLOOKUP(C7,'Raw - Incapacity'!A:Q,15,FALSE))),100)-MROUND(SUM(SUM(VLOOKUP(C7,'Raw - Incapacity'!A:Q,16,FALSE)*VLOOKUP(C7,'Raw - Incapacity'!A:Q,15,FALSE))),100)),IF($K$5="United Kingdom",SUM(MROUND(SUM(SUM(VLOOKUP(C$20,'Raw - Incapacity'!A:Q,16,FALSE)*VLOOKUP(C7,'Raw - Incapacity'!A:Q,15,FALSE))),100)-MROUND(SUM(SUM(VLOOKUP(C7,'Raw - Incapacity'!A:Q,16,FALSE)*VLOOKUP(C7,'Raw - Incapacity'!A:Q,15,FALSE))),100)),SUM(MROUND(SUM(SUM(VLOOKUP(C$16,'Raw - Incapacity'!A:Q,16,FALSE)*VLOOKUP(C7,'Raw - Incapacity'!A:Q,15,FALSE))),100)-MROUND(SUM(SUM(VLOOKUP(C7,'Raw - Incapacity'!A:Q,16,FALSE)*VLOOKUP(C7,'Raw - Incapacity'!A:Q,15,FALSE))),100)))))))</f>
        <v>-400</v>
      </c>
    </row>
    <row r="8" spans="2:12" ht="19.5" customHeight="1">
      <c r="B8" s="296" t="s">
        <v>249</v>
      </c>
      <c r="C8" s="296" t="s">
        <v>24</v>
      </c>
      <c r="D8" s="297">
        <f>VLOOKUP($C8,'Raw - Incapacity'!$A:$Q,4,FALSE)</f>
        <v>42.782248873459224</v>
      </c>
      <c r="E8" s="297">
        <f>VLOOKUP($C8,'Raw - Incapacity'!$A:$Q,8,FALSE)</f>
        <v>40.28197381671702</v>
      </c>
      <c r="F8" s="297">
        <f>VLOOKUP($C8,'Raw - Incapacity'!$A:$Q,12,FALSE)</f>
        <v>38.184991273996509</v>
      </c>
      <c r="G8" s="297">
        <f>VLOOKUP($C8,'Raw - Incapacity'!$A:$Q,16,FALSE)</f>
        <v>36.701570680628272</v>
      </c>
      <c r="H8" s="318">
        <f>VLOOKUP(C8,'Raw - Incapacity'!A:Q,14,FALSE)</f>
        <v>2103</v>
      </c>
      <c r="I8" s="299">
        <f t="shared" ref="I8:I19" si="1">SUM(G8-D8)</f>
        <v>-6.0806781928309519</v>
      </c>
      <c r="J8" s="300">
        <f>SUM(VLOOKUP(C8,'Raw - Incapacity'!A:Q,14,FALSE)-VLOOKUP(C8,'Raw - Incapacity'!A:Q,2,FALSE))</f>
        <v>-337</v>
      </c>
      <c r="K8" s="301">
        <f t="shared" si="0"/>
        <v>-5.383688509909927</v>
      </c>
      <c r="L8" s="302">
        <f>IF(K8="","",IF($K$5="LGBF Family Group",SUM(MROUND(SUM(SUM(VLOOKUP(C$17,'Raw - Incapacity'!A:Q,16,FALSE)*VLOOKUP(C8,'Raw - Incapacity'!A:Q,15,FALSE))),100)-MROUND(SUM(SUM(VLOOKUP(C8,'Raw - Incapacity'!A:Q,16,FALSE)*VLOOKUP(C8,'Raw - Incapacity'!A:Q,15,FALSE))),100)),IF($K$5="Glasgow City Region",SUM(MROUND(SUM(SUM(VLOOKUP(C$18,'Raw - Incapacity'!A:Q,16,FALSE)*VLOOKUP(C8,'Raw - Incapacity'!A:Q,15,FALSE))),100)-MROUND(SUM(SUM(VLOOKUP(C8,'Raw - Incapacity'!A:Q,16,FALSE)*VLOOKUP(C8,'Raw - Incapacity'!A:Q,15,FALSE))),100)),IF($K$5="Scotland",SUM(MROUND(SUM(SUM(VLOOKUP(C$19,'Raw - Incapacity'!A:Q,16,FALSE)*VLOOKUP(C8,'Raw - Incapacity'!A:Q,15,FALSE))),100)-MROUND(SUM(SUM(VLOOKUP(C8,'Raw - Incapacity'!A:Q,16,FALSE)*VLOOKUP(C8,'Raw - Incapacity'!A:Q,15,FALSE))),100)),IF($K$5="United Kingdom",SUM(MROUND(SUM(SUM(VLOOKUP(C$20,'Raw - Incapacity'!A:Q,16,FALSE)*VLOOKUP(C8,'Raw - Incapacity'!A:Q,15,FALSE))),100)-MROUND(SUM(SUM(VLOOKUP(C8,'Raw - Incapacity'!A:Q,16,FALSE)*VLOOKUP(C8,'Raw - Incapacity'!A:Q,15,FALSE))),100)),SUM(MROUND(SUM(SUM(VLOOKUP(C$16,'Raw - Incapacity'!A:Q,16,FALSE)*VLOOKUP(C8,'Raw - Incapacity'!A:Q,15,FALSE))),100)-MROUND(SUM(SUM(VLOOKUP(C8,'Raw - Incapacity'!A:Q,16,FALSE)*VLOOKUP(C8,'Raw - Incapacity'!A:Q,15,FALSE))),100)))))))</f>
        <v>-300</v>
      </c>
    </row>
    <row r="9" spans="2:12" ht="19.5" customHeight="1">
      <c r="B9" s="296" t="s">
        <v>249</v>
      </c>
      <c r="C9" s="296" t="s">
        <v>27</v>
      </c>
      <c r="D9" s="297">
        <f>VLOOKUP($C9,'Raw - Incapacity'!$A:$Q,4,FALSE)</f>
        <v>89.190785587714117</v>
      </c>
      <c r="E9" s="297">
        <f>VLOOKUP($C9,'Raw - Incapacity'!$A:$Q,8,FALSE)</f>
        <v>84.49350803127804</v>
      </c>
      <c r="F9" s="297">
        <f>VLOOKUP($C9,'Raw - Incapacity'!$A:$Q,12,FALSE)</f>
        <v>77.430268114137519</v>
      </c>
      <c r="G9" s="297">
        <f>VLOOKUP($C9,'Raw - Incapacity'!$A:$Q,16,FALSE)</f>
        <v>71.805950962774517</v>
      </c>
      <c r="H9" s="318">
        <f>VLOOKUP(C9,'Raw - Incapacity'!A:Q,14,FALSE)</f>
        <v>32007</v>
      </c>
      <c r="I9" s="299">
        <f t="shared" si="1"/>
        <v>-17.3848346249396</v>
      </c>
      <c r="J9" s="300">
        <f>SUM(VLOOKUP(C9,'Raw - Incapacity'!A:Q,14,FALSE)-VLOOKUP(C9,'Raw - Incapacity'!A:Q,2,FALSE))</f>
        <v>-8008</v>
      </c>
      <c r="K9" s="301">
        <f t="shared" si="0"/>
        <v>-40.488068792056168</v>
      </c>
      <c r="L9" s="302">
        <f>IF(K9="","",IF($K$5="LGBF Family Group",SUM(MROUND(SUM(SUM(VLOOKUP(C$17,'Raw - Incapacity'!A:Q,16,FALSE)*VLOOKUP(C9,'Raw - Incapacity'!A:Q,15,FALSE))),100)-MROUND(SUM(SUM(VLOOKUP(C9,'Raw - Incapacity'!A:Q,16,FALSE)*VLOOKUP(C9,'Raw - Incapacity'!A:Q,15,FALSE))),100)),IF($K$5="Glasgow City Region",SUM(MROUND(SUM(SUM(VLOOKUP(C$18,'Raw - Incapacity'!A:Q,16,FALSE)*VLOOKUP(C9,'Raw - Incapacity'!A:Q,15,FALSE))),100)-MROUND(SUM(SUM(VLOOKUP(C9,'Raw - Incapacity'!A:Q,16,FALSE)*VLOOKUP(C9,'Raw - Incapacity'!A:Q,15,FALSE))),100)),IF($K$5="Scotland",SUM(MROUND(SUM(SUM(VLOOKUP(C$19,'Raw - Incapacity'!A:Q,16,FALSE)*VLOOKUP(C9,'Raw - Incapacity'!A:Q,15,FALSE))),100)-MROUND(SUM(SUM(VLOOKUP(C9,'Raw - Incapacity'!A:Q,16,FALSE)*VLOOKUP(C9,'Raw - Incapacity'!A:Q,15,FALSE))),100)),IF($K$5="United Kingdom",SUM(MROUND(SUM(SUM(VLOOKUP(C$20,'Raw - Incapacity'!A:Q,16,FALSE)*VLOOKUP(C9,'Raw - Incapacity'!A:Q,15,FALSE))),100)-MROUND(SUM(SUM(VLOOKUP(C9,'Raw - Incapacity'!A:Q,16,FALSE)*VLOOKUP(C9,'Raw - Incapacity'!A:Q,15,FALSE))),100)),SUM(MROUND(SUM(SUM(VLOOKUP(C$16,'Raw - Incapacity'!A:Q,16,FALSE)*VLOOKUP(C9,'Raw - Incapacity'!A:Q,15,FALSE))),100)-MROUND(SUM(SUM(VLOOKUP(C9,'Raw - Incapacity'!A:Q,16,FALSE)*VLOOKUP(C9,'Raw - Incapacity'!A:Q,15,FALSE))),100)))))))</f>
        <v>-18000</v>
      </c>
    </row>
    <row r="10" spans="2:12" ht="19.5" customHeight="1">
      <c r="B10" s="296" t="s">
        <v>249</v>
      </c>
      <c r="C10" s="296" t="s">
        <v>29</v>
      </c>
      <c r="D10" s="297">
        <f>VLOOKUP($C10,'Raw - Incapacity'!$A:$Q,4,FALSE)</f>
        <v>83.25310786488636</v>
      </c>
      <c r="E10" s="297">
        <f>VLOOKUP($C10,'Raw - Incapacity'!$A:$Q,8,FALSE)</f>
        <v>76.951497362425329</v>
      </c>
      <c r="F10" s="297">
        <f>VLOOKUP($C10,'Raw - Incapacity'!$A:$Q,12,FALSE)</f>
        <v>72.806908805421259</v>
      </c>
      <c r="G10" s="297">
        <f>VLOOKUP($C10,'Raw - Incapacity'!$A:$Q,16,FALSE)</f>
        <v>70.245031197057969</v>
      </c>
      <c r="H10" s="318">
        <f>VLOOKUP(C10,'Raw - Incapacity'!A:Q,14,FALSE)</f>
        <v>3400</v>
      </c>
      <c r="I10" s="299">
        <f t="shared" si="1"/>
        <v>-13.008076667828391</v>
      </c>
      <c r="J10" s="300">
        <f>SUM(VLOOKUP(C10,'Raw - Incapacity'!A:Q,14,FALSE)-VLOOKUP(C10,'Raw - Incapacity'!A:Q,2,FALSE))</f>
        <v>-578</v>
      </c>
      <c r="K10" s="301">
        <f t="shared" si="0"/>
        <v>-38.92714902633962</v>
      </c>
      <c r="L10" s="302">
        <f>IF(K10="","",IF($K$5="LGBF Family Group",SUM(MROUND(SUM(SUM(VLOOKUP(C$17,'Raw - Incapacity'!A:Q,16,FALSE)*VLOOKUP(C10,'Raw - Incapacity'!A:Q,15,FALSE))),100)-MROUND(SUM(SUM(VLOOKUP(C10,'Raw - Incapacity'!A:Q,16,FALSE)*VLOOKUP(C10,'Raw - Incapacity'!A:Q,15,FALSE))),100)),IF($K$5="Glasgow City Region",SUM(MROUND(SUM(SUM(VLOOKUP(C$18,'Raw - Incapacity'!A:Q,16,FALSE)*VLOOKUP(C10,'Raw - Incapacity'!A:Q,15,FALSE))),100)-MROUND(SUM(SUM(VLOOKUP(C10,'Raw - Incapacity'!A:Q,16,FALSE)*VLOOKUP(C10,'Raw - Incapacity'!A:Q,15,FALSE))),100)),IF($K$5="Scotland",SUM(MROUND(SUM(SUM(VLOOKUP(C$19,'Raw - Incapacity'!A:Q,16,FALSE)*VLOOKUP(C10,'Raw - Incapacity'!A:Q,15,FALSE))),100)-MROUND(SUM(SUM(VLOOKUP(C10,'Raw - Incapacity'!A:Q,16,FALSE)*VLOOKUP(C10,'Raw - Incapacity'!A:Q,15,FALSE))),100)),IF($K$5="United Kingdom",SUM(MROUND(SUM(SUM(VLOOKUP(C$20,'Raw - Incapacity'!A:Q,16,FALSE)*VLOOKUP(C10,'Raw - Incapacity'!A:Q,15,FALSE))),100)-MROUND(SUM(SUM(VLOOKUP(C10,'Raw - Incapacity'!A:Q,16,FALSE)*VLOOKUP(C10,'Raw - Incapacity'!A:Q,15,FALSE))),100)),SUM(MROUND(SUM(SUM(VLOOKUP(C$16,'Raw - Incapacity'!A:Q,16,FALSE)*VLOOKUP(C10,'Raw - Incapacity'!A:Q,15,FALSE))),100)-MROUND(SUM(SUM(VLOOKUP(C10,'Raw - Incapacity'!A:Q,16,FALSE)*VLOOKUP(C10,'Raw - Incapacity'!A:Q,15,FALSE))),100)))))))</f>
        <v>-1900</v>
      </c>
    </row>
    <row r="11" spans="2:12" ht="19.5" customHeight="1">
      <c r="B11" s="296" t="s">
        <v>249</v>
      </c>
      <c r="C11" s="296" t="s">
        <v>34</v>
      </c>
      <c r="D11" s="297">
        <f>VLOOKUP($C11,'Raw - Incapacity'!$A:$Q,4,FALSE)</f>
        <v>75.701028387885643</v>
      </c>
      <c r="E11" s="297">
        <f>VLOOKUP($C11,'Raw - Incapacity'!$A:$Q,8,FALSE)</f>
        <v>70.675499585387414</v>
      </c>
      <c r="F11" s="297">
        <f>VLOOKUP($C11,'Raw - Incapacity'!$A:$Q,12,FALSE)</f>
        <v>67.473733130427647</v>
      </c>
      <c r="G11" s="297">
        <f>VLOOKUP($C11,'Raw - Incapacity'!$A:$Q,16,FALSE)</f>
        <v>63.801383282151285</v>
      </c>
      <c r="H11" s="318">
        <f>VLOOKUP(C11,'Raw - Incapacity'!A:Q,14,FALSE)</f>
        <v>14003</v>
      </c>
      <c r="I11" s="299">
        <f t="shared" si="1"/>
        <v>-11.899645105734358</v>
      </c>
      <c r="J11" s="300">
        <f>SUM(VLOOKUP(C11,'Raw - Incapacity'!A:Q,14,FALSE)-VLOOKUP(C11,'Raw - Incapacity'!A:Q,2,FALSE))</f>
        <v>-2589</v>
      </c>
      <c r="K11" s="301">
        <f t="shared" si="0"/>
        <v>-32.483501111432943</v>
      </c>
      <c r="L11" s="302">
        <f>IF(K11="","",IF($K$5="LGBF Family Group",SUM(MROUND(SUM(SUM(VLOOKUP(C$17,'Raw - Incapacity'!A:Q,16,FALSE)*VLOOKUP(C11,'Raw - Incapacity'!A:Q,15,FALSE))),100)-MROUND(SUM(SUM(VLOOKUP(C11,'Raw - Incapacity'!A:Q,16,FALSE)*VLOOKUP(C11,'Raw - Incapacity'!A:Q,15,FALSE))),100)),IF($K$5="Glasgow City Region",SUM(MROUND(SUM(SUM(VLOOKUP(C$18,'Raw - Incapacity'!A:Q,16,FALSE)*VLOOKUP(C11,'Raw - Incapacity'!A:Q,15,FALSE))),100)-MROUND(SUM(SUM(VLOOKUP(C11,'Raw - Incapacity'!A:Q,16,FALSE)*VLOOKUP(C11,'Raw - Incapacity'!A:Q,15,FALSE))),100)),IF($K$5="Scotland",SUM(MROUND(SUM(SUM(VLOOKUP(C$19,'Raw - Incapacity'!A:Q,16,FALSE)*VLOOKUP(C11,'Raw - Incapacity'!A:Q,15,FALSE))),100)-MROUND(SUM(SUM(VLOOKUP(C11,'Raw - Incapacity'!A:Q,16,FALSE)*VLOOKUP(C11,'Raw - Incapacity'!A:Q,15,FALSE))),100)),IF($K$5="United Kingdom",SUM(MROUND(SUM(SUM(VLOOKUP(C$20,'Raw - Incapacity'!A:Q,16,FALSE)*VLOOKUP(C11,'Raw - Incapacity'!A:Q,15,FALSE))),100)-MROUND(SUM(SUM(VLOOKUP(C11,'Raw - Incapacity'!A:Q,16,FALSE)*VLOOKUP(C11,'Raw - Incapacity'!A:Q,15,FALSE))),100)),SUM(MROUND(SUM(SUM(VLOOKUP(C$16,'Raw - Incapacity'!A:Q,16,FALSE)*VLOOKUP(C11,'Raw - Incapacity'!A:Q,15,FALSE))),100)-MROUND(SUM(SUM(VLOOKUP(C11,'Raw - Incapacity'!A:Q,16,FALSE)*VLOOKUP(C11,'Raw - Incapacity'!A:Q,15,FALSE))),100)))))))</f>
        <v>-7100</v>
      </c>
    </row>
    <row r="12" spans="2:12" ht="19.5" customHeight="1">
      <c r="B12" s="296" t="s">
        <v>249</v>
      </c>
      <c r="C12" s="296" t="s">
        <v>37</v>
      </c>
      <c r="D12" s="297">
        <f>VLOOKUP($C12,'Raw - Incapacity'!$A:$Q,4,FALSE)</f>
        <v>71.029929653632834</v>
      </c>
      <c r="E12" s="297">
        <f>VLOOKUP($C12,'Raw - Incapacity'!$A:$Q,8,FALSE)</f>
        <v>65.680058757481873</v>
      </c>
      <c r="F12" s="297">
        <f>VLOOKUP($C12,'Raw - Incapacity'!$A:$Q,12,FALSE)</f>
        <v>61.540911338512728</v>
      </c>
      <c r="G12" s="297">
        <f>VLOOKUP($C12,'Raw - Incapacity'!$A:$Q,16,FALSE)</f>
        <v>57.987411895842236</v>
      </c>
      <c r="H12" s="318">
        <f>VLOOKUP(C12,'Raw - Incapacity'!A:Q,14,FALSE)</f>
        <v>6919</v>
      </c>
      <c r="I12" s="299">
        <f t="shared" si="1"/>
        <v>-13.042517757790598</v>
      </c>
      <c r="J12" s="300">
        <f>SUM(VLOOKUP(C12,'Raw - Incapacity'!A:Q,14,FALSE)-VLOOKUP(C12,'Raw - Incapacity'!A:Q,2,FALSE))</f>
        <v>-1290</v>
      </c>
      <c r="K12" s="301">
        <f t="shared" si="0"/>
        <v>-26.669529725123891</v>
      </c>
      <c r="L12" s="302">
        <f>IF(K12="","",IF($K$5="LGBF Family Group",SUM(MROUND(SUM(SUM(VLOOKUP(C$17,'Raw - Incapacity'!A:Q,16,FALSE)*VLOOKUP(C12,'Raw - Incapacity'!A:Q,15,FALSE))),100)-MROUND(SUM(SUM(VLOOKUP(C12,'Raw - Incapacity'!A:Q,16,FALSE)*VLOOKUP(C12,'Raw - Incapacity'!A:Q,15,FALSE))),100)),IF($K$5="Glasgow City Region",SUM(MROUND(SUM(SUM(VLOOKUP(C$18,'Raw - Incapacity'!A:Q,16,FALSE)*VLOOKUP(C12,'Raw - Incapacity'!A:Q,15,FALSE))),100)-MROUND(SUM(SUM(VLOOKUP(C12,'Raw - Incapacity'!A:Q,16,FALSE)*VLOOKUP(C12,'Raw - Incapacity'!A:Q,15,FALSE))),100)),IF($K$5="Scotland",SUM(MROUND(SUM(SUM(VLOOKUP(C$19,'Raw - Incapacity'!A:Q,16,FALSE)*VLOOKUP(C12,'Raw - Incapacity'!A:Q,15,FALSE))),100)-MROUND(SUM(SUM(VLOOKUP(C12,'Raw - Incapacity'!A:Q,16,FALSE)*VLOOKUP(C12,'Raw - Incapacity'!A:Q,15,FALSE))),100)),IF($K$5="United Kingdom",SUM(MROUND(SUM(SUM(VLOOKUP(C$20,'Raw - Incapacity'!A:Q,16,FALSE)*VLOOKUP(C12,'Raw - Incapacity'!A:Q,15,FALSE))),100)-MROUND(SUM(SUM(VLOOKUP(C12,'Raw - Incapacity'!A:Q,16,FALSE)*VLOOKUP(C12,'Raw - Incapacity'!A:Q,15,FALSE))),100)),SUM(MROUND(SUM(SUM(VLOOKUP(C$16,'Raw - Incapacity'!A:Q,16,FALSE)*VLOOKUP(C12,'Raw - Incapacity'!A:Q,15,FALSE))),100)-MROUND(SUM(SUM(VLOOKUP(C12,'Raw - Incapacity'!A:Q,16,FALSE)*VLOOKUP(C12,'Raw - Incapacity'!A:Q,15,FALSE))),100)))))))</f>
        <v>-3200</v>
      </c>
    </row>
    <row r="13" spans="2:12" ht="19.5" customHeight="1">
      <c r="B13" s="296" t="s">
        <v>249</v>
      </c>
      <c r="C13" s="296" t="s">
        <v>41</v>
      </c>
      <c r="D13" s="297">
        <f>VLOOKUP($C13,'Raw - Incapacity'!$A:$Q,4,FALSE)</f>
        <v>63.597292891369854</v>
      </c>
      <c r="E13" s="297">
        <f>VLOOKUP($C13,'Raw - Incapacity'!$A:$Q,8,FALSE)</f>
        <v>59.073434230376172</v>
      </c>
      <c r="F13" s="297">
        <f>VLOOKUP($C13,'Raw - Incapacity'!$A:$Q,12,FALSE)</f>
        <v>55.947883367238205</v>
      </c>
      <c r="G13" s="297">
        <f>VLOOKUP($C13,'Raw - Incapacity'!$A:$Q,16,FALSE)</f>
        <v>53.288772643611352</v>
      </c>
      <c r="H13" s="318">
        <f>VLOOKUP(C13,'Raw - Incapacity'!A:Q,14,FALSE)</f>
        <v>11002</v>
      </c>
      <c r="I13" s="299">
        <f t="shared" si="1"/>
        <v>-10.308520247758501</v>
      </c>
      <c r="J13" s="300">
        <f>SUM(VLOOKUP(C13,'Raw - Incapacity'!A:Q,14,FALSE)-VLOOKUP(C13,'Raw - Incapacity'!A:Q,2,FALSE))</f>
        <v>-1872</v>
      </c>
      <c r="K13" s="301">
        <f t="shared" si="0"/>
        <v>-21.970890472893007</v>
      </c>
      <c r="L13" s="302">
        <f>IF(K13="","",IF($K$5="LGBF Family Group",SUM(MROUND(SUM(SUM(VLOOKUP(C$17,'Raw - Incapacity'!A:Q,16,FALSE)*VLOOKUP(C13,'Raw - Incapacity'!A:Q,15,FALSE))),100)-MROUND(SUM(SUM(VLOOKUP(C13,'Raw - Incapacity'!A:Q,16,FALSE)*VLOOKUP(C13,'Raw - Incapacity'!A:Q,15,FALSE))),100)),IF($K$5="Glasgow City Region",SUM(MROUND(SUM(SUM(VLOOKUP(C$18,'Raw - Incapacity'!A:Q,16,FALSE)*VLOOKUP(C13,'Raw - Incapacity'!A:Q,15,FALSE))),100)-MROUND(SUM(SUM(VLOOKUP(C13,'Raw - Incapacity'!A:Q,16,FALSE)*VLOOKUP(C13,'Raw - Incapacity'!A:Q,15,FALSE))),100)),IF($K$5="Scotland",SUM(MROUND(SUM(SUM(VLOOKUP(C$19,'Raw - Incapacity'!A:Q,16,FALSE)*VLOOKUP(C13,'Raw - Incapacity'!A:Q,15,FALSE))),100)-MROUND(SUM(SUM(VLOOKUP(C13,'Raw - Incapacity'!A:Q,16,FALSE)*VLOOKUP(C13,'Raw - Incapacity'!A:Q,15,FALSE))),100)),IF($K$5="United Kingdom",SUM(MROUND(SUM(SUM(VLOOKUP(C$20,'Raw - Incapacity'!A:Q,16,FALSE)*VLOOKUP(C13,'Raw - Incapacity'!A:Q,15,FALSE))),100)-MROUND(SUM(SUM(VLOOKUP(C13,'Raw - Incapacity'!A:Q,16,FALSE)*VLOOKUP(C13,'Raw - Incapacity'!A:Q,15,FALSE))),100)),SUM(MROUND(SUM(SUM(VLOOKUP(C$16,'Raw - Incapacity'!A:Q,16,FALSE)*VLOOKUP(C13,'Raw - Incapacity'!A:Q,15,FALSE))),100)-MROUND(SUM(SUM(VLOOKUP(C13,'Raw - Incapacity'!A:Q,16,FALSE)*VLOOKUP(C13,'Raw - Incapacity'!A:Q,15,FALSE))),100)))))))</f>
        <v>-4500</v>
      </c>
    </row>
    <row r="14" spans="2:12" ht="19.5" customHeight="1">
      <c r="B14" s="296" t="s">
        <v>249</v>
      </c>
      <c r="C14" s="296" t="s">
        <v>43</v>
      </c>
      <c r="D14" s="297">
        <f>VLOOKUP($C14,'Raw - Incapacity'!$A:$Q,4,FALSE)</f>
        <v>91.601400368138016</v>
      </c>
      <c r="E14" s="297">
        <f>VLOOKUP($C14,'Raw - Incapacity'!$A:$Q,8,FALSE)</f>
        <v>85.93355912661238</v>
      </c>
      <c r="F14" s="297">
        <f>VLOOKUP($C14,'Raw - Incapacity'!$A:$Q,12,FALSE)</f>
        <v>80.825884426539091</v>
      </c>
      <c r="G14" s="297">
        <f>VLOOKUP($C14,'Raw - Incapacity'!$A:$Q,16,FALSE)</f>
        <v>74.656930630744057</v>
      </c>
      <c r="H14" s="318">
        <f>VLOOKUP(C14,'Raw - Incapacity'!A:Q,14,FALSE)</f>
        <v>4151</v>
      </c>
      <c r="I14" s="299">
        <f t="shared" si="1"/>
        <v>-16.944469737393959</v>
      </c>
      <c r="J14" s="300">
        <f>SUM(VLOOKUP(C14,'Raw - Incapacity'!A:Q,14,FALSE)-VLOOKUP(C14,'Raw - Incapacity'!A:Q,2,FALSE))</f>
        <v>-925</v>
      </c>
      <c r="K14" s="301">
        <f t="shared" si="0"/>
        <v>-43.339048460025708</v>
      </c>
      <c r="L14" s="302">
        <f>IF(K14="","",IF($K$5="LGBF Family Group",SUM(MROUND(SUM(SUM(VLOOKUP(C$17,'Raw - Incapacity'!A:Q,16,FALSE)*VLOOKUP(C14,'Raw - Incapacity'!A:Q,15,FALSE))),100)-MROUND(SUM(SUM(VLOOKUP(C14,'Raw - Incapacity'!A:Q,16,FALSE)*VLOOKUP(C14,'Raw - Incapacity'!A:Q,15,FALSE))),100)),IF($K$5="Glasgow City Region",SUM(MROUND(SUM(SUM(VLOOKUP(C$18,'Raw - Incapacity'!A:Q,16,FALSE)*VLOOKUP(C14,'Raw - Incapacity'!A:Q,15,FALSE))),100)-MROUND(SUM(SUM(VLOOKUP(C14,'Raw - Incapacity'!A:Q,16,FALSE)*VLOOKUP(C14,'Raw - Incapacity'!A:Q,15,FALSE))),100)),IF($K$5="Scotland",SUM(MROUND(SUM(SUM(VLOOKUP(C$19,'Raw - Incapacity'!A:Q,16,FALSE)*VLOOKUP(C14,'Raw - Incapacity'!A:Q,15,FALSE))),100)-MROUND(SUM(SUM(VLOOKUP(C14,'Raw - Incapacity'!A:Q,16,FALSE)*VLOOKUP(C14,'Raw - Incapacity'!A:Q,15,FALSE))),100)),IF($K$5="United Kingdom",SUM(MROUND(SUM(SUM(VLOOKUP(C$20,'Raw - Incapacity'!A:Q,16,FALSE)*VLOOKUP(C14,'Raw - Incapacity'!A:Q,15,FALSE))),100)-MROUND(SUM(SUM(VLOOKUP(C14,'Raw - Incapacity'!A:Q,16,FALSE)*VLOOKUP(C14,'Raw - Incapacity'!A:Q,15,FALSE))),100)),SUM(MROUND(SUM(SUM(VLOOKUP(C$16,'Raw - Incapacity'!A:Q,16,FALSE)*VLOOKUP(C14,'Raw - Incapacity'!A:Q,15,FALSE))),100)-MROUND(SUM(SUM(VLOOKUP(C14,'Raw - Incapacity'!A:Q,16,FALSE)*VLOOKUP(C14,'Raw - Incapacity'!A:Q,15,FALSE))),100)))))))</f>
        <v>-2500</v>
      </c>
    </row>
    <row r="15" spans="2:12" ht="19.5" customHeight="1">
      <c r="B15" s="303"/>
      <c r="C15" s="303"/>
      <c r="D15" s="304"/>
      <c r="E15" s="304"/>
      <c r="F15" s="304"/>
      <c r="G15" s="304"/>
      <c r="H15" s="304"/>
      <c r="I15" s="306"/>
      <c r="J15" s="306"/>
      <c r="K15" s="306"/>
      <c r="L15" s="306"/>
    </row>
    <row r="16" spans="2:12" ht="19.5" customHeight="1">
      <c r="B16" s="307" t="s">
        <v>51</v>
      </c>
      <c r="C16" s="296" t="str">
        <f>INDEX('Raw - Incapacity'!$A$9:$A$40,MATCH(MIN('Raw - Incapacity'!P9:P40),'Raw - Incapacity'!P9:P40,0))</f>
        <v>Aberdeenshire</v>
      </c>
      <c r="D16" s="297">
        <f>VLOOKUP($C16,'Raw - Incapacity'!$A:$Q,4,FALSE)</f>
        <v>36.013582977662857</v>
      </c>
      <c r="E16" s="297">
        <f>VLOOKUP($C16,'Raw - Incapacity'!$A:$Q,8,FALSE)</f>
        <v>34.270357835781063</v>
      </c>
      <c r="F16" s="297">
        <f>VLOOKUP($C16,'Raw - Incapacity'!$A:$Q,12,FALSE)</f>
        <v>33.150110500368335</v>
      </c>
      <c r="G16" s="297">
        <f>VLOOKUP($C16,'Raw - Incapacity'!$A:$Q,16,FALSE)</f>
        <v>31.317882170718345</v>
      </c>
      <c r="H16" s="318">
        <f>VLOOKUP(C16,'Raw - Incapacity'!A:Q,14,FALSE)</f>
        <v>4974</v>
      </c>
      <c r="I16" s="299">
        <f t="shared" si="1"/>
        <v>-4.6957008069445116</v>
      </c>
      <c r="J16" s="300">
        <f>SUM(VLOOKUP(C16,'Raw - Incapacity'!A:Q,14,FALSE)-VLOOKUP(C16,'Raw - Incapacity'!A:Q,2,FALSE))</f>
        <v>-806</v>
      </c>
    </row>
    <row r="17" spans="2:12" ht="19.5" customHeight="1">
      <c r="B17" s="307" t="s">
        <v>542</v>
      </c>
      <c r="C17" s="308" t="s">
        <v>546</v>
      </c>
      <c r="D17" s="297">
        <f>VLOOKUP($C17,'Raw - Incapacity'!$A:$Q,4,FALSE)</f>
        <v>67.356396234848475</v>
      </c>
      <c r="E17" s="297">
        <f>VLOOKUP($C17,'Raw - Incapacity'!$A:$Q,8,FALSE)</f>
        <v>63.79386489830457</v>
      </c>
      <c r="F17" s="297">
        <f>VLOOKUP($C17,'Raw - Incapacity'!$A:$Q,12,FALSE)</f>
        <v>59.243445193141646</v>
      </c>
      <c r="G17" s="297">
        <f>VLOOKUP($C17,'Raw - Incapacity'!$A:$Q,16,FALSE)</f>
        <v>55.251851357662289</v>
      </c>
      <c r="H17" s="318">
        <f>VLOOKUP(C17,'Raw - Incapacity'!A:Q,14,FALSE)</f>
        <v>82817</v>
      </c>
      <c r="I17" s="299">
        <f>SUM(G17-D17)</f>
        <v>-12.104544877186186</v>
      </c>
      <c r="J17" s="300">
        <f>SUM(VLOOKUP(C17,'Raw - Incapacity'!A:Q,14,FALSE)-VLOOKUP(C17,'Raw - Incapacity'!A:Q,2,FALSE))</f>
        <v>-18752</v>
      </c>
    </row>
    <row r="18" spans="2:12" ht="19.5" customHeight="1">
      <c r="B18" s="307" t="s">
        <v>250</v>
      </c>
      <c r="C18" s="296" t="s">
        <v>47</v>
      </c>
      <c r="D18" s="297">
        <f>VLOOKUP($C18,'Raw - Incapacity'!$A:$Q,4,FALSE)</f>
        <v>79.650437386794906</v>
      </c>
      <c r="E18" s="297">
        <f>VLOOKUP($C18,'Raw - Incapacity'!$A:$Q,8,FALSE)</f>
        <v>79.874271255852776</v>
      </c>
      <c r="F18" s="297">
        <f>VLOOKUP($C18,'Raw - Incapacity'!$A:$Q,12,FALSE)</f>
        <v>79.323809490914243</v>
      </c>
      <c r="G18" s="297">
        <f>VLOOKUP($C18,'Raw - Incapacity'!$A:$Q,16,FALSE)</f>
        <v>79.323809490914243</v>
      </c>
      <c r="H18" s="318">
        <f>VLOOKUP(C18,'Raw - Incapacity'!A:Q,14,FALSE)</f>
        <v>91863</v>
      </c>
      <c r="I18" s="299">
        <f t="shared" si="1"/>
        <v>-0.32662789588066232</v>
      </c>
      <c r="J18" s="300">
        <f>SUM(VLOOKUP(C18,'Raw - Incapacity'!A:Q,14,FALSE)-VLOOKUP(C18,'Raw - Incapacity'!A:Q,2,FALSE))</f>
        <v>0</v>
      </c>
    </row>
    <row r="19" spans="2:12" ht="19.5" customHeight="1">
      <c r="B19" s="307" t="s">
        <v>251</v>
      </c>
      <c r="C19" s="296" t="s">
        <v>45</v>
      </c>
      <c r="D19" s="297">
        <f>VLOOKUP($C19,'Raw - Incapacity'!$A:$Q,4,FALSE)</f>
        <v>60.946047765685506</v>
      </c>
      <c r="E19" s="297">
        <f>VLOOKUP($C19,'Raw - Incapacity'!$A:$Q,8,FALSE)</f>
        <v>57.668358290348785</v>
      </c>
      <c r="F19" s="297">
        <f>VLOOKUP($C19,'Raw - Incapacity'!$A:$Q,12,FALSE)</f>
        <v>54.176952059243867</v>
      </c>
      <c r="G19" s="297">
        <f>VLOOKUP($C19,'Raw - Incapacity'!$A:$Q,16,FALSE)</f>
        <v>50.934394621051069</v>
      </c>
      <c r="H19" s="318">
        <f>VLOOKUP(C19,'Raw - Incapacity'!A:Q,14,FALSE)</f>
        <v>177203</v>
      </c>
      <c r="I19" s="299">
        <f t="shared" si="1"/>
        <v>-10.011653144634437</v>
      </c>
      <c r="J19" s="300">
        <f>SUM(VLOOKUP(C19,'Raw - Incapacity'!A:Q,14,FALSE)-VLOOKUP(C19,'Raw - Incapacity'!A:Q,2,FALSE))</f>
        <v>-35774</v>
      </c>
    </row>
    <row r="20" spans="2:12" ht="19.5" customHeight="1">
      <c r="B20" s="307" t="s">
        <v>251</v>
      </c>
      <c r="C20" s="296" t="s">
        <v>46</v>
      </c>
      <c r="D20" s="297" t="s">
        <v>69</v>
      </c>
      <c r="E20" s="297" t="s">
        <v>69</v>
      </c>
      <c r="F20" s="297" t="s">
        <v>69</v>
      </c>
      <c r="G20" s="297" t="s">
        <v>69</v>
      </c>
      <c r="H20" s="318" t="s">
        <v>69</v>
      </c>
      <c r="I20" s="299"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vo0Hx2EI7Tk80UNaqq/2Mj2B/XNNmrS6j+hKBN9/5mgYV4mAM6CW/k1yFeVgLQGmHjswk1ZBdzGto9/hpiw8TA==" saltValue="tZTPs1+wyBmZPDnPSiHPBA==" spinCount="100000" sheet="1" objects="1" scenarios="1"/>
  <autoFilter ref="C6:L14" xr:uid="{00000000-0009-0000-0000-00000B000000}"/>
  <mergeCells count="4">
    <mergeCell ref="K4:L4"/>
    <mergeCell ref="I5:J5"/>
    <mergeCell ref="K5:L5"/>
    <mergeCell ref="F2:G2"/>
  </mergeCells>
  <dataValidations disablePrompts="1" count="1">
    <dataValidation type="list" allowBlank="1" showInputMessage="1" showErrorMessage="1" sqref="C17" xr:uid="{00000000-0002-0000-0B00-000000000000}">
      <formula1>IF(B17="LGBF Family Group 1",LGBF_5,IF(B17="LGBF Family Group 3",LGBF_7,IF(B17="LGBF Family Group 4",LGBF_8,LGBF_6)))</formula1>
    </dataValidation>
  </dataValidations>
  <hyperlinks>
    <hyperlink ref="C3" r:id="rId1" xr:uid="{00000000-0004-0000-0B00-000000000000}"/>
    <hyperlink ref="F2:G2" location="'Index RAG'!A1" display="Return to Index RAG" xr:uid="{00000000-0004-0000-0B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B00-000001000000}">
          <x14:formula1>
            <xm:f>Lookups!$X$3:$X$6</xm:f>
          </x14:formula1>
          <xm:sqref>K5:L5</xm:sqref>
        </x14:dataValidation>
        <x14:dataValidation type="list" allowBlank="1" showInputMessage="1" showErrorMessage="1" xr:uid="{00000000-0002-0000-0B00-000002000000}">
          <x14:formula1>
            <xm:f>Lookups!$L$8:$O$8</xm:f>
          </x14:formula1>
          <xm:sqref>B17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B2:L24"/>
  <sheetViews>
    <sheetView zoomScale="90" zoomScaleNormal="90" workbookViewId="0">
      <selection activeCell="B6" sqref="B6:J6"/>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481</v>
      </c>
      <c r="F2" s="595" t="s">
        <v>507</v>
      </c>
      <c r="G2" s="596"/>
    </row>
    <row r="3" spans="2:12" ht="13">
      <c r="B3" s="286" t="s">
        <v>49</v>
      </c>
      <c r="C3" s="288" t="s">
        <v>756</v>
      </c>
    </row>
    <row r="4" spans="2:12" ht="13">
      <c r="B4" s="287"/>
      <c r="C4" s="289" t="s">
        <v>478</v>
      </c>
      <c r="D4" s="290"/>
      <c r="K4" s="591" t="s">
        <v>55</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8">
        <f>VLOOKUP($C7,'Raw - Ill Health'!$A:$Q,4,FALSE)</f>
        <v>25.1</v>
      </c>
      <c r="E7" s="298">
        <f>VLOOKUP($C7,'Raw - Ill Health'!$A:$Q,8,FALSE)</f>
        <v>28.7</v>
      </c>
      <c r="F7" s="298">
        <f>VLOOKUP($C7,'Raw - Ill Health'!$A:$Q,12,FALSE)</f>
        <v>27.6</v>
      </c>
      <c r="G7" s="298">
        <f>VLOOKUP($C7,'Raw - Ill Health'!$A:$Q,16,FALSE)</f>
        <v>26.3</v>
      </c>
      <c r="H7" s="318">
        <f>VLOOKUP(C7,'Raw - Ill Health'!A:Q,14,FALSE)</f>
        <v>4100</v>
      </c>
      <c r="I7" s="299">
        <f t="shared" ref="I7:I14" si="0">SUM(G7-D7)</f>
        <v>1.1999999999999993</v>
      </c>
      <c r="J7" s="300">
        <f>SUM(VLOOKUP(C7,'Raw - Ill Health'!A:Q,14,FALSE)-VLOOKUP(C7,'Raw - Ill Health'!A:Q,2,FALSE))</f>
        <v>500</v>
      </c>
      <c r="K7" s="301">
        <f t="shared" ref="K7:K14" si="1">IF(IF($K$5="lgbf family group",SUM(G$17-G7),IF($K$5="Glasgow City Region",SUM(G$18-G7),IF($K$5="Scotland",SUM(G$19-G7),IF($K$5="United Kingdom",SUM(G$20-G7),SUM(G$16-G7)))))&gt;0,"",IF($K$5="lgbf family group",SUM(G$17-G7),IF($K$5="Glasgow City Region",SUM(G$18-G7),IF($K$5="Scotland",SUM(G$19-G7),IF($K$5="United Kingdom",SUM(G$20-G7),SUM(G$16-G7))))))</f>
        <v>-7</v>
      </c>
      <c r="L7" s="302">
        <f>IF(K7="","",IF($K$5="lgbf family group",SUM(MROUND(SUM(SUM(VLOOKUP(C$17,'Raw - Ill Health'!A:Q,16,FALSE)*VLOOKUP(C7,'Raw - Ill Health'!A:Q,15,FALSE))/100),100)-MROUND(SUM(SUM(VLOOKUP(C7,'Raw - Ill Health'!A:Q,16,FALSE)*VLOOKUP(C7,'Raw - Ill Health'!A:Q,15,FALSE))/100),100)),IF($K$5="Glasgow City Region",SUM(MROUND(SUM(SUM(VLOOKUP(C$18,'Raw - Ill Health'!A:Q,16,FALSE)*VLOOKUP(C7,'Raw - Ill Health'!A:Q,15,FALSE))/100),100)-MROUND(SUM(SUM(VLOOKUP(C7,'Raw - Ill Health'!A:Q,16,FALSE)*VLOOKUP(C7,'Raw - Ill Health'!A:Q,15,FALSE))/100),100)),IF($K$5="Scotland",SUM(MROUND(SUM(SUM(VLOOKUP(C$19,'Raw - Ill Health'!A:Q,16,FALSE)*VLOOKUP(C7,'Raw - Ill Health'!A:Q,15,FALSE))/100),100)-MROUND(SUM(SUM(VLOOKUP(C7,'Raw - Ill Health'!A:Q,16,FALSE)*VLOOKUP(C7,'Raw - Ill Health'!A:Q,15,FALSE))/100),100)),IF($K$5="United Kingdom",SUM(MROUND(SUM(SUM(VLOOKUP(C$20,'Raw - Ill Health'!A:Q,16,FALSE)*VLOOKUP(C7,'Raw - Ill Health'!A:Q,15,FALSE))/100),100)-MROUND(SUM(SUM(VLOOKUP(C7,'Raw - Ill Health'!A:Q,16,FALSE)*VLOOKUP(C7,'Raw - Ill Health'!A:Q,15,FALSE))/100),100)),SUM(MROUND(SUM(SUM(VLOOKUP(C$16,'Raw - Ill Health'!A:Q,16,FALSE)*VLOOKUP(C7,'Raw - Ill Health'!A:Q,15,FALSE))/100),100)-MROUND(SUM(SUM(VLOOKUP(C7,'Raw - Ill Health'!A:Q,16,FALSE)*VLOOKUP(C7,'Raw - Ill Health'!A:Q,15,FALSE))/100),100)))))))</f>
        <v>-1100</v>
      </c>
    </row>
    <row r="8" spans="2:12" ht="19.5" customHeight="1">
      <c r="B8" s="296" t="s">
        <v>249</v>
      </c>
      <c r="C8" s="296" t="s">
        <v>24</v>
      </c>
      <c r="D8" s="298">
        <f>VLOOKUP($C8,'Raw - Ill Health'!$A:$Q,4,FALSE)</f>
        <v>19.5</v>
      </c>
      <c r="E8" s="298">
        <f>VLOOKUP($C8,'Raw - Ill Health'!$A:$Q,8,FALSE)</f>
        <v>18.600000000000001</v>
      </c>
      <c r="F8" s="298">
        <f>VLOOKUP($C8,'Raw - Ill Health'!$A:$Q,12,FALSE)</f>
        <v>19.100000000000001</v>
      </c>
      <c r="G8" s="298">
        <f>VLOOKUP($C8,'Raw - Ill Health'!$A:$Q,16,FALSE)</f>
        <v>26</v>
      </c>
      <c r="H8" s="318">
        <f>VLOOKUP(C8,'Raw - Ill Health'!A:Q,14,FALSE)</f>
        <v>2900</v>
      </c>
      <c r="I8" s="299">
        <f t="shared" si="0"/>
        <v>6.5</v>
      </c>
      <c r="J8" s="300">
        <f>SUM(VLOOKUP(C8,'Raw - Ill Health'!A:Q,14,FALSE)-VLOOKUP(C8,'Raw - Ill Health'!A:Q,2,FALSE))</f>
        <v>300</v>
      </c>
      <c r="K8" s="301">
        <f t="shared" si="1"/>
        <v>-6.6999999999999993</v>
      </c>
      <c r="L8" s="302">
        <f>IF(K8="","",IF($K$5="lgbf family group",SUM(MROUND(SUM(SUM(VLOOKUP(C$17,'Raw - Ill Health'!A:Q,16,FALSE)*VLOOKUP(C8,'Raw - Ill Health'!A:Q,15,FALSE))/100),100)-MROUND(SUM(SUM(VLOOKUP(C8,'Raw - Ill Health'!A:Q,16,FALSE)*VLOOKUP(C8,'Raw - Ill Health'!A:Q,15,FALSE))/100),100)),IF($K$5="Glasgow City Region",SUM(MROUND(SUM(SUM(VLOOKUP(C$18,'Raw - Ill Health'!A:Q,16,FALSE)*VLOOKUP(C8,'Raw - Ill Health'!A:Q,15,FALSE))/100),100)-MROUND(SUM(SUM(VLOOKUP(C8,'Raw - Ill Health'!A:Q,16,FALSE)*VLOOKUP(C8,'Raw - Ill Health'!A:Q,15,FALSE))/100),100)),IF($K$5="Scotland",SUM(MROUND(SUM(SUM(VLOOKUP(C$19,'Raw - Ill Health'!A:Q,16,FALSE)*VLOOKUP(C8,'Raw - Ill Health'!A:Q,15,FALSE))/100),100)-MROUND(SUM(SUM(VLOOKUP(C8,'Raw - Ill Health'!A:Q,16,FALSE)*VLOOKUP(C8,'Raw - Ill Health'!A:Q,15,FALSE))/100),100)),IF($K$5="United Kingdom",SUM(MROUND(SUM(SUM(VLOOKUP(C$20,'Raw - Ill Health'!A:Q,16,FALSE)*VLOOKUP(C8,'Raw - Ill Health'!A:Q,15,FALSE))/100),100)-MROUND(SUM(SUM(VLOOKUP(C8,'Raw - Ill Health'!A:Q,16,FALSE)*VLOOKUP(C8,'Raw - Ill Health'!A:Q,15,FALSE))/100),100)),SUM(MROUND(SUM(SUM(VLOOKUP(C$16,'Raw - Ill Health'!A:Q,16,FALSE)*VLOOKUP(C8,'Raw - Ill Health'!A:Q,15,FALSE))/100),100)-MROUND(SUM(SUM(VLOOKUP(C8,'Raw - Ill Health'!A:Q,16,FALSE)*VLOOKUP(C8,'Raw - Ill Health'!A:Q,15,FALSE))/100),100)))))))</f>
        <v>-700</v>
      </c>
    </row>
    <row r="9" spans="2:12" ht="19.5" customHeight="1">
      <c r="B9" s="296" t="s">
        <v>249</v>
      </c>
      <c r="C9" s="296" t="s">
        <v>27</v>
      </c>
      <c r="D9" s="298">
        <f>VLOOKUP($C9,'Raw - Ill Health'!$A:$Q,4,FALSE)</f>
        <v>32.9</v>
      </c>
      <c r="E9" s="298">
        <f>VLOOKUP($C9,'Raw - Ill Health'!$A:$Q,8,FALSE)</f>
        <v>30.2</v>
      </c>
      <c r="F9" s="298">
        <f>VLOOKUP($C9,'Raw - Ill Health'!$A:$Q,12,FALSE)</f>
        <v>29.8</v>
      </c>
      <c r="G9" s="298">
        <f>VLOOKUP($C9,'Raw - Ill Health'!$A:$Q,16,FALSE)</f>
        <v>24.1</v>
      </c>
      <c r="H9" s="318">
        <f>VLOOKUP(C9,'Raw - Ill Health'!A:Q,14,FALSE)</f>
        <v>26800</v>
      </c>
      <c r="I9" s="299">
        <f t="shared" si="0"/>
        <v>-8.7999999999999972</v>
      </c>
      <c r="J9" s="300">
        <f>SUM(VLOOKUP(C9,'Raw - Ill Health'!A:Q,14,FALSE)-VLOOKUP(C9,'Raw - Ill Health'!A:Q,2,FALSE))</f>
        <v>-12000</v>
      </c>
      <c r="K9" s="301">
        <f t="shared" si="1"/>
        <v>-4.8000000000000007</v>
      </c>
      <c r="L9" s="302">
        <f>IF(K9="","",IF($K$5="lgbf family group",SUM(MROUND(SUM(SUM(VLOOKUP(C$17,'Raw - Ill Health'!A:Q,16,FALSE)*VLOOKUP(C9,'Raw - Ill Health'!A:Q,15,FALSE))/100),100)-MROUND(SUM(SUM(VLOOKUP(C9,'Raw - Ill Health'!A:Q,16,FALSE)*VLOOKUP(C9,'Raw - Ill Health'!A:Q,15,FALSE))/100),100)),IF($K$5="Glasgow City Region",SUM(MROUND(SUM(SUM(VLOOKUP(C$18,'Raw - Ill Health'!A:Q,16,FALSE)*VLOOKUP(C9,'Raw - Ill Health'!A:Q,15,FALSE))/100),100)-MROUND(SUM(SUM(VLOOKUP(C9,'Raw - Ill Health'!A:Q,16,FALSE)*VLOOKUP(C9,'Raw - Ill Health'!A:Q,15,FALSE))/100),100)),IF($K$5="Scotland",SUM(MROUND(SUM(SUM(VLOOKUP(C$19,'Raw - Ill Health'!A:Q,16,FALSE)*VLOOKUP(C9,'Raw - Ill Health'!A:Q,15,FALSE))/100),100)-MROUND(SUM(SUM(VLOOKUP(C9,'Raw - Ill Health'!A:Q,16,FALSE)*VLOOKUP(C9,'Raw - Ill Health'!A:Q,15,FALSE))/100),100)),IF($K$5="United Kingdom",SUM(MROUND(SUM(SUM(VLOOKUP(C$20,'Raw - Ill Health'!A:Q,16,FALSE)*VLOOKUP(C9,'Raw - Ill Health'!A:Q,15,FALSE))/100),100)-MROUND(SUM(SUM(VLOOKUP(C9,'Raw - Ill Health'!A:Q,16,FALSE)*VLOOKUP(C9,'Raw - Ill Health'!A:Q,15,FALSE))/100),100)),SUM(MROUND(SUM(SUM(VLOOKUP(C$16,'Raw - Ill Health'!A:Q,16,FALSE)*VLOOKUP(C9,'Raw - Ill Health'!A:Q,15,FALSE))/100),100)-MROUND(SUM(SUM(VLOOKUP(C9,'Raw - Ill Health'!A:Q,16,FALSE)*VLOOKUP(C9,'Raw - Ill Health'!A:Q,15,FALSE))/100),100)))))))</f>
        <v>-5400</v>
      </c>
    </row>
    <row r="10" spans="2:12" ht="19.5" customHeight="1">
      <c r="B10" s="296" t="s">
        <v>249</v>
      </c>
      <c r="C10" s="296" t="s">
        <v>29</v>
      </c>
      <c r="D10" s="298">
        <f>VLOOKUP($C10,'Raw - Ill Health'!$A:$Q,4,FALSE)</f>
        <v>38.200000000000003</v>
      </c>
      <c r="E10" s="298">
        <f>VLOOKUP($C10,'Raw - Ill Health'!$A:$Q,8,FALSE)</f>
        <v>37.299999999999997</v>
      </c>
      <c r="F10" s="298">
        <f>VLOOKUP($C10,'Raw - Ill Health'!$A:$Q,12,FALSE)</f>
        <v>50.2</v>
      </c>
      <c r="G10" s="298">
        <f>VLOOKUP($C10,'Raw - Ill Health'!$A:$Q,16,FALSE)</f>
        <v>45.7</v>
      </c>
      <c r="H10" s="318">
        <f>VLOOKUP(C10,'Raw - Ill Health'!A:Q,14,FALSE)</f>
        <v>5900</v>
      </c>
      <c r="I10" s="299">
        <f t="shared" si="0"/>
        <v>7.5</v>
      </c>
      <c r="J10" s="300">
        <f>SUM(VLOOKUP(C10,'Raw - Ill Health'!A:Q,14,FALSE)-VLOOKUP(C10,'Raw - Ill Health'!A:Q,2,FALSE))</f>
        <v>700</v>
      </c>
      <c r="K10" s="301">
        <f t="shared" si="1"/>
        <v>-26.400000000000002</v>
      </c>
      <c r="L10" s="302">
        <f>IF(K10="","",IF($K$5="lgbf family group",SUM(MROUND(SUM(SUM(VLOOKUP(C$17,'Raw - Ill Health'!A:Q,16,FALSE)*VLOOKUP(C10,'Raw - Ill Health'!A:Q,15,FALSE))/100),100)-MROUND(SUM(SUM(VLOOKUP(C10,'Raw - Ill Health'!A:Q,16,FALSE)*VLOOKUP(C10,'Raw - Ill Health'!A:Q,15,FALSE))/100),100)),IF($K$5="Glasgow City Region",SUM(MROUND(SUM(SUM(VLOOKUP(C$18,'Raw - Ill Health'!A:Q,16,FALSE)*VLOOKUP(C10,'Raw - Ill Health'!A:Q,15,FALSE))/100),100)-MROUND(SUM(SUM(VLOOKUP(C10,'Raw - Ill Health'!A:Q,16,FALSE)*VLOOKUP(C10,'Raw - Ill Health'!A:Q,15,FALSE))/100),100)),IF($K$5="Scotland",SUM(MROUND(SUM(SUM(VLOOKUP(C$19,'Raw - Ill Health'!A:Q,16,FALSE)*VLOOKUP(C10,'Raw - Ill Health'!A:Q,15,FALSE))/100),100)-MROUND(SUM(SUM(VLOOKUP(C10,'Raw - Ill Health'!A:Q,16,FALSE)*VLOOKUP(C10,'Raw - Ill Health'!A:Q,15,FALSE))/100),100)),IF($K$5="United Kingdom",SUM(MROUND(SUM(SUM(VLOOKUP(C$20,'Raw - Ill Health'!A:Q,16,FALSE)*VLOOKUP(C10,'Raw - Ill Health'!A:Q,15,FALSE))/100),100)-MROUND(SUM(SUM(VLOOKUP(C10,'Raw - Ill Health'!A:Q,16,FALSE)*VLOOKUP(C10,'Raw - Ill Health'!A:Q,15,FALSE))/100),100)),SUM(MROUND(SUM(SUM(VLOOKUP(C$16,'Raw - Ill Health'!A:Q,16,FALSE)*VLOOKUP(C10,'Raw - Ill Health'!A:Q,15,FALSE))/100),100)-MROUND(SUM(SUM(VLOOKUP(C10,'Raw - Ill Health'!A:Q,16,FALSE)*VLOOKUP(C10,'Raw - Ill Health'!A:Q,15,FALSE))/100),100)))))))</f>
        <v>-3400</v>
      </c>
    </row>
    <row r="11" spans="2:12" ht="19.5" customHeight="1">
      <c r="B11" s="296" t="s">
        <v>249</v>
      </c>
      <c r="C11" s="296" t="s">
        <v>34</v>
      </c>
      <c r="D11" s="298">
        <f>VLOOKUP($C11,'Raw - Ill Health'!$A:$Q,4,FALSE)</f>
        <v>31.5</v>
      </c>
      <c r="E11" s="298">
        <f>VLOOKUP($C11,'Raw - Ill Health'!$A:$Q,8,FALSE)</f>
        <v>47.5</v>
      </c>
      <c r="F11" s="298">
        <f>VLOOKUP($C11,'Raw - Ill Health'!$A:$Q,12,FALSE)</f>
        <v>40</v>
      </c>
      <c r="G11" s="298">
        <f>VLOOKUP($C11,'Raw - Ill Health'!$A:$Q,16,FALSE)</f>
        <v>37.200000000000003</v>
      </c>
      <c r="H11" s="318">
        <f>VLOOKUP(C11,'Raw - Ill Health'!A:Q,14,FALSE)</f>
        <v>22500</v>
      </c>
      <c r="I11" s="299">
        <f t="shared" si="0"/>
        <v>5.7000000000000028</v>
      </c>
      <c r="J11" s="300">
        <f>SUM(VLOOKUP(C11,'Raw - Ill Health'!A:Q,14,FALSE)-VLOOKUP(C11,'Raw - Ill Health'!A:Q,2,FALSE))</f>
        <v>5100</v>
      </c>
      <c r="K11" s="301">
        <f t="shared" si="1"/>
        <v>-17.900000000000002</v>
      </c>
      <c r="L11" s="302">
        <f>IF(K11="","",IF($K$5="lgbf family group",SUM(MROUND(SUM(SUM(VLOOKUP(C$17,'Raw - Ill Health'!A:Q,16,FALSE)*VLOOKUP(C11,'Raw - Ill Health'!A:Q,15,FALSE))/100),100)-MROUND(SUM(SUM(VLOOKUP(C11,'Raw - Ill Health'!A:Q,16,FALSE)*VLOOKUP(C11,'Raw - Ill Health'!A:Q,15,FALSE))/100),100)),IF($K$5="Glasgow City Region",SUM(MROUND(SUM(SUM(VLOOKUP(C$18,'Raw - Ill Health'!A:Q,16,FALSE)*VLOOKUP(C11,'Raw - Ill Health'!A:Q,15,FALSE))/100),100)-MROUND(SUM(SUM(VLOOKUP(C11,'Raw - Ill Health'!A:Q,16,FALSE)*VLOOKUP(C11,'Raw - Ill Health'!A:Q,15,FALSE))/100),100)),IF($K$5="Scotland",SUM(MROUND(SUM(SUM(VLOOKUP(C$19,'Raw - Ill Health'!A:Q,16,FALSE)*VLOOKUP(C11,'Raw - Ill Health'!A:Q,15,FALSE))/100),100)-MROUND(SUM(SUM(VLOOKUP(C11,'Raw - Ill Health'!A:Q,16,FALSE)*VLOOKUP(C11,'Raw - Ill Health'!A:Q,15,FALSE))/100),100)),IF($K$5="United Kingdom",SUM(MROUND(SUM(SUM(VLOOKUP(C$20,'Raw - Ill Health'!A:Q,16,FALSE)*VLOOKUP(C11,'Raw - Ill Health'!A:Q,15,FALSE))/100),100)-MROUND(SUM(SUM(VLOOKUP(C11,'Raw - Ill Health'!A:Q,16,FALSE)*VLOOKUP(C11,'Raw - Ill Health'!A:Q,15,FALSE))/100),100)),SUM(MROUND(SUM(SUM(VLOOKUP(C$16,'Raw - Ill Health'!A:Q,16,FALSE)*VLOOKUP(C11,'Raw - Ill Health'!A:Q,15,FALSE))/100),100)-MROUND(SUM(SUM(VLOOKUP(C11,'Raw - Ill Health'!A:Q,16,FALSE)*VLOOKUP(C11,'Raw - Ill Health'!A:Q,15,FALSE))/100),100)))))))</f>
        <v>-10800</v>
      </c>
    </row>
    <row r="12" spans="2:12" ht="19.5" customHeight="1">
      <c r="B12" s="296" t="s">
        <v>249</v>
      </c>
      <c r="C12" s="296" t="s">
        <v>37</v>
      </c>
      <c r="D12" s="298">
        <f>VLOOKUP($C12,'Raw - Ill Health'!$A:$Q,4,FALSE)</f>
        <v>23.4</v>
      </c>
      <c r="E12" s="298">
        <f>VLOOKUP($C12,'Raw - Ill Health'!$A:$Q,8,FALSE)</f>
        <v>42.1</v>
      </c>
      <c r="F12" s="298">
        <f>VLOOKUP($C12,'Raw - Ill Health'!$A:$Q,12,FALSE)</f>
        <v>46.1</v>
      </c>
      <c r="G12" s="298">
        <f>VLOOKUP($C12,'Raw - Ill Health'!$A:$Q,16,FALSE)</f>
        <v>34.6</v>
      </c>
      <c r="H12" s="318">
        <f>VLOOKUP(C12,'Raw - Ill Health'!A:Q,14,FALSE)</f>
        <v>8700</v>
      </c>
      <c r="I12" s="299">
        <f t="shared" si="0"/>
        <v>11.200000000000003</v>
      </c>
      <c r="J12" s="300">
        <f>SUM(VLOOKUP(C12,'Raw - Ill Health'!A:Q,14,FALSE)-VLOOKUP(C12,'Raw - Ill Health'!A:Q,2,FALSE))</f>
        <v>3600</v>
      </c>
      <c r="K12" s="301">
        <f t="shared" si="1"/>
        <v>-15.3</v>
      </c>
      <c r="L12" s="302">
        <f>IF(K12="","",IF($K$5="lgbf family group",SUM(MROUND(SUM(SUM(VLOOKUP(C$17,'Raw - Ill Health'!A:Q,16,FALSE)*VLOOKUP(C12,'Raw - Ill Health'!A:Q,15,FALSE))/100),100)-MROUND(SUM(SUM(VLOOKUP(C12,'Raw - Ill Health'!A:Q,16,FALSE)*VLOOKUP(C12,'Raw - Ill Health'!A:Q,15,FALSE))/100),100)),IF($K$5="Glasgow City Region",SUM(MROUND(SUM(SUM(VLOOKUP(C$18,'Raw - Ill Health'!A:Q,16,FALSE)*VLOOKUP(C12,'Raw - Ill Health'!A:Q,15,FALSE))/100),100)-MROUND(SUM(SUM(VLOOKUP(C12,'Raw - Ill Health'!A:Q,16,FALSE)*VLOOKUP(C12,'Raw - Ill Health'!A:Q,15,FALSE))/100),100)),IF($K$5="Scotland",SUM(MROUND(SUM(SUM(VLOOKUP(C$19,'Raw - Ill Health'!A:Q,16,FALSE)*VLOOKUP(C12,'Raw - Ill Health'!A:Q,15,FALSE))/100),100)-MROUND(SUM(SUM(VLOOKUP(C12,'Raw - Ill Health'!A:Q,16,FALSE)*VLOOKUP(C12,'Raw - Ill Health'!A:Q,15,FALSE))/100),100)),IF($K$5="United Kingdom",SUM(MROUND(SUM(SUM(VLOOKUP(C$20,'Raw - Ill Health'!A:Q,16,FALSE)*VLOOKUP(C12,'Raw - Ill Health'!A:Q,15,FALSE))/100),100)-MROUND(SUM(SUM(VLOOKUP(C12,'Raw - Ill Health'!A:Q,16,FALSE)*VLOOKUP(C12,'Raw - Ill Health'!A:Q,15,FALSE))/100),100)),SUM(MROUND(SUM(SUM(VLOOKUP(C$16,'Raw - Ill Health'!A:Q,16,FALSE)*VLOOKUP(C12,'Raw - Ill Health'!A:Q,15,FALSE))/100),100)-MROUND(SUM(SUM(VLOOKUP(C12,'Raw - Ill Health'!A:Q,16,FALSE)*VLOOKUP(C12,'Raw - Ill Health'!A:Q,15,FALSE))/100),100)))))))</f>
        <v>-3900</v>
      </c>
    </row>
    <row r="13" spans="2:12" ht="19.5" customHeight="1">
      <c r="B13" s="296" t="s">
        <v>249</v>
      </c>
      <c r="C13" s="296" t="s">
        <v>41</v>
      </c>
      <c r="D13" s="298">
        <f>VLOOKUP($C13,'Raw - Ill Health'!$A:$Q,4,FALSE)</f>
        <v>27.6</v>
      </c>
      <c r="E13" s="298">
        <f>VLOOKUP($C13,'Raw - Ill Health'!$A:$Q,8,FALSE)</f>
        <v>26.9</v>
      </c>
      <c r="F13" s="298">
        <f>VLOOKUP($C13,'Raw - Ill Health'!$A:$Q,12,FALSE)</f>
        <v>32.200000000000003</v>
      </c>
      <c r="G13" s="298">
        <f>VLOOKUP($C13,'Raw - Ill Health'!$A:$Q,16,FALSE)</f>
        <v>37.700000000000003</v>
      </c>
      <c r="H13" s="318">
        <f>VLOOKUP(C13,'Raw - Ill Health'!A:Q,14,FALSE)</f>
        <v>16000</v>
      </c>
      <c r="I13" s="299">
        <f t="shared" si="0"/>
        <v>10.100000000000001</v>
      </c>
      <c r="J13" s="300">
        <f>SUM(VLOOKUP(C13,'Raw - Ill Health'!A:Q,14,FALSE)-VLOOKUP(C13,'Raw - Ill Health'!A:Q,2,FALSE))</f>
        <v>5100</v>
      </c>
      <c r="K13" s="301">
        <f t="shared" si="1"/>
        <v>-18.400000000000002</v>
      </c>
      <c r="L13" s="302">
        <f>IF(K13="","",IF($K$5="lgbf family group",SUM(MROUND(SUM(SUM(VLOOKUP(C$17,'Raw - Ill Health'!A:Q,16,FALSE)*VLOOKUP(C13,'Raw - Ill Health'!A:Q,15,FALSE))/100),100)-MROUND(SUM(SUM(VLOOKUP(C13,'Raw - Ill Health'!A:Q,16,FALSE)*VLOOKUP(C13,'Raw - Ill Health'!A:Q,15,FALSE))/100),100)),IF($K$5="Glasgow City Region",SUM(MROUND(SUM(SUM(VLOOKUP(C$18,'Raw - Ill Health'!A:Q,16,FALSE)*VLOOKUP(C13,'Raw - Ill Health'!A:Q,15,FALSE))/100),100)-MROUND(SUM(SUM(VLOOKUP(C13,'Raw - Ill Health'!A:Q,16,FALSE)*VLOOKUP(C13,'Raw - Ill Health'!A:Q,15,FALSE))/100),100)),IF($K$5="Scotland",SUM(MROUND(SUM(SUM(VLOOKUP(C$19,'Raw - Ill Health'!A:Q,16,FALSE)*VLOOKUP(C13,'Raw - Ill Health'!A:Q,15,FALSE))/100),100)-MROUND(SUM(SUM(VLOOKUP(C13,'Raw - Ill Health'!A:Q,16,FALSE)*VLOOKUP(C13,'Raw - Ill Health'!A:Q,15,FALSE))/100),100)),IF($K$5="United Kingdom",SUM(MROUND(SUM(SUM(VLOOKUP(C$20,'Raw - Ill Health'!A:Q,16,FALSE)*VLOOKUP(C13,'Raw - Ill Health'!A:Q,15,FALSE))/100),100)-MROUND(SUM(SUM(VLOOKUP(C13,'Raw - Ill Health'!A:Q,16,FALSE)*VLOOKUP(C13,'Raw - Ill Health'!A:Q,15,FALSE))/100),100)),SUM(MROUND(SUM(SUM(VLOOKUP(C$16,'Raw - Ill Health'!A:Q,16,FALSE)*VLOOKUP(C13,'Raw - Ill Health'!A:Q,15,FALSE))/100),100)-MROUND(SUM(SUM(VLOOKUP(C13,'Raw - Ill Health'!A:Q,16,FALSE)*VLOOKUP(C13,'Raw - Ill Health'!A:Q,15,FALSE))/100),100)))))))</f>
        <v>-7700</v>
      </c>
    </row>
    <row r="14" spans="2:12" ht="19.5" customHeight="1">
      <c r="B14" s="296" t="s">
        <v>249</v>
      </c>
      <c r="C14" s="296" t="s">
        <v>43</v>
      </c>
      <c r="D14" s="298">
        <f>VLOOKUP($C14,'Raw - Ill Health'!$A:$Q,4,FALSE)</f>
        <v>36.700000000000003</v>
      </c>
      <c r="E14" s="298">
        <f>VLOOKUP($C14,'Raw - Ill Health'!$A:$Q,8,FALSE)</f>
        <v>38.1</v>
      </c>
      <c r="F14" s="298">
        <f>VLOOKUP($C14,'Raw - Ill Health'!$A:$Q,12,FALSE)</f>
        <v>43.8</v>
      </c>
      <c r="G14" s="298">
        <f>VLOOKUP($C14,'Raw - Ill Health'!$A:$Q,16,FALSE)</f>
        <v>33.4</v>
      </c>
      <c r="H14" s="318">
        <f>VLOOKUP(C14,'Raw - Ill Health'!A:Q,14,FALSE)</f>
        <v>4800</v>
      </c>
      <c r="I14" s="299">
        <f t="shared" si="0"/>
        <v>-3.3000000000000043</v>
      </c>
      <c r="J14" s="300">
        <f>SUM(VLOOKUP(C14,'Raw - Ill Health'!A:Q,14,FALSE)-VLOOKUP(C14,'Raw - Ill Health'!A:Q,2,FALSE))</f>
        <v>100</v>
      </c>
      <c r="K14" s="301">
        <f t="shared" si="1"/>
        <v>-14.099999999999998</v>
      </c>
      <c r="L14" s="302">
        <f>IF(K14="","",IF($K$5="lgbf family group",SUM(MROUND(SUM(SUM(VLOOKUP(C$17,'Raw - Ill Health'!A:Q,16,FALSE)*VLOOKUP(C14,'Raw - Ill Health'!A:Q,15,FALSE))/100),100)-MROUND(SUM(SUM(VLOOKUP(C14,'Raw - Ill Health'!A:Q,16,FALSE)*VLOOKUP(C14,'Raw - Ill Health'!A:Q,15,FALSE))/100),100)),IF($K$5="Glasgow City Region",SUM(MROUND(SUM(SUM(VLOOKUP(C$18,'Raw - Ill Health'!A:Q,16,FALSE)*VLOOKUP(C14,'Raw - Ill Health'!A:Q,15,FALSE))/100),100)-MROUND(SUM(SUM(VLOOKUP(C14,'Raw - Ill Health'!A:Q,16,FALSE)*VLOOKUP(C14,'Raw - Ill Health'!A:Q,15,FALSE))/100),100)),IF($K$5="Scotland",SUM(MROUND(SUM(SUM(VLOOKUP(C$19,'Raw - Ill Health'!A:Q,16,FALSE)*VLOOKUP(C14,'Raw - Ill Health'!A:Q,15,FALSE))/100),100)-MROUND(SUM(SUM(VLOOKUP(C14,'Raw - Ill Health'!A:Q,16,FALSE)*VLOOKUP(C14,'Raw - Ill Health'!A:Q,15,FALSE))/100),100)),IF($K$5="United Kingdom",SUM(MROUND(SUM(SUM(VLOOKUP(C$20,'Raw - Ill Health'!A:Q,16,FALSE)*VLOOKUP(C14,'Raw - Ill Health'!A:Q,15,FALSE))/100),100)-MROUND(SUM(SUM(VLOOKUP(C14,'Raw - Ill Health'!A:Q,16,FALSE)*VLOOKUP(C14,'Raw - Ill Health'!A:Q,15,FALSE))/100),100)),SUM(MROUND(SUM(SUM(VLOOKUP(C$16,'Raw - Ill Health'!A:Q,16,FALSE)*VLOOKUP(C14,'Raw - Ill Health'!A:Q,15,FALSE))/100),100)-MROUND(SUM(SUM(VLOOKUP(C14,'Raw - Ill Health'!A:Q,16,FALSE)*VLOOKUP(C14,'Raw - Ill Health'!A:Q,15,FALSE))/100),100)))))))</f>
        <v>-2000</v>
      </c>
    </row>
    <row r="15" spans="2:12" ht="19.5" customHeight="1">
      <c r="B15" s="303"/>
      <c r="C15" s="303"/>
      <c r="D15" s="304"/>
      <c r="E15" s="304"/>
      <c r="F15" s="304"/>
      <c r="G15" s="304"/>
      <c r="H15" s="304"/>
      <c r="I15" s="306"/>
      <c r="J15" s="306"/>
      <c r="K15" s="306"/>
      <c r="L15" s="306"/>
    </row>
    <row r="16" spans="2:12" ht="19.5" customHeight="1">
      <c r="B16" s="307" t="s">
        <v>51</v>
      </c>
      <c r="C16" s="296" t="str">
        <f>INDEX('Raw - Ill Health'!$A$9:$A$40,MATCH(MIN('Raw - Ill Health'!P9:P40),'Raw - Ill Health'!P9:P40,0))</f>
        <v>West Lothian</v>
      </c>
      <c r="D16" s="298">
        <f>VLOOKUP($C16,'Raw - Ill Health'!$A:$Q,4,FALSE)</f>
        <v>35.6</v>
      </c>
      <c r="E16" s="298">
        <f>VLOOKUP($C16,'Raw - Ill Health'!$A:$Q,8,FALSE)</f>
        <v>26.5</v>
      </c>
      <c r="F16" s="298">
        <f>VLOOKUP($C16,'Raw - Ill Health'!$A:$Q,12,FALSE)</f>
        <v>34.1</v>
      </c>
      <c r="G16" s="298">
        <f>MIN('Raw - Ill Health'!P9:P40)</f>
        <v>19.3</v>
      </c>
      <c r="H16" s="318">
        <f>VLOOKUP(C16,'Raw - Ill Health'!A:Q,14,FALSE)</f>
        <v>5000</v>
      </c>
      <c r="I16" s="299">
        <f>SUM(G16-D16)</f>
        <v>-16.3</v>
      </c>
      <c r="J16" s="300">
        <f>SUM(VLOOKUP(C16,'Raw - Ill Health'!A:Q,14,FALSE)-VLOOKUP(C16,'Raw - Ill Health'!A:Q,2,FALSE))</f>
        <v>-4700</v>
      </c>
    </row>
    <row r="17" spans="2:12" ht="19.5" customHeight="1">
      <c r="B17" s="307" t="s">
        <v>542</v>
      </c>
      <c r="C17" s="308" t="s">
        <v>546</v>
      </c>
      <c r="D17" s="298">
        <f>VLOOKUP($C17,'Raw - Ill Health'!$A:$Q,4,FALSE)</f>
        <v>31.746599856836077</v>
      </c>
      <c r="E17" s="298">
        <f>VLOOKUP($C17,'Raw - Ill Health'!$A:$Q,8,FALSE)</f>
        <v>34.371754932502597</v>
      </c>
      <c r="F17" s="298">
        <f>VLOOKUP($C17,'Raw - Ill Health'!$A:$Q,12,FALSE)</f>
        <v>32.889200561009815</v>
      </c>
      <c r="G17" s="298">
        <f>VLOOKUP($C17,'Raw - Ill Health'!$A:$Q,16,FALSE)</f>
        <v>30.353430353430355</v>
      </c>
      <c r="H17" s="318">
        <f>VLOOKUP(C17,'Raw - Ill Health'!A:Q,14,FALSE)</f>
        <v>87600</v>
      </c>
      <c r="I17" s="299">
        <f>SUM(G17-D17)</f>
        <v>-1.3931695034057228</v>
      </c>
      <c r="J17" s="300">
        <f>SUM(VLOOKUP(C17,'Raw - Ill Health'!A:Q,14,FALSE)-VLOOKUP(C17,'Raw - Ill Health'!A:Q,2,FALSE))</f>
        <v>-1100</v>
      </c>
    </row>
    <row r="18" spans="2:12" ht="19.5" customHeight="1">
      <c r="B18" s="307" t="s">
        <v>250</v>
      </c>
      <c r="C18" s="296" t="s">
        <v>47</v>
      </c>
      <c r="D18" s="298">
        <f>VLOOKUP($C18,'Raw - Ill Health'!$A:$Q,4,FALSE)</f>
        <v>30.6</v>
      </c>
      <c r="E18" s="298">
        <f>VLOOKUP($C18,'Raw - Ill Health'!$A:$Q,8,FALSE)</f>
        <v>34.299999999999997</v>
      </c>
      <c r="F18" s="298">
        <f>VLOOKUP($C18,'Raw - Ill Health'!$A:$Q,12,FALSE)</f>
        <v>34.9</v>
      </c>
      <c r="G18" s="298">
        <f>VLOOKUP($C18,'Raw - Ill Health'!$A:$Q,16,FALSE)</f>
        <v>31.3</v>
      </c>
      <c r="H18" s="318">
        <f>VLOOKUP(C18,'Raw - Ill Health'!A:Q,14,FALSE)</f>
        <v>91700</v>
      </c>
      <c r="I18" s="299">
        <f>SUM(G18-D18)</f>
        <v>0.69999999999999929</v>
      </c>
      <c r="J18" s="300">
        <f>SUM(VLOOKUP(C18,'Raw - Ill Health'!A:Q,14,FALSE)-VLOOKUP(C18,'Raw - Ill Health'!A:Q,2,FALSE))</f>
        <v>3400</v>
      </c>
    </row>
    <row r="19" spans="2:12" ht="19.5" customHeight="1">
      <c r="B19" s="307" t="s">
        <v>251</v>
      </c>
      <c r="C19" s="296" t="s">
        <v>45</v>
      </c>
      <c r="D19" s="298">
        <f>VLOOKUP($C19,'Raw - Ill Health'!$A:$Q,4,FALSE)</f>
        <v>28.7</v>
      </c>
      <c r="E19" s="298">
        <f>VLOOKUP($C19,'Raw - Ill Health'!$A:$Q,8,FALSE)</f>
        <v>29.6</v>
      </c>
      <c r="F19" s="298">
        <f>VLOOKUP($C19,'Raw - Ill Health'!$A:$Q,12,FALSE)</f>
        <v>32.1</v>
      </c>
      <c r="G19" s="298">
        <f>VLOOKUP($C19,'Raw - Ill Health'!$A:$Q,16,FALSE)</f>
        <v>31.6</v>
      </c>
      <c r="H19" s="318">
        <f>VLOOKUP(C19,'Raw - Ill Health'!A:Q,14,FALSE)</f>
        <v>245300</v>
      </c>
      <c r="I19" s="299">
        <f>SUM(G19-D19)</f>
        <v>2.9000000000000021</v>
      </c>
      <c r="J19" s="300">
        <f>SUM(VLOOKUP(C19,'Raw - Ill Health'!A:Q,14,FALSE)-VLOOKUP(C19,'Raw - Ill Health'!A:Q,2,FALSE))</f>
        <v>16700</v>
      </c>
    </row>
    <row r="20" spans="2:12" ht="19.5" customHeight="1">
      <c r="B20" s="307" t="s">
        <v>251</v>
      </c>
      <c r="C20" s="296" t="s">
        <v>46</v>
      </c>
      <c r="D20" s="298">
        <f>VLOOKUP($C20,'Raw - Ill Health'!$A:$Q,4,FALSE)</f>
        <v>24</v>
      </c>
      <c r="E20" s="298">
        <f>VLOOKUP($C20,'Raw - Ill Health'!$A:$Q,8,FALSE)</f>
        <v>24.9</v>
      </c>
      <c r="F20" s="298">
        <f>VLOOKUP($C20,'Raw - Ill Health'!$A:$Q,12,FALSE)</f>
        <v>26.1</v>
      </c>
      <c r="G20" s="298">
        <f>VLOOKUP($C20,'Raw - Ill Health'!$A:$Q,16,FALSE)</f>
        <v>27.5</v>
      </c>
      <c r="H20" s="318">
        <f>VLOOKUP(C20,'Raw - Ill Health'!A:Q,14,FALSE)</f>
        <v>2446300</v>
      </c>
      <c r="I20" s="299">
        <f>SUM(G20-D20)</f>
        <v>3.5</v>
      </c>
      <c r="J20" s="300">
        <f>SUM(VLOOKUP(C20,'Raw - Ill Health'!A:Q,14,FALSE)-VLOOKUP(C20,'Raw - Ill Health'!A:Q,2,FALSE))</f>
        <v>346800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rz/j3qDFFDA9AtTvZ47YnsLvB6WCL14YLoeApCmfLAicQEjn35D4F/9n5I11KHsftloJChkRgQKfYEfcZp2SxA==" saltValue="3ZQkK0Vak9baKYCL7lhlYw==" spinCount="100000" sheet="1" objects="1" scenarios="1"/>
  <autoFilter ref="C6:L14" xr:uid="{00000000-0009-0000-0000-00000C000000}">
    <sortState xmlns:xlrd2="http://schemas.microsoft.com/office/spreadsheetml/2017/richdata2" ref="C7:L14">
      <sortCondition ref="C6:C14"/>
    </sortState>
  </autoFilter>
  <mergeCells count="4">
    <mergeCell ref="I5:J5"/>
    <mergeCell ref="K5:L5"/>
    <mergeCell ref="K4:L4"/>
    <mergeCell ref="F2:G2"/>
  </mergeCells>
  <dataValidations count="1">
    <dataValidation type="list" allowBlank="1" showInputMessage="1" showErrorMessage="1" sqref="C17" xr:uid="{00000000-0002-0000-0C00-000000000000}">
      <formula1>IF(B17="LGBF Family Group 1",LGBF_5,IF(B17="LGBF Family Group 3",LGBF_7,IF(B17="LGBF Family Group 4",LGBF_8,LGBF_6)))</formula1>
    </dataValidation>
  </dataValidations>
  <hyperlinks>
    <hyperlink ref="F2:G2" location="'Index RAG'!A1" display="Return to Index RAG" xr:uid="{00000000-0004-0000-0C00-000001000000}"/>
    <hyperlink ref="C3" r:id="rId1" xr:uid="{9A55D5F6-26C4-435A-8CA7-8A56E952E009}"/>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Lookups!$L$8:$O$8</xm:f>
          </x14:formula1>
          <xm:sqref>B17</xm:sqref>
        </x14:dataValidation>
        <x14:dataValidation type="list" allowBlank="1" showInputMessage="1" showErrorMessage="1" xr:uid="{00000000-0002-0000-0C00-000002000000}">
          <x14:formula1>
            <xm:f>Lookups!$B$3:$B$7</xm:f>
          </x14:formula1>
          <xm:sqref>K5:L5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166</v>
      </c>
      <c r="F2" s="595" t="s">
        <v>507</v>
      </c>
      <c r="G2" s="596"/>
    </row>
    <row r="3" spans="2:12" ht="13">
      <c r="B3" s="286" t="s">
        <v>49</v>
      </c>
      <c r="C3" s="288" t="s">
        <v>167</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t="s">
        <v>157</v>
      </c>
      <c r="E6" s="294" t="s">
        <v>156</v>
      </c>
      <c r="F6" s="294" t="s">
        <v>155</v>
      </c>
      <c r="G6" s="294" t="s">
        <v>610</v>
      </c>
      <c r="H6" s="295" t="s">
        <v>53</v>
      </c>
      <c r="I6" s="295" t="s">
        <v>54</v>
      </c>
      <c r="J6" s="295" t="s">
        <v>79</v>
      </c>
      <c r="K6" s="295" t="s">
        <v>57</v>
      </c>
    </row>
    <row r="7" spans="2:12" ht="19.5" customHeight="1">
      <c r="B7" s="296" t="s">
        <v>249</v>
      </c>
      <c r="C7" s="296" t="s">
        <v>22</v>
      </c>
      <c r="D7" s="298">
        <f>VLOOKUP($C7,'Raw - HLE Females'!$A$3:$F$38,3,FALSE)</f>
        <v>68.2</v>
      </c>
      <c r="E7" s="298">
        <f>VLOOKUP($C7,'Raw - HLE Females'!$A$3:$F$38,4,FALSE)</f>
        <v>68.36</v>
      </c>
      <c r="F7" s="298">
        <f>VLOOKUP($C7,'Raw - HLE Females'!$A$3:$F$38,5,FALSE)</f>
        <v>66.53</v>
      </c>
      <c r="G7" s="298">
        <f>VLOOKUP($C7,'Raw - HLE Females'!$A$3:$F$38,6,FALSE)</f>
        <v>66.38</v>
      </c>
      <c r="H7" s="320">
        <f>SUM(G7-D7)/D7</f>
        <v>-2.6686217008797763E-2</v>
      </c>
      <c r="I7" s="321">
        <f>G7-D7</f>
        <v>-1.8200000000000074</v>
      </c>
      <c r="J7" s="322">
        <f>IF(IF($J$5="LGBF FAMILY GROUP",SUM(G$17-G7)/G7,IF($J$5="Glasgow City Region",SUM(G$18-G7)/G7,IF($J$5="Scotland",SUM(G$19-G7)/G7,IF($J$5="United Kingdom",SUM(G$20-G7)/G7,SUM(G$16-G7)/G7))))&lt;0,"",IF($J$5="LGBF FAMILY GROUP",SUM(G$17-G7)/G7,IF($J$5="Glasgow City Region",SUM(G$18-G7)/G7,IF($J$5="Scotland",SUM(G$19-G7)/G7,IF($J$5="United Kingdom",SUM(G$20-G7)/G7,SUM(G$16-G7)/G7)))))</f>
        <v>0.16736968966556193</v>
      </c>
      <c r="K7" s="301">
        <f>IF(J7="","",IF($J$5="LGBF FAMILY GROUP",SUM(G$17-G7),IF($J$5="Glasgow City Region",SUM(G$18-G7),IF($J$5="Scotland",SUM(G$19-G7),IF($J$5="United Kingdom",SUM(G$20-G7),SUM(G$16-G7))))))</f>
        <v>11.11</v>
      </c>
    </row>
    <row r="8" spans="2:12" ht="19.5" customHeight="1">
      <c r="B8" s="296" t="s">
        <v>249</v>
      </c>
      <c r="C8" s="296" t="s">
        <v>24</v>
      </c>
      <c r="D8" s="298">
        <f>VLOOKUP($C8,'Raw - HLE Females'!$A$3:$F$38,3,FALSE)</f>
        <v>65.53</v>
      </c>
      <c r="E8" s="298">
        <f>VLOOKUP($C8,'Raw - HLE Females'!$A$3:$F$38,4,FALSE)</f>
        <v>66.14</v>
      </c>
      <c r="F8" s="298">
        <f>VLOOKUP($C8,'Raw - HLE Females'!$A$3:$F$38,5,FALSE)</f>
        <v>67.19</v>
      </c>
      <c r="G8" s="298">
        <f>VLOOKUP($C8,'Raw - HLE Females'!$A$3:$F$38,6,FALSE)</f>
        <v>67.03</v>
      </c>
      <c r="H8" s="320">
        <f t="shared" ref="H8:H14" si="0">SUM(G8-D8)/D8</f>
        <v>2.2890279261406989E-2</v>
      </c>
      <c r="I8" s="321">
        <f t="shared" ref="I8:I14" si="1">G8-D8</f>
        <v>1.5</v>
      </c>
      <c r="J8" s="322">
        <f t="shared" ref="J8:J14" si="2">IF(IF($J$5="LGBF FAMILY GROUP",SUM(G$17-G8)/G8,IF($J$5="Glasgow City Region",SUM(G$18-G8)/G8,IF($J$5="Scotland",SUM(G$19-G8)/G8,IF($J$5="United Kingdom",SUM(G$20-G8)/G8,SUM(G$16-G8)/G8))))&lt;0,"",IF($J$5="LGBF FAMILY GROUP",SUM(G$17-G8)/G8,IF($J$5="Glasgow City Region",SUM(G$18-G8)/G8,IF($J$5="Scotland",SUM(G$19-G8)/G8,IF($J$5="United Kingdom",SUM(G$20-G8)/G8,SUM(G$16-G8)/G8)))))</f>
        <v>0.15604953006116654</v>
      </c>
      <c r="K8" s="301">
        <f t="shared" ref="K8:K14" si="3">IF(J8="","",IF($J$5="LGBF FAMILY GROUP",SUM(G$17-G8),IF($J$5="Glasgow City Region",SUM(G$18-G8),IF($J$5="Scotland",SUM(G$19-G8),IF($J$5="United Kingdom",SUM(G$20-G8),SUM(G$16-G8))))))</f>
        <v>10.459999999999994</v>
      </c>
    </row>
    <row r="9" spans="2:12" ht="19.5" customHeight="1">
      <c r="B9" s="296" t="s">
        <v>249</v>
      </c>
      <c r="C9" s="296" t="s">
        <v>27</v>
      </c>
      <c r="D9" s="298">
        <f>VLOOKUP($C9,'Raw - HLE Females'!$A$3:$F$38,3,FALSE)</f>
        <v>58.89</v>
      </c>
      <c r="E9" s="298">
        <f>VLOOKUP($C9,'Raw - HLE Females'!$A$3:$F$38,4,FALSE)</f>
        <v>58.16</v>
      </c>
      <c r="F9" s="298">
        <f>VLOOKUP($C9,'Raw - HLE Females'!$A$3:$F$38,5,FALSE)</f>
        <v>57.59</v>
      </c>
      <c r="G9" s="298">
        <f>VLOOKUP($C9,'Raw - HLE Females'!$A$3:$F$38,6,FALSE)</f>
        <v>57.43</v>
      </c>
      <c r="H9" s="320">
        <f>SUM(G9-D9)/D9</f>
        <v>-2.4791985056885735E-2</v>
      </c>
      <c r="I9" s="321">
        <f t="shared" si="1"/>
        <v>-1.4600000000000009</v>
      </c>
      <c r="J9" s="322">
        <f t="shared" si="2"/>
        <v>0.34929479366184912</v>
      </c>
      <c r="K9" s="301">
        <f t="shared" si="3"/>
        <v>20.059999999999995</v>
      </c>
    </row>
    <row r="10" spans="2:12" ht="19.5" customHeight="1">
      <c r="B10" s="296" t="s">
        <v>249</v>
      </c>
      <c r="C10" s="296" t="s">
        <v>29</v>
      </c>
      <c r="D10" s="298">
        <f>VLOOKUP($C10,'Raw - HLE Females'!$A$3:$F$38,3,FALSE)</f>
        <v>59.47</v>
      </c>
      <c r="E10" s="298">
        <f>VLOOKUP($C10,'Raw - HLE Females'!$A$3:$F$38,4,FALSE)</f>
        <v>59.71</v>
      </c>
      <c r="F10" s="298">
        <f>VLOOKUP($C10,'Raw - HLE Females'!$A$3:$F$38,5,FALSE)</f>
        <v>59.65</v>
      </c>
      <c r="G10" s="298">
        <f>VLOOKUP($C10,'Raw - HLE Females'!$A$3:$F$38,6,FALSE)</f>
        <v>59.38</v>
      </c>
      <c r="H10" s="320">
        <f t="shared" si="0"/>
        <v>-1.5133680847485506E-3</v>
      </c>
      <c r="I10" s="321">
        <f t="shared" si="1"/>
        <v>-8.9999999999996305E-2</v>
      </c>
      <c r="J10" s="322">
        <f t="shared" si="2"/>
        <v>0.3049848433816098</v>
      </c>
      <c r="K10" s="301">
        <f t="shared" si="3"/>
        <v>18.109999999999992</v>
      </c>
    </row>
    <row r="11" spans="2:12" ht="19.5" customHeight="1">
      <c r="B11" s="296" t="s">
        <v>249</v>
      </c>
      <c r="C11" s="296" t="s">
        <v>34</v>
      </c>
      <c r="D11" s="298">
        <f>VLOOKUP($C11,'Raw - HLE Females'!$A$3:$F$38,3,FALSE)</f>
        <v>60.41</v>
      </c>
      <c r="E11" s="298">
        <f>VLOOKUP($C11,'Raw - HLE Females'!$A$3:$F$38,4,FALSE)</f>
        <v>58.94</v>
      </c>
      <c r="F11" s="298">
        <f>VLOOKUP($C11,'Raw - HLE Females'!$A$3:$F$38,5,FALSE)</f>
        <v>57.77</v>
      </c>
      <c r="G11" s="298">
        <f>VLOOKUP($C11,'Raw - HLE Females'!$A$3:$F$38,6,FALSE)</f>
        <v>55.49</v>
      </c>
      <c r="H11" s="320">
        <f t="shared" si="0"/>
        <v>-8.1443469624234308E-2</v>
      </c>
      <c r="I11" s="321">
        <f t="shared" si="1"/>
        <v>-4.9199999999999946</v>
      </c>
      <c r="J11" s="322">
        <f t="shared" si="2"/>
        <v>0.39646783204180919</v>
      </c>
      <c r="K11" s="301">
        <f t="shared" si="3"/>
        <v>21.999999999999993</v>
      </c>
    </row>
    <row r="12" spans="2:12" ht="19.5" customHeight="1">
      <c r="B12" s="296" t="s">
        <v>249</v>
      </c>
      <c r="C12" s="296" t="s">
        <v>37</v>
      </c>
      <c r="D12" s="298">
        <f>VLOOKUP($C12,'Raw - HLE Females'!$A$3:$F$38,3,FALSE)</f>
        <v>60.79</v>
      </c>
      <c r="E12" s="298">
        <f>VLOOKUP($C12,'Raw - HLE Females'!$A$3:$F$38,4,FALSE)</f>
        <v>62.16</v>
      </c>
      <c r="F12" s="298">
        <f>VLOOKUP($C12,'Raw - HLE Females'!$A$3:$F$38,5,FALSE)</f>
        <v>62.26</v>
      </c>
      <c r="G12" s="298">
        <f>VLOOKUP($C12,'Raw - HLE Females'!$A$3:$F$38,6,FALSE)</f>
        <v>61.59</v>
      </c>
      <c r="H12" s="320">
        <f t="shared" si="0"/>
        <v>1.3160059220266562E-2</v>
      </c>
      <c r="I12" s="321">
        <f t="shared" si="1"/>
        <v>0.80000000000000426</v>
      </c>
      <c r="J12" s="322">
        <f t="shared" si="2"/>
        <v>0.25815879201169006</v>
      </c>
      <c r="K12" s="301">
        <f t="shared" si="3"/>
        <v>15.899999999999991</v>
      </c>
    </row>
    <row r="13" spans="2:12" ht="19.5" customHeight="1">
      <c r="B13" s="296" t="s">
        <v>249</v>
      </c>
      <c r="C13" s="296" t="s">
        <v>41</v>
      </c>
      <c r="D13" s="298">
        <f>VLOOKUP($C13,'Raw - HLE Females'!$A$3:$F$38,3,FALSE)</f>
        <v>62.98</v>
      </c>
      <c r="E13" s="298">
        <f>VLOOKUP($C13,'Raw - HLE Females'!$A$3:$F$38,4,FALSE)</f>
        <v>62.21</v>
      </c>
      <c r="F13" s="298">
        <f>VLOOKUP($C13,'Raw - HLE Females'!$A$3:$F$38,5,FALSE)</f>
        <v>62.98</v>
      </c>
      <c r="G13" s="298">
        <f>VLOOKUP($C13,'Raw - HLE Females'!$A$3:$F$38,6,FALSE)</f>
        <v>62.66</v>
      </c>
      <c r="H13" s="320">
        <f t="shared" si="0"/>
        <v>-5.0809780882819988E-3</v>
      </c>
      <c r="I13" s="321">
        <f t="shared" si="1"/>
        <v>-0.32000000000000028</v>
      </c>
      <c r="J13" s="322">
        <f t="shared" si="2"/>
        <v>0.23667411426747526</v>
      </c>
      <c r="K13" s="301">
        <f t="shared" si="3"/>
        <v>14.829999999999998</v>
      </c>
    </row>
    <row r="14" spans="2:12" ht="19.5" customHeight="1">
      <c r="B14" s="296" t="s">
        <v>249</v>
      </c>
      <c r="C14" s="296" t="s">
        <v>43</v>
      </c>
      <c r="D14" s="298">
        <f>VLOOKUP($C14,'Raw - HLE Females'!$A$3:$F$38,3,FALSE)</f>
        <v>59.66</v>
      </c>
      <c r="E14" s="298">
        <f>VLOOKUP($C14,'Raw - HLE Females'!$A$3:$F$38,4,FALSE)</f>
        <v>60.66</v>
      </c>
      <c r="F14" s="298">
        <f>VLOOKUP($C14,'Raw - HLE Females'!$A$3:$F$38,5,FALSE)</f>
        <v>60.55</v>
      </c>
      <c r="G14" s="298">
        <f>VLOOKUP($C14,'Raw - HLE Females'!$A$3:$F$38,6,FALSE)</f>
        <v>58.47</v>
      </c>
      <c r="H14" s="320">
        <f t="shared" si="0"/>
        <v>-1.9946362722091816E-2</v>
      </c>
      <c r="I14" s="321">
        <f t="shared" si="1"/>
        <v>-1.1899999999999977</v>
      </c>
      <c r="J14" s="322">
        <f t="shared" si="2"/>
        <v>0.3252950230887634</v>
      </c>
      <c r="K14" s="301">
        <f t="shared" si="3"/>
        <v>19.019999999999996</v>
      </c>
    </row>
    <row r="15" spans="2:12" ht="19.5" customHeight="1">
      <c r="B15" s="303"/>
      <c r="C15" s="303"/>
      <c r="D15" s="304"/>
      <c r="E15" s="304"/>
      <c r="F15" s="304"/>
      <c r="G15" s="304"/>
      <c r="H15" s="306"/>
      <c r="I15" s="306"/>
      <c r="J15" s="306"/>
      <c r="K15" s="306"/>
      <c r="L15" s="306"/>
    </row>
    <row r="16" spans="2:12" ht="19.5" customHeight="1">
      <c r="B16" s="307" t="s">
        <v>51</v>
      </c>
      <c r="C16" s="296" t="str">
        <f>INDEX('Raw - HLE Females'!A3:A34,MATCH(MAX('Raw - HLE Females'!F3:F34),'Raw - HLE Females'!F3:F34,0))</f>
        <v>Orkney Islands</v>
      </c>
      <c r="D16" s="298">
        <f>VLOOKUP($C16,'Raw - HLE Females'!$A$3:$F$58,3,FALSE)</f>
        <v>75.010000000000005</v>
      </c>
      <c r="E16" s="298">
        <f>VLOOKUP($C16,'Raw - HLE Females'!$A$3:$F$58,4,FALSE)</f>
        <v>73.319999999999993</v>
      </c>
      <c r="F16" s="298">
        <f>VLOOKUP($C16,'Raw - HLE Females'!$A$3:$F$58,5,FALSE)</f>
        <v>75.05</v>
      </c>
      <c r="G16" s="298">
        <f>VLOOKUP($C16,'Raw - HLE Females'!$A$3:$F$58,6,FALSE)</f>
        <v>77.489999999999995</v>
      </c>
      <c r="H16" s="320">
        <f>SUM(G16-D16)/D16</f>
        <v>3.3062258365551121E-2</v>
      </c>
      <c r="I16" s="299">
        <f>G16-D16</f>
        <v>2.4799999999999898</v>
      </c>
      <c r="J16" s="305"/>
    </row>
    <row r="17" spans="2:12" ht="19.5" customHeight="1">
      <c r="B17" s="307" t="s">
        <v>542</v>
      </c>
      <c r="C17" s="308" t="s">
        <v>546</v>
      </c>
      <c r="D17" s="298">
        <f>VLOOKUP($C17,'Raw - HLE Females'!$A$3:$F$58,3,FALSE)</f>
        <v>62.212499999999999</v>
      </c>
      <c r="E17" s="298">
        <f>VLOOKUP($C17,'Raw - HLE Females'!$A$3:$F$58,4,FALSE)</f>
        <v>61.676249999999996</v>
      </c>
      <c r="F17" s="298">
        <f>VLOOKUP($C17,'Raw - HLE Females'!$A$3:$F$58,5,FALSE)</f>
        <v>60.942499999999995</v>
      </c>
      <c r="G17" s="298">
        <f>VLOOKUP($C17,'Raw - HLE Females'!$A$3:$F$58,6,FALSE)</f>
        <v>60.375000000000007</v>
      </c>
      <c r="H17" s="320">
        <f>SUM(G17-D17)/D17</f>
        <v>-2.9535864978902818E-2</v>
      </c>
      <c r="I17" s="299">
        <f>G17-D17</f>
        <v>-1.8374999999999915</v>
      </c>
    </row>
    <row r="18" spans="2:12" ht="18.649999999999999" customHeight="1">
      <c r="B18" s="307" t="s">
        <v>250</v>
      </c>
      <c r="C18" s="296" t="s">
        <v>47</v>
      </c>
      <c r="D18" s="298">
        <f>VLOOKUP($C18,'Raw - HLE Females'!$A$3:$F$58,3,FALSE)</f>
        <v>61.991249999999987</v>
      </c>
      <c r="E18" s="298">
        <f>VLOOKUP($C18,'Raw - HLE Females'!$A$3:$F$58,4,FALSE)</f>
        <v>62.042500000000004</v>
      </c>
      <c r="F18" s="298">
        <f>VLOOKUP($C18,'Raw - HLE Females'!$A$3:$F$58,5,FALSE)</f>
        <v>61.814999999999998</v>
      </c>
      <c r="G18" s="298">
        <f>VLOOKUP($C18,'Raw - HLE Females'!$A$3:$F$58,6,FALSE)</f>
        <v>61.053750000000008</v>
      </c>
      <c r="H18" s="320">
        <f>SUM(G18-D18)/D18</f>
        <v>-1.5123102050692297E-2</v>
      </c>
      <c r="I18" s="299">
        <f>G18-D18</f>
        <v>-0.93749999999997868</v>
      </c>
      <c r="J18" s="305"/>
    </row>
    <row r="19" spans="2:12" ht="19.5" customHeight="1">
      <c r="B19" s="307" t="s">
        <v>251</v>
      </c>
      <c r="C19" s="296" t="s">
        <v>45</v>
      </c>
      <c r="D19" s="298">
        <f>VLOOKUP($C19,'Raw - HLE Females'!$A$3:$F$58,3,FALSE)</f>
        <v>62.64</v>
      </c>
      <c r="E19" s="298">
        <f>VLOOKUP($C19,'Raw - HLE Females'!$A$3:$F$58,4,FALSE)</f>
        <v>62.21</v>
      </c>
      <c r="F19" s="298">
        <f>VLOOKUP($C19,'Raw - HLE Females'!$A$3:$F$58,5,FALSE)</f>
        <v>61.94</v>
      </c>
      <c r="G19" s="298">
        <f>VLOOKUP($C19,'Raw - HLE Females'!$A$3:$F$58,6,FALSE)</f>
        <v>61.79</v>
      </c>
      <c r="H19" s="320">
        <f>SUM(G19-D19)/D19</f>
        <v>-1.3569604086845488E-2</v>
      </c>
      <c r="I19" s="299">
        <f>G19-D19</f>
        <v>-0.85000000000000142</v>
      </c>
      <c r="J19" s="305"/>
    </row>
    <row r="20" spans="2:12" ht="19.5" customHeight="1">
      <c r="B20" s="307" t="s">
        <v>251</v>
      </c>
      <c r="C20" s="296" t="s">
        <v>46</v>
      </c>
      <c r="D20" s="298">
        <f>VLOOKUP($C20,'Raw - HLE Females'!$A$3:$F$58,3,FALSE)</f>
        <v>63.57</v>
      </c>
      <c r="E20" s="298">
        <f>VLOOKUP($C20,'Raw - HLE Females'!$A$3:$F$58,4,FALSE)</f>
        <v>63.59</v>
      </c>
      <c r="F20" s="298">
        <f>VLOOKUP($C20,'Raw - HLE Females'!$A$3:$F$58,5,FALSE)</f>
        <v>63.28</v>
      </c>
      <c r="G20" s="298">
        <f>VLOOKUP($C20,'Raw - HLE Females'!$A$3:$F$58,6,FALSE)</f>
        <v>63.59</v>
      </c>
      <c r="H20" s="320">
        <f>SUM(G20-D20)/D20</f>
        <v>3.1461381154637604E-4</v>
      </c>
      <c r="I20" s="299">
        <f>G20-D20</f>
        <v>2.0000000000003126E-2</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hO4llRoHoumwkBXY96HNTcahKn2vs8bW57AlUJOqaapLh/V/ta1U00UplfawqOGSpTzu70C6LOfNzAjtIH4gBQ==" saltValue="3Yu636iLmyrPUgZzpr8n4g==" spinCount="100000" sheet="1" objects="1" scenarios="1"/>
  <autoFilter ref="B6:K6" xr:uid="{00000000-0009-0000-0000-00000D000000}"/>
  <mergeCells count="4">
    <mergeCell ref="J4:K4"/>
    <mergeCell ref="H5:I5"/>
    <mergeCell ref="J5:K5"/>
    <mergeCell ref="F2:G2"/>
  </mergeCells>
  <dataValidations count="1">
    <dataValidation type="list" allowBlank="1" showInputMessage="1" showErrorMessage="1" sqref="C17" xr:uid="{00000000-0002-0000-0D00-000000000000}">
      <formula1>IF(B17="LGBF Family Group 1",LGBF_5,IF(B17="LGBF Family Group 3",LGBF_7,IF(B17="LGBF Family Group 4",LGBF_8,LGBF_6)))</formula1>
    </dataValidation>
  </dataValidations>
  <hyperlinks>
    <hyperlink ref="C3" r:id="rId1" xr:uid="{00000000-0004-0000-0D00-000000000000}"/>
    <hyperlink ref="F2:G2" location="'Index RAG'!A1" display="Return to Index RAG" xr:uid="{00000000-0004-0000-0D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Lookups!$L$8:$O$8</xm:f>
          </x14:formula1>
          <xm:sqref>B17</xm:sqref>
        </x14:dataValidation>
        <x14:dataValidation type="list" allowBlank="1" showInputMessage="1" showErrorMessage="1" xr:uid="{00000000-0002-0000-0D00-000002000000}">
          <x14:formula1>
            <xm:f>Lookups!$B$3:$B$7</xm:f>
          </x14:formula1>
          <xm:sqref>J5:K5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168</v>
      </c>
      <c r="F2" s="595" t="s">
        <v>507</v>
      </c>
      <c r="G2" s="596"/>
    </row>
    <row r="3" spans="2:12" ht="13">
      <c r="B3" s="286" t="s">
        <v>49</v>
      </c>
      <c r="C3" s="288" t="s">
        <v>167</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t="s">
        <v>157</v>
      </c>
      <c r="E6" s="294" t="s">
        <v>156</v>
      </c>
      <c r="F6" s="294" t="s">
        <v>155</v>
      </c>
      <c r="G6" s="294" t="s">
        <v>610</v>
      </c>
      <c r="H6" s="295" t="s">
        <v>53</v>
      </c>
      <c r="I6" s="295" t="s">
        <v>54</v>
      </c>
      <c r="J6" s="295" t="s">
        <v>79</v>
      </c>
      <c r="K6" s="295" t="s">
        <v>57</v>
      </c>
    </row>
    <row r="7" spans="2:12" ht="19.5" customHeight="1">
      <c r="B7" s="296" t="s">
        <v>249</v>
      </c>
      <c r="C7" s="296" t="s">
        <v>22</v>
      </c>
      <c r="D7" s="298">
        <f>VLOOKUP($C7,'Raw - HLE Males'!$A$3:$F$38,3,FALSE)</f>
        <v>68.92</v>
      </c>
      <c r="E7" s="298">
        <f>VLOOKUP($C7,'Raw - HLE Males'!$A$3:$F$38,4,FALSE)</f>
        <v>69.69</v>
      </c>
      <c r="F7" s="298">
        <f>VLOOKUP($C7,'Raw - HLE Males'!$A$3:$F$38,5,FALSE)</f>
        <v>69.81</v>
      </c>
      <c r="G7" s="298">
        <f>VLOOKUP($C7,'Raw - HLE Males'!$A$3:$F$38,6,FALSE)</f>
        <v>66.72</v>
      </c>
      <c r="H7" s="320">
        <f>SUM(G7-D7)/D7</f>
        <v>-3.1921067904817219E-2</v>
      </c>
      <c r="I7" s="321">
        <f>G7-D7</f>
        <v>-2.2000000000000028</v>
      </c>
      <c r="J7" s="322">
        <f>IF(IF($J$5="LGBF FAMILY GROUP",SUM(G$17-G7)/G7,IF($J$5="Glasgow City Region",SUM(G$18-G7)/G7,IF($J$5="Scotland",SUM(G$19-G7)/G7,IF($J$5="United Kingdom",SUM(G$20-G7)/G7,SUM(G$16-G7)/G7))))&lt;0,"",IF($J$5="LGBF FAMILY GROUP",SUM(G$17-G7)/G7,IF($J$5="Glasgow City Region",SUM(G$18-G7)/G7,IF($J$5="Scotland",SUM(G$19-G7)/G7,IF($J$5="United Kingdom",SUM(G$20-G7)/G7,SUM(G$16-G7)/G7)))))</f>
        <v>6.7745803357314088E-2</v>
      </c>
      <c r="K7" s="301">
        <f>IF(J7="","",IF($J$5="LGBF FAMILY GROUP",SUM(G$17-G7),IF($J$5="Glasgow City Region",SUM(G$18-G7),IF($J$5="Scotland",SUM(G$19-G7),IF($J$5="United Kingdom",SUM(G$20-G7),SUM(G$16-G7))))))</f>
        <v>4.519999999999996</v>
      </c>
    </row>
    <row r="8" spans="2:12" ht="19.5" customHeight="1">
      <c r="B8" s="296" t="s">
        <v>249</v>
      </c>
      <c r="C8" s="296" t="s">
        <v>24</v>
      </c>
      <c r="D8" s="298">
        <f>VLOOKUP($C8,'Raw - HLE Males'!$A$3:$F$38,3,FALSE)</f>
        <v>66.48</v>
      </c>
      <c r="E8" s="298">
        <f>VLOOKUP($C8,'Raw - HLE Males'!$A$3:$F$38,4,FALSE)</f>
        <v>68.77</v>
      </c>
      <c r="F8" s="298">
        <f>VLOOKUP($C8,'Raw - HLE Males'!$A$3:$F$38,5,FALSE)</f>
        <v>68.28</v>
      </c>
      <c r="G8" s="298">
        <f>VLOOKUP($C8,'Raw - HLE Males'!$A$3:$F$38,6,FALSE)</f>
        <v>68.650000000000006</v>
      </c>
      <c r="H8" s="320">
        <f t="shared" ref="H8:H14" si="0">SUM(G8-D8)/D8</f>
        <v>3.2641395908543945E-2</v>
      </c>
      <c r="I8" s="321">
        <f t="shared" ref="I8:I14" si="1">G8-D8</f>
        <v>2.1700000000000017</v>
      </c>
      <c r="J8" s="322">
        <f t="shared" ref="J8:J14" si="2">IF(IF($J$5="LGBF FAMILY GROUP",SUM(G$17-G8)/G8,IF($J$5="Glasgow City Region",SUM(G$18-G8)/G8,IF($J$5="Scotland",SUM(G$19-G8)/G8,IF($J$5="United Kingdom",SUM(G$20-G8)/G8,SUM(G$16-G8)/G8))))&lt;0,"",IF($J$5="LGBF FAMILY GROUP",SUM(G$17-G8)/G8,IF($J$5="Glasgow City Region",SUM(G$18-G8)/G8,IF($J$5="Scotland",SUM(G$19-G8)/G8,IF($J$5="United Kingdom",SUM(G$20-G8)/G8,SUM(G$16-G8)/G8)))))</f>
        <v>3.7727603787326862E-2</v>
      </c>
      <c r="K8" s="301">
        <f t="shared" ref="K8:K14" si="3">IF(J8="","",IF($J$5="LGBF FAMILY GROUP",SUM(G$17-G8),IF($J$5="Glasgow City Region",SUM(G$18-G8),IF($J$5="Scotland",SUM(G$19-G8),IF($J$5="United Kingdom",SUM(G$20-G8),SUM(G$16-G8))))))</f>
        <v>2.5899999999999892</v>
      </c>
    </row>
    <row r="9" spans="2:12" ht="19.5" customHeight="1">
      <c r="B9" s="296" t="s">
        <v>249</v>
      </c>
      <c r="C9" s="296" t="s">
        <v>27</v>
      </c>
      <c r="D9" s="298">
        <f>VLOOKUP($C9,'Raw - HLE Males'!$A$3:$F$38,3,FALSE)</f>
        <v>57.22</v>
      </c>
      <c r="E9" s="298">
        <f>VLOOKUP($C9,'Raw - HLE Males'!$A$3:$F$38,4,FALSE)</f>
        <v>56.08</v>
      </c>
      <c r="F9" s="298">
        <f>VLOOKUP($C9,'Raw - HLE Males'!$A$3:$F$38,5,FALSE)</f>
        <v>54.59</v>
      </c>
      <c r="G9" s="298">
        <f>VLOOKUP($C9,'Raw - HLE Males'!$A$3:$F$38,6,FALSE)</f>
        <v>56.01</v>
      </c>
      <c r="H9" s="320">
        <f>SUM(G9-D9)/D9</f>
        <v>-2.1146452289409312E-2</v>
      </c>
      <c r="I9" s="321">
        <f t="shared" si="1"/>
        <v>-1.2100000000000009</v>
      </c>
      <c r="J9" s="322">
        <f t="shared" si="2"/>
        <v>0.27191572933404745</v>
      </c>
      <c r="K9" s="301">
        <f t="shared" si="3"/>
        <v>15.229999999999997</v>
      </c>
    </row>
    <row r="10" spans="2:12" ht="19.5" customHeight="1">
      <c r="B10" s="296" t="s">
        <v>249</v>
      </c>
      <c r="C10" s="296" t="s">
        <v>29</v>
      </c>
      <c r="D10" s="298">
        <f>VLOOKUP($C10,'Raw - HLE Males'!$A$3:$F$38,3,FALSE)</f>
        <v>60.47</v>
      </c>
      <c r="E10" s="298">
        <f>VLOOKUP($C10,'Raw - HLE Males'!$A$3:$F$38,4,FALSE)</f>
        <v>59.58</v>
      </c>
      <c r="F10" s="298">
        <f>VLOOKUP($C10,'Raw - HLE Males'!$A$3:$F$38,5,FALSE)</f>
        <v>58.35</v>
      </c>
      <c r="G10" s="298">
        <f>VLOOKUP($C10,'Raw - HLE Males'!$A$3:$F$38,6,FALSE)</f>
        <v>54.36</v>
      </c>
      <c r="H10" s="320">
        <f t="shared" si="0"/>
        <v>-0.10104183892839423</v>
      </c>
      <c r="I10" s="321">
        <f t="shared" si="1"/>
        <v>-6.1099999999999994</v>
      </c>
      <c r="J10" s="322">
        <f t="shared" si="2"/>
        <v>0.31052244297277404</v>
      </c>
      <c r="K10" s="301">
        <f t="shared" si="3"/>
        <v>16.879999999999995</v>
      </c>
    </row>
    <row r="11" spans="2:12" ht="19.5" customHeight="1">
      <c r="B11" s="296" t="s">
        <v>249</v>
      </c>
      <c r="C11" s="296" t="s">
        <v>34</v>
      </c>
      <c r="D11" s="298">
        <f>VLOOKUP($C11,'Raw - HLE Males'!$A$3:$F$38,3,FALSE)</f>
        <v>58.12</v>
      </c>
      <c r="E11" s="298">
        <f>VLOOKUP($C11,'Raw - HLE Males'!$A$3:$F$38,4,FALSE)</f>
        <v>57.96</v>
      </c>
      <c r="F11" s="298">
        <f>VLOOKUP($C11,'Raw - HLE Males'!$A$3:$F$38,5,FALSE)</f>
        <v>58.67</v>
      </c>
      <c r="G11" s="298">
        <f>VLOOKUP($C11,'Raw - HLE Males'!$A$3:$F$38,6,FALSE)</f>
        <v>56.56</v>
      </c>
      <c r="H11" s="320">
        <f t="shared" si="0"/>
        <v>-2.6841018582243553E-2</v>
      </c>
      <c r="I11" s="321">
        <f t="shared" si="1"/>
        <v>-1.5599999999999952</v>
      </c>
      <c r="J11" s="322">
        <f t="shared" si="2"/>
        <v>0.25954738330975941</v>
      </c>
      <c r="K11" s="301">
        <f t="shared" si="3"/>
        <v>14.679999999999993</v>
      </c>
    </row>
    <row r="12" spans="2:12" ht="19.5" customHeight="1">
      <c r="B12" s="296" t="s">
        <v>249</v>
      </c>
      <c r="C12" s="296" t="s">
        <v>37</v>
      </c>
      <c r="D12" s="298">
        <f>VLOOKUP($C12,'Raw - HLE Males'!$A$3:$F$38,3,FALSE)</f>
        <v>60.95</v>
      </c>
      <c r="E12" s="298">
        <f>VLOOKUP($C12,'Raw - HLE Males'!$A$3:$F$38,4,FALSE)</f>
        <v>60.17</v>
      </c>
      <c r="F12" s="298">
        <f>VLOOKUP($C12,'Raw - HLE Males'!$A$3:$F$38,5,FALSE)</f>
        <v>60.74</v>
      </c>
      <c r="G12" s="298">
        <f>VLOOKUP($C12,'Raw - HLE Males'!$A$3:$F$38,6,FALSE)</f>
        <v>60.58</v>
      </c>
      <c r="H12" s="320">
        <f t="shared" si="0"/>
        <v>-6.0705496308450296E-3</v>
      </c>
      <c r="I12" s="321">
        <f t="shared" si="1"/>
        <v>-0.37000000000000455</v>
      </c>
      <c r="J12" s="322">
        <f t="shared" si="2"/>
        <v>0.17596566523605145</v>
      </c>
      <c r="K12" s="301">
        <f t="shared" si="3"/>
        <v>10.659999999999997</v>
      </c>
    </row>
    <row r="13" spans="2:12" ht="19.5" customHeight="1">
      <c r="B13" s="296" t="s">
        <v>249</v>
      </c>
      <c r="C13" s="296" t="s">
        <v>41</v>
      </c>
      <c r="D13" s="298">
        <f>VLOOKUP($C13,'Raw - HLE Males'!$A$3:$F$38,3,FALSE)</f>
        <v>60.76</v>
      </c>
      <c r="E13" s="298">
        <f>VLOOKUP($C13,'Raw - HLE Males'!$A$3:$F$38,4,FALSE)</f>
        <v>59.27</v>
      </c>
      <c r="F13" s="298">
        <f>VLOOKUP($C13,'Raw - HLE Males'!$A$3:$F$38,5,FALSE)</f>
        <v>57.91</v>
      </c>
      <c r="G13" s="298">
        <f>VLOOKUP($C13,'Raw - HLE Males'!$A$3:$F$38,6,FALSE)</f>
        <v>59.52</v>
      </c>
      <c r="H13" s="320">
        <f t="shared" si="0"/>
        <v>-2.0408163265306038E-2</v>
      </c>
      <c r="I13" s="321">
        <f t="shared" si="1"/>
        <v>-1.2399999999999949</v>
      </c>
      <c r="J13" s="322">
        <f t="shared" si="2"/>
        <v>0.19690860215053749</v>
      </c>
      <c r="K13" s="301">
        <f t="shared" si="3"/>
        <v>11.719999999999992</v>
      </c>
    </row>
    <row r="14" spans="2:12" ht="19.5" customHeight="1">
      <c r="B14" s="296" t="s">
        <v>249</v>
      </c>
      <c r="C14" s="296" t="s">
        <v>43</v>
      </c>
      <c r="D14" s="298">
        <f>VLOOKUP($C14,'Raw - HLE Males'!$A$3:$F$38,3,FALSE)</f>
        <v>58.18</v>
      </c>
      <c r="E14" s="298">
        <f>VLOOKUP($C14,'Raw - HLE Males'!$A$3:$F$38,4,FALSE)</f>
        <v>58.35</v>
      </c>
      <c r="F14" s="298">
        <f>VLOOKUP($C14,'Raw - HLE Males'!$A$3:$F$38,5,FALSE)</f>
        <v>59.13</v>
      </c>
      <c r="G14" s="298">
        <f>VLOOKUP($C14,'Raw - HLE Males'!$A$3:$F$38,6,FALSE)</f>
        <v>58.06</v>
      </c>
      <c r="H14" s="320">
        <f t="shared" si="0"/>
        <v>-2.0625644551391792E-3</v>
      </c>
      <c r="I14" s="321">
        <f t="shared" si="1"/>
        <v>-0.11999999999999744</v>
      </c>
      <c r="J14" s="322">
        <f t="shared" si="2"/>
        <v>0.22700654495349626</v>
      </c>
      <c r="K14" s="301">
        <f t="shared" si="3"/>
        <v>13.179999999999993</v>
      </c>
    </row>
    <row r="15" spans="2:12" ht="19.5" customHeight="1">
      <c r="B15" s="303"/>
      <c r="C15" s="303"/>
      <c r="D15" s="304"/>
      <c r="E15" s="304"/>
      <c r="F15" s="304"/>
      <c r="G15" s="304"/>
      <c r="H15" s="306"/>
      <c r="I15" s="306"/>
      <c r="J15" s="306"/>
      <c r="K15" s="306"/>
      <c r="L15" s="306"/>
    </row>
    <row r="16" spans="2:12" ht="19.5" customHeight="1">
      <c r="B16" s="307" t="s">
        <v>51</v>
      </c>
      <c r="C16" s="296" t="str">
        <f>INDEX('Raw - HLE Males'!A3:A34,MATCH(MAX('Raw - HLE Males'!F3:F34),'Raw - HLE Males'!F3:F34,0))</f>
        <v>Orkney Islands</v>
      </c>
      <c r="D16" s="298">
        <f>VLOOKUP($C16,'Raw - HLE Males'!$A$3:$F$58,3,FALSE)</f>
        <v>64.62</v>
      </c>
      <c r="E16" s="298">
        <f>VLOOKUP($C16,'Raw - HLE Males'!$A$3:$F$58,4,FALSE)</f>
        <v>66.680000000000007</v>
      </c>
      <c r="F16" s="298">
        <f>VLOOKUP($C16,'Raw - HLE Males'!$A$3:$F$58,5,FALSE)</f>
        <v>69.33</v>
      </c>
      <c r="G16" s="298">
        <f>VLOOKUP($C16,'Raw - HLE Males'!$A$3:$F$58,6,FALSE)</f>
        <v>71.239999999999995</v>
      </c>
      <c r="H16" s="320">
        <f>SUM(G16-D16)/D16</f>
        <v>0.1024450634478488</v>
      </c>
      <c r="I16" s="299">
        <f>G16-D16</f>
        <v>6.6199999999999903</v>
      </c>
      <c r="J16" s="305"/>
    </row>
    <row r="17" spans="2:12" ht="19.5" customHeight="1">
      <c r="B17" s="307" t="s">
        <v>542</v>
      </c>
      <c r="C17" s="308" t="s">
        <v>546</v>
      </c>
      <c r="D17" s="298">
        <f>VLOOKUP($C17,'Raw - HLE Males'!$A$3:$F$58,3,FALSE)</f>
        <v>61.08</v>
      </c>
      <c r="E17" s="298">
        <f>VLOOKUP($C17,'Raw - HLE Males'!$A$3:$F$58,4,FALSE)</f>
        <v>60.875</v>
      </c>
      <c r="F17" s="298">
        <f>VLOOKUP($C17,'Raw - HLE Males'!$A$3:$F$58,5,FALSE)</f>
        <v>61.038750000000007</v>
      </c>
      <c r="G17" s="298">
        <f>VLOOKUP($C17,'Raw - HLE Males'!$A$3:$F$58,6,FALSE)</f>
        <v>59.59375</v>
      </c>
      <c r="H17" s="320">
        <f>SUM(G17-D17)/D17</f>
        <v>-2.4332842174197747E-2</v>
      </c>
      <c r="I17" s="299">
        <f>G17-D17</f>
        <v>-1.4862499999999983</v>
      </c>
    </row>
    <row r="18" spans="2:12" ht="19.5" customHeight="1">
      <c r="B18" s="307" t="s">
        <v>250</v>
      </c>
      <c r="C18" s="296" t="s">
        <v>47</v>
      </c>
      <c r="D18" s="298">
        <f>VLOOKUP($C18,'Raw - HLE Males'!$A$3:$F$58,3,FALSE)</f>
        <v>61.38750000000001</v>
      </c>
      <c r="E18" s="298">
        <f>VLOOKUP($C18,'Raw - HLE Males'!$A$3:$F$58,4,FALSE)</f>
        <v>61.233750000000001</v>
      </c>
      <c r="F18" s="298">
        <f>VLOOKUP($C18,'Raw - HLE Males'!$A$3:$F$58,5,FALSE)</f>
        <v>60.934999999999995</v>
      </c>
      <c r="G18" s="298">
        <f>VLOOKUP($C18,'Raw - HLE Males'!$A$3:$F$58,6,FALSE)</f>
        <v>60.057500000000005</v>
      </c>
      <c r="H18" s="320">
        <f>SUM(G18-D18)/D18</f>
        <v>-2.1665648544084794E-2</v>
      </c>
      <c r="I18" s="299">
        <f>G18-D18</f>
        <v>-1.3300000000000054</v>
      </c>
      <c r="J18" s="305"/>
    </row>
    <row r="19" spans="2:12" ht="19.5" customHeight="1">
      <c r="B19" s="307" t="s">
        <v>251</v>
      </c>
      <c r="C19" s="296" t="s">
        <v>45</v>
      </c>
      <c r="D19" s="298">
        <f>VLOOKUP($C19,'Raw - HLE Males'!$A$3:$F$58,3,FALSE)</f>
        <v>62.32</v>
      </c>
      <c r="E19" s="298">
        <f>VLOOKUP($C19,'Raw - HLE Males'!$A$3:$F$58,4,FALSE)</f>
        <v>61.88</v>
      </c>
      <c r="F19" s="298">
        <f>VLOOKUP($C19,'Raw - HLE Males'!$A$3:$F$58,5,FALSE)</f>
        <v>61.68</v>
      </c>
      <c r="G19" s="298">
        <f>VLOOKUP($C19,'Raw - HLE Males'!$A$3:$F$58,6,FALSE)</f>
        <v>60.93</v>
      </c>
      <c r="H19" s="320">
        <f>SUM(G19-D19)/D19</f>
        <v>-2.2304236200256747E-2</v>
      </c>
      <c r="I19" s="299">
        <f>G19-D19</f>
        <v>-1.3900000000000006</v>
      </c>
      <c r="J19" s="305"/>
    </row>
    <row r="20" spans="2:12" ht="19.5" customHeight="1">
      <c r="B20" s="307" t="s">
        <v>251</v>
      </c>
      <c r="C20" s="296" t="s">
        <v>46</v>
      </c>
      <c r="D20" s="298">
        <f>VLOOKUP($C20,'Raw - HLE Males'!$A$3:$F$58,3,FALSE)</f>
        <v>63.13</v>
      </c>
      <c r="E20" s="298">
        <f>VLOOKUP($C20,'Raw - HLE Males'!$A$3:$F$58,4,FALSE)</f>
        <v>63.09</v>
      </c>
      <c r="F20" s="298">
        <f>VLOOKUP($C20,'Raw - HLE Males'!$A$3:$F$58,5,FALSE)</f>
        <v>62.9</v>
      </c>
      <c r="G20" s="298">
        <f>VLOOKUP($C20,'Raw - HLE Males'!$A$3:$F$58,6,FALSE)</f>
        <v>62.83</v>
      </c>
      <c r="H20" s="320">
        <f>SUM(G20-D20)/D20</f>
        <v>-4.7520988436560154E-3</v>
      </c>
      <c r="I20" s="299">
        <f>G20-D20</f>
        <v>-0.30000000000000426</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qtoMSIkzV1RWHUvNq0CQXdW+/mLt2CCSDa2tIS5JcDcbly6Szi/YpIDV9hdY3kONdbJVo0KRTOWKM3PvsKcOAQ==" saltValue="h/7l5uzzEFkr2rX4uBNoEA==" spinCount="100000" sheet="1" objects="1" scenarios="1"/>
  <autoFilter ref="B6:K6" xr:uid="{A333715B-7145-436F-A670-A63E443C2D67}"/>
  <mergeCells count="4">
    <mergeCell ref="J4:K4"/>
    <mergeCell ref="H5:I5"/>
    <mergeCell ref="J5:K5"/>
    <mergeCell ref="F2:G2"/>
  </mergeCells>
  <dataValidations count="1">
    <dataValidation type="list" allowBlank="1" showInputMessage="1" showErrorMessage="1" sqref="C17" xr:uid="{E1A8ECF9-5916-4C07-AC5E-3BBCB3EE0C4C}">
      <formula1>IF(B17="LGBF Family Group 1",LGBF_5,IF(B17="LGBF Family Group 3",LGBF_7,IF(B17="LGBF Family Group 4",LGBF_8,LGBF_6)))</formula1>
    </dataValidation>
  </dataValidations>
  <hyperlinks>
    <hyperlink ref="F2:G2" location="'Index RAG'!A1" display="Return to Index RAG" xr:uid="{00000000-0004-0000-0E00-000001000000}"/>
    <hyperlink ref="C3" r:id="rId1" xr:uid="{7EEB7762-BD8E-4B64-93CA-E84ACE13310D}"/>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880DE98-5165-40B1-9155-6394C8069132}">
          <x14:formula1>
            <xm:f>Lookups!$L$8:$O$8</xm:f>
          </x14:formula1>
          <xm:sqref>B17</xm:sqref>
        </x14:dataValidation>
        <x14:dataValidation type="list" allowBlank="1" showInputMessage="1" showErrorMessage="1" xr:uid="{19BAA8FD-B74D-4E88-A053-0CAADF9EFCFA}">
          <x14:formula1>
            <xm:f>Lookups!$B$3:$B$7</xm:f>
          </x14:formula1>
          <xm:sqref>J5:K5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458</v>
      </c>
      <c r="F2" s="595" t="s">
        <v>507</v>
      </c>
      <c r="G2" s="596"/>
    </row>
    <row r="3" spans="2:12" ht="13">
      <c r="B3" s="286" t="s">
        <v>49</v>
      </c>
      <c r="C3" s="288" t="s">
        <v>756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Eco Inactive'!$A:$Q,4,FALSE)</f>
        <v>22.4</v>
      </c>
      <c r="E7" s="297">
        <f>VLOOKUP($C7,'Raw - Eco Inactive'!$A:$Q,8,FALSE)</f>
        <v>24.6</v>
      </c>
      <c r="F7" s="297">
        <f>VLOOKUP($C7,'Raw - Eco Inactive'!$A:$Q,12,FALSE)</f>
        <v>22.1</v>
      </c>
      <c r="G7" s="297">
        <f>VLOOKUP($C7,'Raw - Eco Inactive'!$A:$Q,16,FALSE)</f>
        <v>24.5</v>
      </c>
      <c r="H7" s="318">
        <f>VLOOKUP(C7,'Raw - Eco Inactive'!A:Q,14,FALSE)</f>
        <v>15500</v>
      </c>
      <c r="I7" s="299">
        <f>SUM(G7-D7)</f>
        <v>2.1000000000000014</v>
      </c>
      <c r="J7" s="300">
        <f>SUM(VLOOKUP(C7,'Raw - Eco Inactive'!A:Q,14,FALSE)-VLOOKUP(C7,'Raw - Eco Inactive'!A:Q,2,FALSE))</f>
        <v>1100</v>
      </c>
      <c r="K7" s="301">
        <f t="shared" ref="K7:K14" si="0">IF(IF($K$5="LGBF FAMILY GROUP",SUM(G$17-G7),IF($K$5="Glasgow City Region",SUM(G$18-G7),IF($K$5="Scotland",SUM(G$19-G7),IF($K$5="United Kingdom",SUM(G$20-G7),SUM(G$16-G7)))))&gt;0,"",IF($K$5="LGBF FAMILY GROUP",SUM(G$17-G7),IF($K$5="Glasgow City Region",SUM(G$18-G7),IF($K$5="Scotland",SUM(G$19-G7),IF($K$5="United Kingdom",SUM(G$20-G7),SUM(G$16-G7))))))</f>
        <v>-12.8</v>
      </c>
      <c r="L7" s="302">
        <f>IF(K7="","",IF($K$5="LGBF FAMILY GROUP",SUM(MROUND(SUM(SUM(VLOOKUP(C$17,'Raw - Eco Inactive'!A:Q,16,FALSE)*VLOOKUP(C7,'Raw - Eco Inactive'!A:Q,15,FALSE))/100),100)-MROUND(SUM(SUM(VLOOKUP(C7,'Raw - Eco Inactive'!A:Q,16,FALSE)*VLOOKUP(C7,'Raw - Eco Inactive'!A:Q,15,FALSE))/100),100)),IF($K$5="Glasgow City Region",SUM(MROUND(SUM(SUM(VLOOKUP(C$18,'Raw - Eco Inactive'!A:Q,16,FALSE)*VLOOKUP(C7,'Raw - Eco Inactive'!A:Q,15,FALSE))/100),100)-MROUND(SUM(SUM(VLOOKUP(C7,'Raw - Eco Inactive'!A:Q,16,FALSE)*VLOOKUP(C7,'Raw - Eco Inactive'!A:Q,15,FALSE))/100),100)),IF($K$5="Scotland",SUM(MROUND(SUM(SUM(VLOOKUP(C$19,'Raw - Eco Inactive'!A:Q,16,FALSE)*VLOOKUP(C7,'Raw - Eco Inactive'!A:Q,15,FALSE))/100),100)-MROUND(SUM(SUM(VLOOKUP(C7,'Raw - Eco Inactive'!A:Q,16,FALSE)*VLOOKUP(C7,'Raw - Eco Inactive'!A:Q,15,FALSE))/100),100)),IF($K$5="United Kingdom",SUM(MROUND(SUM(SUM(VLOOKUP(C$20,'Raw - Eco Inactive'!A:Q,16,FALSE)*VLOOKUP(C7,'Raw - Eco Inactive'!A:Q,15,FALSE))/100),100)-MROUND(SUM(SUM(VLOOKUP(C7,'Raw - Eco Inactive'!A:Q,16,FALSE)*VLOOKUP(C7,'Raw - Eco Inactive'!A:Q,15,FALSE))/100),100)),SUM(MROUND(SUM(SUM(VLOOKUP(C$16,'Raw - Eco Inactive'!A:Q,16,FALSE)*VLOOKUP(C7,'Raw - Eco Inactive'!A:Q,15,FALSE))/100),100)-MROUND(SUM(SUM(VLOOKUP(C7,'Raw - Eco Inactive'!A:Q,16,FALSE)*VLOOKUP(C7,'Raw - Eco Inactive'!A:Q,15,FALSE))/100),100)))))))</f>
        <v>-8100</v>
      </c>
    </row>
    <row r="8" spans="2:12" ht="19.5" customHeight="1">
      <c r="B8" s="296" t="s">
        <v>249</v>
      </c>
      <c r="C8" s="296" t="s">
        <v>24</v>
      </c>
      <c r="D8" s="297">
        <f>VLOOKUP($C8,'Raw - Eco Inactive'!$A:$Q,4,FALSE)</f>
        <v>23.3</v>
      </c>
      <c r="E8" s="297">
        <f>VLOOKUP($C8,'Raw - Eco Inactive'!$A:$Q,8,FALSE)</f>
        <v>27.6</v>
      </c>
      <c r="F8" s="297">
        <f>VLOOKUP($C8,'Raw - Eco Inactive'!$A:$Q,12,FALSE)</f>
        <v>20.5</v>
      </c>
      <c r="G8" s="297">
        <f>VLOOKUP($C8,'Raw - Eco Inactive'!$A:$Q,16,FALSE)</f>
        <v>20.399999999999999</v>
      </c>
      <c r="H8" s="318">
        <f>VLOOKUP(C8,'Raw - Eco Inactive'!A:Q,14,FALSE)</f>
        <v>11300</v>
      </c>
      <c r="I8" s="299">
        <f t="shared" ref="I8:I20" si="1">SUM(G8-D8)</f>
        <v>-2.9000000000000021</v>
      </c>
      <c r="J8" s="300">
        <f>SUM(VLOOKUP(C8,'Raw - Eco Inactive'!A:Q,14,FALSE)-VLOOKUP(C8,'Raw - Eco Inactive'!A:Q,2,FALSE))</f>
        <v>-2100</v>
      </c>
      <c r="K8" s="301">
        <f t="shared" si="0"/>
        <v>-8.6999999999999993</v>
      </c>
      <c r="L8" s="302">
        <f>IF(K8="","",IF($K$5="LGBF FAMILY GROUP",SUM(MROUND(SUM(SUM(VLOOKUP(C$17,'Raw - Eco Inactive'!A:Q,16,FALSE)*VLOOKUP(C8,'Raw - Eco Inactive'!A:Q,15,FALSE))/100),100)-MROUND(SUM(SUM(VLOOKUP(C8,'Raw - Eco Inactive'!A:Q,16,FALSE)*VLOOKUP(C8,'Raw - Eco Inactive'!A:Q,15,FALSE))/100),100)),IF($K$5="Glasgow City Region",SUM(MROUND(SUM(SUM(VLOOKUP(C$18,'Raw - Eco Inactive'!A:Q,16,FALSE)*VLOOKUP(C8,'Raw - Eco Inactive'!A:Q,15,FALSE))/100),100)-MROUND(SUM(SUM(VLOOKUP(C8,'Raw - Eco Inactive'!A:Q,16,FALSE)*VLOOKUP(C8,'Raw - Eco Inactive'!A:Q,15,FALSE))/100),100)),IF($K$5="Scotland",SUM(MROUND(SUM(SUM(VLOOKUP(C$19,'Raw - Eco Inactive'!A:Q,16,FALSE)*VLOOKUP(C8,'Raw - Eco Inactive'!A:Q,15,FALSE))/100),100)-MROUND(SUM(SUM(VLOOKUP(C8,'Raw - Eco Inactive'!A:Q,16,FALSE)*VLOOKUP(C8,'Raw - Eco Inactive'!A:Q,15,FALSE))/100),100)),IF($K$5="United Kingdom",SUM(MROUND(SUM(SUM(VLOOKUP(C$20,'Raw - Eco Inactive'!A:Q,16,FALSE)*VLOOKUP(C8,'Raw - Eco Inactive'!A:Q,15,FALSE))/100),100)-MROUND(SUM(SUM(VLOOKUP(C8,'Raw - Eco Inactive'!A:Q,16,FALSE)*VLOOKUP(C8,'Raw - Eco Inactive'!A:Q,15,FALSE))/100),100)),SUM(MROUND(SUM(SUM(VLOOKUP(C$16,'Raw - Eco Inactive'!A:Q,16,FALSE)*VLOOKUP(C8,'Raw - Eco Inactive'!A:Q,15,FALSE))/100),100)-MROUND(SUM(SUM(VLOOKUP(C8,'Raw - Eco Inactive'!A:Q,16,FALSE)*VLOOKUP(C8,'Raw - Eco Inactive'!A:Q,15,FALSE))/100),100)))))))</f>
        <v>-4800</v>
      </c>
    </row>
    <row r="9" spans="2:12" ht="19.5" customHeight="1">
      <c r="B9" s="296" t="s">
        <v>249</v>
      </c>
      <c r="C9" s="296" t="s">
        <v>27</v>
      </c>
      <c r="D9" s="297">
        <f>VLOOKUP($C9,'Raw - Eco Inactive'!$A:$Q,4,FALSE)</f>
        <v>26.9</v>
      </c>
      <c r="E9" s="297">
        <f>VLOOKUP($C9,'Raw - Eco Inactive'!$A:$Q,8,FALSE)</f>
        <v>27.5</v>
      </c>
      <c r="F9" s="297">
        <f>VLOOKUP($C9,'Raw - Eco Inactive'!$A:$Q,12,FALSE)</f>
        <v>25.4</v>
      </c>
      <c r="G9" s="297">
        <f>VLOOKUP($C9,'Raw - Eco Inactive'!$A:$Q,16,FALSE)</f>
        <v>25.6</v>
      </c>
      <c r="H9" s="318">
        <f>VLOOKUP(C9,'Raw - Eco Inactive'!A:Q,14,FALSE)</f>
        <v>111100</v>
      </c>
      <c r="I9" s="299">
        <f t="shared" si="1"/>
        <v>-1.2999999999999972</v>
      </c>
      <c r="J9" s="300">
        <f>SUM(VLOOKUP(C9,'Raw - Eco Inactive'!A:Q,14,FALSE)-VLOOKUP(C9,'Raw - Eco Inactive'!A:Q,2,FALSE))</f>
        <v>-6500</v>
      </c>
      <c r="K9" s="301">
        <f t="shared" si="0"/>
        <v>-13.900000000000002</v>
      </c>
      <c r="L9" s="302">
        <f>IF(K9="","",IF($K$5="LGBF FAMILY GROUP",SUM(MROUND(SUM(SUM(VLOOKUP(C$17,'Raw - Eco Inactive'!A:Q,16,FALSE)*VLOOKUP(C9,'Raw - Eco Inactive'!A:Q,15,FALSE))/100),100)-MROUND(SUM(SUM(VLOOKUP(C9,'Raw - Eco Inactive'!A:Q,16,FALSE)*VLOOKUP(C9,'Raw - Eco Inactive'!A:Q,15,FALSE))/100),100)),IF($K$5="Glasgow City Region",SUM(MROUND(SUM(SUM(VLOOKUP(C$18,'Raw - Eco Inactive'!A:Q,16,FALSE)*VLOOKUP(C9,'Raw - Eco Inactive'!A:Q,15,FALSE))/100),100)-MROUND(SUM(SUM(VLOOKUP(C9,'Raw - Eco Inactive'!A:Q,16,FALSE)*VLOOKUP(C9,'Raw - Eco Inactive'!A:Q,15,FALSE))/100),100)),IF($K$5="Scotland",SUM(MROUND(SUM(SUM(VLOOKUP(C$19,'Raw - Eco Inactive'!A:Q,16,FALSE)*VLOOKUP(C9,'Raw - Eco Inactive'!A:Q,15,FALSE))/100),100)-MROUND(SUM(SUM(VLOOKUP(C9,'Raw - Eco Inactive'!A:Q,16,FALSE)*VLOOKUP(C9,'Raw - Eco Inactive'!A:Q,15,FALSE))/100),100)),IF($K$5="United Kingdom",SUM(MROUND(SUM(SUM(VLOOKUP(C$20,'Raw - Eco Inactive'!A:Q,16,FALSE)*VLOOKUP(C9,'Raw - Eco Inactive'!A:Q,15,FALSE))/100),100)-MROUND(SUM(SUM(VLOOKUP(C9,'Raw - Eco Inactive'!A:Q,16,FALSE)*VLOOKUP(C9,'Raw - Eco Inactive'!A:Q,15,FALSE))/100),100)),SUM(MROUND(SUM(SUM(VLOOKUP(C$16,'Raw - Eco Inactive'!A:Q,16,FALSE)*VLOOKUP(C9,'Raw - Eco Inactive'!A:Q,15,FALSE))/100),100)-MROUND(SUM(SUM(VLOOKUP(C9,'Raw - Eco Inactive'!A:Q,16,FALSE)*VLOOKUP(C9,'Raw - Eco Inactive'!A:Q,15,FALSE))/100),100)))))))</f>
        <v>-60300</v>
      </c>
    </row>
    <row r="10" spans="2:12" ht="19.5" customHeight="1">
      <c r="B10" s="296" t="s">
        <v>249</v>
      </c>
      <c r="C10" s="296" t="s">
        <v>29</v>
      </c>
      <c r="D10" s="297">
        <f>VLOOKUP($C10,'Raw - Eco Inactive'!$A:$Q,4,FALSE)</f>
        <v>28.5</v>
      </c>
      <c r="E10" s="297">
        <f>VLOOKUP($C10,'Raw - Eco Inactive'!$A:$Q,8,FALSE)</f>
        <v>21.5</v>
      </c>
      <c r="F10" s="297">
        <f>VLOOKUP($C10,'Raw - Eco Inactive'!$A:$Q,12,FALSE)</f>
        <v>21.6</v>
      </c>
      <c r="G10" s="297">
        <f>VLOOKUP($C10,'Raw - Eco Inactive'!$A:$Q,16,FALSE)</f>
        <v>27.5</v>
      </c>
      <c r="H10" s="318">
        <f>VLOOKUP(C10,'Raw - Eco Inactive'!A:Q,14,FALSE)</f>
        <v>13000</v>
      </c>
      <c r="I10" s="299">
        <f t="shared" si="1"/>
        <v>-1</v>
      </c>
      <c r="J10" s="300">
        <f>SUM(VLOOKUP(C10,'Raw - Eco Inactive'!A:Q,14,FALSE)-VLOOKUP(C10,'Raw - Eco Inactive'!A:Q,2,FALSE))</f>
        <v>-500</v>
      </c>
      <c r="K10" s="301">
        <f t="shared" si="0"/>
        <v>-15.8</v>
      </c>
      <c r="L10" s="302">
        <f>IF(K10="","",IF($K$5="LGBF FAMILY GROUP",SUM(MROUND(SUM(SUM(VLOOKUP(C$17,'Raw - Eco Inactive'!A:Q,16,FALSE)*VLOOKUP(C10,'Raw - Eco Inactive'!A:Q,15,FALSE))/100),100)-MROUND(SUM(SUM(VLOOKUP(C10,'Raw - Eco Inactive'!A:Q,16,FALSE)*VLOOKUP(C10,'Raw - Eco Inactive'!A:Q,15,FALSE))/100),100)),IF($K$5="Glasgow City Region",SUM(MROUND(SUM(SUM(VLOOKUP(C$18,'Raw - Eco Inactive'!A:Q,16,FALSE)*VLOOKUP(C10,'Raw - Eco Inactive'!A:Q,15,FALSE))/100),100)-MROUND(SUM(SUM(VLOOKUP(C10,'Raw - Eco Inactive'!A:Q,16,FALSE)*VLOOKUP(C10,'Raw - Eco Inactive'!A:Q,15,FALSE))/100),100)),IF($K$5="Scotland",SUM(MROUND(SUM(SUM(VLOOKUP(C$19,'Raw - Eco Inactive'!A:Q,16,FALSE)*VLOOKUP(C10,'Raw - Eco Inactive'!A:Q,15,FALSE))/100),100)-MROUND(SUM(SUM(VLOOKUP(C10,'Raw - Eco Inactive'!A:Q,16,FALSE)*VLOOKUP(C10,'Raw - Eco Inactive'!A:Q,15,FALSE))/100),100)),IF($K$5="United Kingdom",SUM(MROUND(SUM(SUM(VLOOKUP(C$20,'Raw - Eco Inactive'!A:Q,16,FALSE)*VLOOKUP(C10,'Raw - Eco Inactive'!A:Q,15,FALSE))/100),100)-MROUND(SUM(SUM(VLOOKUP(C10,'Raw - Eco Inactive'!A:Q,16,FALSE)*VLOOKUP(C10,'Raw - Eco Inactive'!A:Q,15,FALSE))/100),100)),SUM(MROUND(SUM(SUM(VLOOKUP(C$16,'Raw - Eco Inactive'!A:Q,16,FALSE)*VLOOKUP(C10,'Raw - Eco Inactive'!A:Q,15,FALSE))/100),100)-MROUND(SUM(SUM(VLOOKUP(C10,'Raw - Eco Inactive'!A:Q,16,FALSE)*VLOOKUP(C10,'Raw - Eco Inactive'!A:Q,15,FALSE))/100),100)))))))</f>
        <v>-7500</v>
      </c>
    </row>
    <row r="11" spans="2:12" ht="19.5" customHeight="1">
      <c r="B11" s="296" t="s">
        <v>249</v>
      </c>
      <c r="C11" s="296" t="s">
        <v>34</v>
      </c>
      <c r="D11" s="297">
        <f>VLOOKUP($C11,'Raw - Eco Inactive'!$A:$Q,4,FALSE)</f>
        <v>25.5</v>
      </c>
      <c r="E11" s="297">
        <f>VLOOKUP($C11,'Raw - Eco Inactive'!$A:$Q,8,FALSE)</f>
        <v>28.9</v>
      </c>
      <c r="F11" s="297">
        <f>VLOOKUP($C11,'Raw - Eco Inactive'!$A:$Q,12,FALSE)</f>
        <v>29.9</v>
      </c>
      <c r="G11" s="297">
        <f>VLOOKUP($C11,'Raw - Eco Inactive'!$A:$Q,16,FALSE)</f>
        <v>27.6</v>
      </c>
      <c r="H11" s="318">
        <f>VLOOKUP(C11,'Raw - Eco Inactive'!A:Q,14,FALSE)</f>
        <v>60600</v>
      </c>
      <c r="I11" s="299">
        <f t="shared" si="1"/>
        <v>2.1000000000000014</v>
      </c>
      <c r="J11" s="300">
        <f>SUM(VLOOKUP(C11,'Raw - Eco Inactive'!A:Q,14,FALSE)-VLOOKUP(C11,'Raw - Eco Inactive'!A:Q,2,FALSE))</f>
        <v>5400</v>
      </c>
      <c r="K11" s="301">
        <f t="shared" si="0"/>
        <v>-15.900000000000002</v>
      </c>
      <c r="L11" s="302">
        <f>IF(K11="","",IF($K$5="LGBF FAMILY GROUP",SUM(MROUND(SUM(SUM(VLOOKUP(C$17,'Raw - Eco Inactive'!A:Q,16,FALSE)*VLOOKUP(C11,'Raw - Eco Inactive'!A:Q,15,FALSE))/100),100)-MROUND(SUM(SUM(VLOOKUP(C11,'Raw - Eco Inactive'!A:Q,16,FALSE)*VLOOKUP(C11,'Raw - Eco Inactive'!A:Q,15,FALSE))/100),100)),IF($K$5="Glasgow City Region",SUM(MROUND(SUM(SUM(VLOOKUP(C$18,'Raw - Eco Inactive'!A:Q,16,FALSE)*VLOOKUP(C11,'Raw - Eco Inactive'!A:Q,15,FALSE))/100),100)-MROUND(SUM(SUM(VLOOKUP(C11,'Raw - Eco Inactive'!A:Q,16,FALSE)*VLOOKUP(C11,'Raw - Eco Inactive'!A:Q,15,FALSE))/100),100)),IF($K$5="Scotland",SUM(MROUND(SUM(SUM(VLOOKUP(C$19,'Raw - Eco Inactive'!A:Q,16,FALSE)*VLOOKUP(C11,'Raw - Eco Inactive'!A:Q,15,FALSE))/100),100)-MROUND(SUM(SUM(VLOOKUP(C11,'Raw - Eco Inactive'!A:Q,16,FALSE)*VLOOKUP(C11,'Raw - Eco Inactive'!A:Q,15,FALSE))/100),100)),IF($K$5="United Kingdom",SUM(MROUND(SUM(SUM(VLOOKUP(C$20,'Raw - Eco Inactive'!A:Q,16,FALSE)*VLOOKUP(C11,'Raw - Eco Inactive'!A:Q,15,FALSE))/100),100)-MROUND(SUM(SUM(VLOOKUP(C11,'Raw - Eco Inactive'!A:Q,16,FALSE)*VLOOKUP(C11,'Raw - Eco Inactive'!A:Q,15,FALSE))/100),100)),SUM(MROUND(SUM(SUM(VLOOKUP(C$16,'Raw - Eco Inactive'!A:Q,16,FALSE)*VLOOKUP(C11,'Raw - Eco Inactive'!A:Q,15,FALSE))/100),100)-MROUND(SUM(SUM(VLOOKUP(C11,'Raw - Eco Inactive'!A:Q,16,FALSE)*VLOOKUP(C11,'Raw - Eco Inactive'!A:Q,15,FALSE))/100),100)))))))</f>
        <v>-35000</v>
      </c>
    </row>
    <row r="12" spans="2:12" ht="19.5" customHeight="1">
      <c r="B12" s="296" t="s">
        <v>249</v>
      </c>
      <c r="C12" s="296" t="s">
        <v>37</v>
      </c>
      <c r="D12" s="297">
        <f>VLOOKUP($C12,'Raw - Eco Inactive'!$A:$Q,4,FALSE)</f>
        <v>19.2</v>
      </c>
      <c r="E12" s="297">
        <f>VLOOKUP($C12,'Raw - Eco Inactive'!$A:$Q,8,FALSE)</f>
        <v>21.8</v>
      </c>
      <c r="F12" s="297">
        <f>VLOOKUP($C12,'Raw - Eco Inactive'!$A:$Q,12,FALSE)</f>
        <v>25.9</v>
      </c>
      <c r="G12" s="297">
        <f>VLOOKUP($C12,'Raw - Eco Inactive'!$A:$Q,16,FALSE)</f>
        <v>22.4</v>
      </c>
      <c r="H12" s="318">
        <f>VLOOKUP(C12,'Raw - Eco Inactive'!A:Q,14,FALSE)</f>
        <v>25100</v>
      </c>
      <c r="I12" s="299">
        <f t="shared" si="1"/>
        <v>3.1999999999999993</v>
      </c>
      <c r="J12" s="300">
        <f>SUM(VLOOKUP(C12,'Raw - Eco Inactive'!A:Q,14,FALSE)-VLOOKUP(C12,'Raw - Eco Inactive'!A:Q,2,FALSE))</f>
        <v>3400</v>
      </c>
      <c r="K12" s="301">
        <f t="shared" si="0"/>
        <v>-10.7</v>
      </c>
      <c r="L12" s="302">
        <f>IF(K12="","",IF($K$5="LGBF FAMILY GROUP",SUM(MROUND(SUM(SUM(VLOOKUP(C$17,'Raw - Eco Inactive'!A:Q,16,FALSE)*VLOOKUP(C12,'Raw - Eco Inactive'!A:Q,15,FALSE))/100),100)-MROUND(SUM(SUM(VLOOKUP(C12,'Raw - Eco Inactive'!A:Q,16,FALSE)*VLOOKUP(C12,'Raw - Eco Inactive'!A:Q,15,FALSE))/100),100)),IF($K$5="Glasgow City Region",SUM(MROUND(SUM(SUM(VLOOKUP(C$18,'Raw - Eco Inactive'!A:Q,16,FALSE)*VLOOKUP(C12,'Raw - Eco Inactive'!A:Q,15,FALSE))/100),100)-MROUND(SUM(SUM(VLOOKUP(C12,'Raw - Eco Inactive'!A:Q,16,FALSE)*VLOOKUP(C12,'Raw - Eco Inactive'!A:Q,15,FALSE))/100),100)),IF($K$5="Scotland",SUM(MROUND(SUM(SUM(VLOOKUP(C$19,'Raw - Eco Inactive'!A:Q,16,FALSE)*VLOOKUP(C12,'Raw - Eco Inactive'!A:Q,15,FALSE))/100),100)-MROUND(SUM(SUM(VLOOKUP(C12,'Raw - Eco Inactive'!A:Q,16,FALSE)*VLOOKUP(C12,'Raw - Eco Inactive'!A:Q,15,FALSE))/100),100)),IF($K$5="United Kingdom",SUM(MROUND(SUM(SUM(VLOOKUP(C$20,'Raw - Eco Inactive'!A:Q,16,FALSE)*VLOOKUP(C12,'Raw - Eco Inactive'!A:Q,15,FALSE))/100),100)-MROUND(SUM(SUM(VLOOKUP(C12,'Raw - Eco Inactive'!A:Q,16,FALSE)*VLOOKUP(C12,'Raw - Eco Inactive'!A:Q,15,FALSE))/100),100)),SUM(MROUND(SUM(SUM(VLOOKUP(C$16,'Raw - Eco Inactive'!A:Q,16,FALSE)*VLOOKUP(C12,'Raw - Eco Inactive'!A:Q,15,FALSE))/100),100)-MROUND(SUM(SUM(VLOOKUP(C12,'Raw - Eco Inactive'!A:Q,16,FALSE)*VLOOKUP(C12,'Raw - Eco Inactive'!A:Q,15,FALSE))/100),100)))))))</f>
        <v>-12000</v>
      </c>
    </row>
    <row r="13" spans="2:12" ht="19.5" customHeight="1">
      <c r="B13" s="296" t="s">
        <v>249</v>
      </c>
      <c r="C13" s="296" t="s">
        <v>41</v>
      </c>
      <c r="D13" s="297">
        <f>VLOOKUP($C13,'Raw - Eco Inactive'!$A:$Q,4,FALSE)</f>
        <v>20.100000000000001</v>
      </c>
      <c r="E13" s="297">
        <f>VLOOKUP($C13,'Raw - Eco Inactive'!$A:$Q,8,FALSE)</f>
        <v>19.399999999999999</v>
      </c>
      <c r="F13" s="297">
        <f>VLOOKUP($C13,'Raw - Eco Inactive'!$A:$Q,12,FALSE)</f>
        <v>17.600000000000001</v>
      </c>
      <c r="G13" s="297">
        <f>VLOOKUP($C13,'Raw - Eco Inactive'!$A:$Q,16,FALSE)</f>
        <v>21.2</v>
      </c>
      <c r="H13" s="318">
        <f>VLOOKUP(C13,'Raw - Eco Inactive'!A:Q,14,FALSE)</f>
        <v>42300</v>
      </c>
      <c r="I13" s="299">
        <f t="shared" si="1"/>
        <v>1.0999999999999979</v>
      </c>
      <c r="J13" s="300">
        <f>SUM(VLOOKUP(C13,'Raw - Eco Inactive'!A:Q,14,FALSE)-VLOOKUP(C13,'Raw - Eco Inactive'!A:Q,2,FALSE))</f>
        <v>2700</v>
      </c>
      <c r="K13" s="301">
        <f t="shared" si="0"/>
        <v>-9.5</v>
      </c>
      <c r="L13" s="302">
        <f>IF(K13="","",IF($K$5="LGBF FAMILY GROUP",SUM(MROUND(SUM(SUM(VLOOKUP(C$17,'Raw - Eco Inactive'!A:Q,16,FALSE)*VLOOKUP(C13,'Raw - Eco Inactive'!A:Q,15,FALSE))/100),100)-MROUND(SUM(SUM(VLOOKUP(C13,'Raw - Eco Inactive'!A:Q,16,FALSE)*VLOOKUP(C13,'Raw - Eco Inactive'!A:Q,15,FALSE))/100),100)),IF($K$5="Glasgow City Region",SUM(MROUND(SUM(SUM(VLOOKUP(C$18,'Raw - Eco Inactive'!A:Q,16,FALSE)*VLOOKUP(C13,'Raw - Eco Inactive'!A:Q,15,FALSE))/100),100)-MROUND(SUM(SUM(VLOOKUP(C13,'Raw - Eco Inactive'!A:Q,16,FALSE)*VLOOKUP(C13,'Raw - Eco Inactive'!A:Q,15,FALSE))/100),100)),IF($K$5="Scotland",SUM(MROUND(SUM(SUM(VLOOKUP(C$19,'Raw - Eco Inactive'!A:Q,16,FALSE)*VLOOKUP(C13,'Raw - Eco Inactive'!A:Q,15,FALSE))/100),100)-MROUND(SUM(SUM(VLOOKUP(C13,'Raw - Eco Inactive'!A:Q,16,FALSE)*VLOOKUP(C13,'Raw - Eco Inactive'!A:Q,15,FALSE))/100),100)),IF($K$5="United Kingdom",SUM(MROUND(SUM(SUM(VLOOKUP(C$20,'Raw - Eco Inactive'!A:Q,16,FALSE)*VLOOKUP(C13,'Raw - Eco Inactive'!A:Q,15,FALSE))/100),100)-MROUND(SUM(SUM(VLOOKUP(C13,'Raw - Eco Inactive'!A:Q,16,FALSE)*VLOOKUP(C13,'Raw - Eco Inactive'!A:Q,15,FALSE))/100),100)),SUM(MROUND(SUM(SUM(VLOOKUP(C$16,'Raw - Eco Inactive'!A:Q,16,FALSE)*VLOOKUP(C13,'Raw - Eco Inactive'!A:Q,15,FALSE))/100),100)-MROUND(SUM(SUM(VLOOKUP(C13,'Raw - Eco Inactive'!A:Q,16,FALSE)*VLOOKUP(C13,'Raw - Eco Inactive'!A:Q,15,FALSE))/100),100)))))))</f>
        <v>-19000</v>
      </c>
    </row>
    <row r="14" spans="2:12" ht="19.5" customHeight="1">
      <c r="B14" s="296" t="s">
        <v>249</v>
      </c>
      <c r="C14" s="296" t="s">
        <v>43</v>
      </c>
      <c r="D14" s="297">
        <f>VLOOKUP($C14,'Raw - Eco Inactive'!$A:$Q,4,FALSE)</f>
        <v>23.2</v>
      </c>
      <c r="E14" s="297">
        <f>VLOOKUP($C14,'Raw - Eco Inactive'!$A:$Q,8,FALSE)</f>
        <v>26.4</v>
      </c>
      <c r="F14" s="297">
        <f>VLOOKUP($C14,'Raw - Eco Inactive'!$A:$Q,12,FALSE)</f>
        <v>22</v>
      </c>
      <c r="G14" s="297">
        <f>VLOOKUP($C14,'Raw - Eco Inactive'!$A:$Q,16,FALSE)</f>
        <v>25.9</v>
      </c>
      <c r="H14" s="318">
        <f>VLOOKUP(C14,'Raw - Eco Inactive'!A:Q,14,FALSE)</f>
        <v>14400</v>
      </c>
      <c r="I14" s="299">
        <f t="shared" si="1"/>
        <v>2.6999999999999993</v>
      </c>
      <c r="J14" s="300">
        <f>SUM(VLOOKUP(C14,'Raw - Eco Inactive'!A:Q,14,FALSE)-VLOOKUP(C14,'Raw - Eco Inactive'!A:Q,2,FALSE))</f>
        <v>1500</v>
      </c>
      <c r="K14" s="301">
        <f t="shared" si="0"/>
        <v>-14.2</v>
      </c>
      <c r="L14" s="302">
        <f>IF(K14="","",IF($K$5="LGBF FAMILY GROUP",SUM(MROUND(SUM(SUM(VLOOKUP(C$17,'Raw - Eco Inactive'!A:Q,16,FALSE)*VLOOKUP(C14,'Raw - Eco Inactive'!A:Q,15,FALSE))/100),100)-MROUND(SUM(SUM(VLOOKUP(C14,'Raw - Eco Inactive'!A:Q,16,FALSE)*VLOOKUP(C14,'Raw - Eco Inactive'!A:Q,15,FALSE))/100),100)),IF($K$5="Glasgow City Region",SUM(MROUND(SUM(SUM(VLOOKUP(C$18,'Raw - Eco Inactive'!A:Q,16,FALSE)*VLOOKUP(C14,'Raw - Eco Inactive'!A:Q,15,FALSE))/100),100)-MROUND(SUM(SUM(VLOOKUP(C14,'Raw - Eco Inactive'!A:Q,16,FALSE)*VLOOKUP(C14,'Raw - Eco Inactive'!A:Q,15,FALSE))/100),100)),IF($K$5="Scotland",SUM(MROUND(SUM(SUM(VLOOKUP(C$19,'Raw - Eco Inactive'!A:Q,16,FALSE)*VLOOKUP(C14,'Raw - Eco Inactive'!A:Q,15,FALSE))/100),100)-MROUND(SUM(SUM(VLOOKUP(C14,'Raw - Eco Inactive'!A:Q,16,FALSE)*VLOOKUP(C14,'Raw - Eco Inactive'!A:Q,15,FALSE))/100),100)),IF($K$5="United Kingdom",SUM(MROUND(SUM(SUM(VLOOKUP(C$20,'Raw - Eco Inactive'!A:Q,16,FALSE)*VLOOKUP(C14,'Raw - Eco Inactive'!A:Q,15,FALSE))/100),100)-MROUND(SUM(SUM(VLOOKUP(C14,'Raw - Eco Inactive'!A:Q,16,FALSE)*VLOOKUP(C14,'Raw - Eco Inactive'!A:Q,15,FALSE))/100),100)),SUM(MROUND(SUM(SUM(VLOOKUP(C$16,'Raw - Eco Inactive'!A:Q,16,FALSE)*VLOOKUP(C14,'Raw - Eco Inactive'!A:Q,15,FALSE))/100),100)-MROUND(SUM(SUM(VLOOKUP(C14,'Raw - Eco Inactive'!A:Q,16,FALSE)*VLOOKUP(C14,'Raw - Eco Inactive'!A:Q,15,FALSE))/100),100)))))))</f>
        <v>-7900</v>
      </c>
    </row>
    <row r="15" spans="2:12" ht="19.5" customHeight="1">
      <c r="B15" s="303"/>
      <c r="C15" s="303"/>
      <c r="D15" s="304"/>
      <c r="E15" s="304"/>
      <c r="F15" s="304"/>
      <c r="G15" s="304"/>
      <c r="H15" s="304"/>
      <c r="I15" s="306"/>
      <c r="J15" s="306"/>
      <c r="K15" s="306"/>
      <c r="L15" s="306"/>
    </row>
    <row r="16" spans="2:12" ht="19.5" customHeight="1">
      <c r="B16" s="307" t="s">
        <v>51</v>
      </c>
      <c r="C16" s="296" t="str">
        <f>INDEX('Raw - Eco Inactive'!$A$9:$A$40,MATCH(MIN('Raw - Eco Inactive'!P9:P40),'Raw - Eco Inactive'!P9:P40,0))</f>
        <v>Orkney Islands</v>
      </c>
      <c r="D16" s="297">
        <f>VLOOKUP($C16,'Raw - Eco Inactive'!$A:$Q,4,FALSE)</f>
        <v>13.1</v>
      </c>
      <c r="E16" s="297">
        <f>VLOOKUP($C16,'Raw - Eco Inactive'!$A:$Q,8,FALSE)</f>
        <v>19.399999999999999</v>
      </c>
      <c r="F16" s="297">
        <f>VLOOKUP($C16,'Raw - Eco Inactive'!$A:$Q,12,FALSE)</f>
        <v>12.5</v>
      </c>
      <c r="G16" s="297">
        <f>VLOOKUP($C16,'Raw - Eco Inactive'!$A:$Q,16,FALSE)</f>
        <v>11.7</v>
      </c>
      <c r="H16" s="318">
        <f>VLOOKUP(C16,'Raw - Eco Inactive'!A:Q,14,FALSE)</f>
        <v>1500</v>
      </c>
      <c r="I16" s="299">
        <f t="shared" si="1"/>
        <v>-1.4000000000000004</v>
      </c>
      <c r="J16" s="300">
        <f>SUM(VLOOKUP(C16,'Raw - Eco Inactive'!A:Q,14,FALSE)-VLOOKUP(C16,'Raw - Eco Inactive'!A:Q,2,FALSE))</f>
        <v>-200</v>
      </c>
    </row>
    <row r="17" spans="2:12" ht="19.5" customHeight="1">
      <c r="B17" s="307" t="s">
        <v>542</v>
      </c>
      <c r="C17" s="308" t="s">
        <v>546</v>
      </c>
      <c r="D17" s="297">
        <f>VLOOKUP($C17,'Raw - Eco Inactive'!$A:$Q,4,FALSE)</f>
        <v>24.302278549278682</v>
      </c>
      <c r="E17" s="297">
        <f>VLOOKUP($C17,'Raw - Eco Inactive'!$A:$Q,8,FALSE)</f>
        <v>24.262961707895627</v>
      </c>
      <c r="F17" s="297">
        <f>VLOOKUP($C17,'Raw - Eco Inactive'!$A:$Q,12,FALSE)</f>
        <v>23.971172627466828</v>
      </c>
      <c r="G17" s="297">
        <f>VLOOKUP($C17,'Raw - Eco Inactive'!$A:$Q,16,FALSE)</f>
        <v>22.874671340929009</v>
      </c>
      <c r="H17" s="318">
        <f>VLOOKUP(C17,'Raw - Eco Inactive'!A:Q,14,FALSE)</f>
        <v>339300</v>
      </c>
      <c r="I17" s="299">
        <f>SUM(G17-D17)</f>
        <v>-1.4276072083496736</v>
      </c>
      <c r="J17" s="300">
        <f>SUM(VLOOKUP(C17,'Raw - Eco Inactive'!A:Q,14,FALSE)-VLOOKUP(C17,'Raw - Eco Inactive'!A:Q,2,FALSE))</f>
        <v>-21200</v>
      </c>
    </row>
    <row r="18" spans="2:12" ht="19.5" customHeight="1">
      <c r="B18" s="307" t="s">
        <v>250</v>
      </c>
      <c r="C18" s="296" t="s">
        <v>47</v>
      </c>
      <c r="D18" s="297">
        <f>VLOOKUP($C18,'Raw - Eco Inactive'!$A:$Q,4,FALSE)</f>
        <v>24.3</v>
      </c>
      <c r="E18" s="297">
        <f>VLOOKUP($C18,'Raw - Eco Inactive'!$A:$Q,8,FALSE)</f>
        <v>25.4</v>
      </c>
      <c r="F18" s="297">
        <f>VLOOKUP($C18,'Raw - Eco Inactive'!$A:$Q,12,FALSE)</f>
        <v>24.3</v>
      </c>
      <c r="G18" s="297">
        <f>VLOOKUP($C18,'Raw - Eco Inactive'!$A:$Q,16,FALSE)</f>
        <v>24.7</v>
      </c>
      <c r="H18" s="318">
        <f>VLOOKUP(C18,'Raw - Eco Inactive'!A:Q,14,FALSE)</f>
        <v>293300</v>
      </c>
      <c r="I18" s="299">
        <f t="shared" si="1"/>
        <v>0.39999999999999858</v>
      </c>
      <c r="J18" s="300">
        <f>SUM(VLOOKUP(C18,'Raw - Eco Inactive'!A:Q,14,FALSE)-VLOOKUP(C18,'Raw - Eco Inactive'!A:Q,2,FALSE))</f>
        <v>5000</v>
      </c>
    </row>
    <row r="19" spans="2:12" ht="19.5" customHeight="1">
      <c r="B19" s="307" t="s">
        <v>251</v>
      </c>
      <c r="C19" s="296" t="s">
        <v>45</v>
      </c>
      <c r="D19" s="297">
        <f>VLOOKUP($C19,'Raw - Eco Inactive'!$A:$Q,4,FALSE)</f>
        <v>23.2</v>
      </c>
      <c r="E19" s="297">
        <f>VLOOKUP($C19,'Raw - Eco Inactive'!$A:$Q,8,FALSE)</f>
        <v>23.8</v>
      </c>
      <c r="F19" s="297">
        <f>VLOOKUP($C19,'Raw - Eco Inactive'!$A:$Q,12,FALSE)</f>
        <v>22.9</v>
      </c>
      <c r="G19" s="297">
        <f>VLOOKUP($C19,'Raw - Eco Inactive'!$A:$Q,16,FALSE)</f>
        <v>22.5</v>
      </c>
      <c r="H19" s="318">
        <f>VLOOKUP(C19,'Raw - Eco Inactive'!A:Q,14,FALSE)</f>
        <v>777000</v>
      </c>
      <c r="I19" s="299">
        <f t="shared" si="1"/>
        <v>-0.69999999999999929</v>
      </c>
      <c r="J19" s="300">
        <f>SUM(VLOOKUP(C19,'Raw - Eco Inactive'!A:Q,14,FALSE)-VLOOKUP(C19,'Raw - Eco Inactive'!A:Q,2,FALSE))</f>
        <v>-20300</v>
      </c>
    </row>
    <row r="20" spans="2:12" ht="19.5" customHeight="1">
      <c r="B20" s="307" t="s">
        <v>251</v>
      </c>
      <c r="C20" s="296" t="s">
        <v>46</v>
      </c>
      <c r="D20" s="297">
        <f>VLOOKUP($C20,'Raw - Eco Inactive'!$A:$Q,4,FALSE)</f>
        <v>21.2</v>
      </c>
      <c r="E20" s="297">
        <f>VLOOKUP($C20,'Raw - Eco Inactive'!$A:$Q,8,FALSE)</f>
        <v>21.7</v>
      </c>
      <c r="F20" s="297">
        <f>VLOOKUP($C20,'Raw - Eco Inactive'!$A:$Q,12,FALSE)</f>
        <v>21.7</v>
      </c>
      <c r="G20" s="297">
        <f>VLOOKUP($C20,'Raw - Eco Inactive'!$A:$Q,16,FALSE)</f>
        <v>21.3</v>
      </c>
      <c r="H20" s="318">
        <f>VLOOKUP(C20,'Raw - Eco Inactive'!A:Q,14,FALSE)</f>
        <v>8887200</v>
      </c>
      <c r="I20" s="299">
        <f t="shared" si="1"/>
        <v>0.10000000000000142</v>
      </c>
      <c r="J20" s="300">
        <f>SUM(VLOOKUP(C20,'Raw - Eco Inactive'!A:Q,14,FALSE)-VLOOKUP(C20,'Raw - Eco Inactive'!A:Q,2,FALSE))</f>
        <v>130700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mtPh8e3PV79Nsq3213KZG3zjcF6jgBfPZfJkdBqRHJM31NOFenaYywbaUV+wZBfRMdKDdH8HhjQz/cnS0oChOg==" saltValue="ulz4cw7BwaEVH99fa7VYPw==" spinCount="100000" sheet="1" objects="1" scenarios="1"/>
  <autoFilter ref="C6:L14" xr:uid="{00000000-0009-0000-0000-00000F000000}"/>
  <mergeCells count="4">
    <mergeCell ref="K4:L4"/>
    <mergeCell ref="I5:J5"/>
    <mergeCell ref="K5:L5"/>
    <mergeCell ref="F2:G2"/>
  </mergeCells>
  <dataValidations count="1">
    <dataValidation type="list" allowBlank="1" showInputMessage="1" showErrorMessage="1" sqref="C17" xr:uid="{00000000-0002-0000-0F00-000000000000}">
      <formula1>IF(B17="LGBF Family Group 1",LGBF_5,IF(B17="LGBF Family Group 3",LGBF_7,IF(B17="LGBF Family Group 4",LGBF_8,LGBF_6)))</formula1>
    </dataValidation>
  </dataValidations>
  <hyperlinks>
    <hyperlink ref="F2:G2" location="'Index RAG'!A1" display="Return to Index RAG" xr:uid="{00000000-0004-0000-0F00-000001000000}"/>
    <hyperlink ref="C3" r:id="rId1" xr:uid="{451D05E3-88A1-44E0-9B04-8F36F25C6C9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Lookups!$B$3:$B$7</xm:f>
          </x14:formula1>
          <xm:sqref>K5:L5</xm:sqref>
        </x14:dataValidation>
        <x14:dataValidation type="list" allowBlank="1" showInputMessage="1" showErrorMessage="1" xr:uid="{00000000-0002-0000-0F00-000002000000}">
          <x14:formula1>
            <xm:f>Lookups!$L$8:$O$8</xm:f>
          </x14:formula1>
          <xm:sqref>B17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457</v>
      </c>
      <c r="F2" s="595" t="s">
        <v>507</v>
      </c>
      <c r="G2" s="596"/>
    </row>
    <row r="3" spans="2:12" ht="13">
      <c r="B3" s="286" t="s">
        <v>49</v>
      </c>
      <c r="C3" s="288" t="s">
        <v>756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Unemployment'!$A:$Q,4,FALSE)</f>
        <v>2.2999999999999998</v>
      </c>
      <c r="E7" s="297">
        <f>VLOOKUP($C7,'Raw - Unemployment'!$A:$Q,8,FALSE)</f>
        <v>4</v>
      </c>
      <c r="F7" s="297">
        <f>VLOOKUP($C7,'Raw - Unemployment'!$A:$Q,12,FALSE)</f>
        <v>2</v>
      </c>
      <c r="G7" s="297">
        <f>VLOOKUP($C7,'Raw - Unemployment'!$A:$Q,16,FALSE)</f>
        <v>2.7</v>
      </c>
      <c r="H7" s="318">
        <f>VLOOKUP(C7,'Raw - Unemployment'!A:Q,14,FALSE)</f>
        <v>1300</v>
      </c>
      <c r="I7" s="299">
        <f>SUM(G7-D7)</f>
        <v>0.40000000000000036</v>
      </c>
      <c r="J7" s="300">
        <f>SUM(VLOOKUP(C7,'Raw - Unemployment'!A:Q,14,FALSE)-VLOOKUP(C7,'Raw - Unemployment'!A:Q,2,FALSE))</f>
        <v>200</v>
      </c>
      <c r="K7" s="301">
        <f t="shared" ref="K7:K14" si="0">IF(IF($K$5="LGBF FAMILY GROUP",SUM(G$17-G7),IF($K$5="Glasgow City Region",SUM(G$18-G7),IF($K$5="Scotland",SUM(G$19-G7),IF($K$5="United Kingdom",SUM(G$20-G7),SUM(G$16-G7)))))&gt;0,"",IF($K$5="LGBF FAMILY GROUP",SUM(G$17-G7),IF($K$5="Glasgow City Region",SUM(G$18-G7),IF($K$5="Scotland",SUM(G$19-G7),IF($K$5="United Kingdom",SUM(G$20-G7),SUM(G$16-G7))))))</f>
        <v>-1.7000000000000002</v>
      </c>
      <c r="L7" s="302">
        <f>IF(K7="","",IF($K$5="LGBF FAMILY GROUP",SUM(MROUND(SUM(SUM(VLOOKUP(C$17,'Raw - Unemployment'!A:Q,16,FALSE)*VLOOKUP(C7,'Raw - Unemployment'!A:Q,15,FALSE))/100),100)-MROUND(SUM(SUM(VLOOKUP(C7,'Raw - Unemployment'!A:Q,16,FALSE)*VLOOKUP(C7,'Raw - Unemployment'!A:Q,15,FALSE))/100),100)),IF($K$5="Glasgow City Region",SUM(MROUND(SUM(SUM(VLOOKUP(C$18,'Raw - Unemployment'!A:Q,16,FALSE)*VLOOKUP(C7,'Raw - Unemployment'!A:Q,15,FALSE))/100),100)-MROUND(SUM(SUM(VLOOKUP(C7,'Raw - Unemployment'!A:Q,16,FALSE)*VLOOKUP(C7,'Raw - Unemployment'!A:Q,15,FALSE))/100),100)),IF($K$5="Scotland",SUM(MROUND(SUM(SUM(VLOOKUP(C$19,'Raw - Unemployment'!A:Q,16,FALSE)*VLOOKUP(C7,'Raw - Unemployment'!A:Q,15,FALSE))/100),100)-MROUND(SUM(SUM(VLOOKUP(C7,'Raw - Unemployment'!A:Q,16,FALSE)*VLOOKUP(C7,'Raw - Unemployment'!A:Q,15,FALSE))/100),100)),IF($K$5="United Kingdom",SUM(MROUND(SUM(SUM(VLOOKUP(C$20,'Raw - Unemployment'!A:Q,16,FALSE)*VLOOKUP(C7,'Raw - Unemployment'!A:Q,15,FALSE))/100),100)-MROUND(SUM(SUM(VLOOKUP(C7,'Raw - Unemployment'!A:Q,16,FALSE)*VLOOKUP(C7,'Raw - Unemployment'!A:Q,15,FALSE))/100),100)),SUM(MROUND(SUM(SUM(VLOOKUP(C$16,'Raw - Unemployment'!A:Q,16,FALSE)*VLOOKUP(C7,'Raw - Unemployment'!A:Q,15,FALSE))/100),100)-MROUND(SUM(SUM(VLOOKUP(C7,'Raw - Unemployment'!A:Q,16,FALSE)*VLOOKUP(C7,'Raw - Unemployment'!A:Q,15,FALSE))/100),100)))))))</f>
        <v>-800</v>
      </c>
    </row>
    <row r="8" spans="2:12" ht="19.5" customHeight="1">
      <c r="B8" s="296" t="s">
        <v>249</v>
      </c>
      <c r="C8" s="296" t="s">
        <v>24</v>
      </c>
      <c r="D8" s="297">
        <f>VLOOKUP($C8,'Raw - Unemployment'!$A:$Q,4,FALSE)</f>
        <v>4</v>
      </c>
      <c r="E8" s="297">
        <f>VLOOKUP($C8,'Raw - Unemployment'!$A:$Q,8,FALSE)</f>
        <v>3.6</v>
      </c>
      <c r="F8" s="297">
        <f>VLOOKUP($C8,'Raw - Unemployment'!$A:$Q,12,FALSE)</f>
        <v>3.3</v>
      </c>
      <c r="G8" s="297">
        <f>VLOOKUP($C8,'Raw - Unemployment'!$A:$Q,16,FALSE)</f>
        <v>2.6</v>
      </c>
      <c r="H8" s="318" t="str">
        <f>VLOOKUP(C8,'Raw - Unemployment'!A:Q,14,FALSE)</f>
        <v>#</v>
      </c>
      <c r="I8" s="299">
        <f t="shared" ref="I8:I20" si="1">SUM(G8-D8)</f>
        <v>-1.4</v>
      </c>
      <c r="J8" s="300" t="e">
        <f>SUM(VLOOKUP(C8,'Raw - Unemployment'!A:Q,14,FALSE)-VLOOKUP(C8,'Raw - Unemployment'!A:Q,2,FALSE))</f>
        <v>#VALUE!</v>
      </c>
      <c r="K8" s="301">
        <f t="shared" si="0"/>
        <v>-1.6</v>
      </c>
      <c r="L8" s="302">
        <f>IF(K8="","",IF($K$5="LGBF FAMILY GROUP",SUM(MROUND(SUM(SUM(VLOOKUP(C$17,'Raw - Unemployment'!A:Q,16,FALSE)*VLOOKUP(C8,'Raw - Unemployment'!A:Q,15,FALSE))/100),100)-MROUND(SUM(SUM(VLOOKUP(C8,'Raw - Unemployment'!A:Q,16,FALSE)*VLOOKUP(C8,'Raw - Unemployment'!A:Q,15,FALSE))/100),100)),IF($K$5="Glasgow City Region",SUM(MROUND(SUM(SUM(VLOOKUP(C$18,'Raw - Unemployment'!A:Q,16,FALSE)*VLOOKUP(C8,'Raw - Unemployment'!A:Q,15,FALSE))/100),100)-MROUND(SUM(SUM(VLOOKUP(C8,'Raw - Unemployment'!A:Q,16,FALSE)*VLOOKUP(C8,'Raw - Unemployment'!A:Q,15,FALSE))/100),100)),IF($K$5="Scotland",SUM(MROUND(SUM(SUM(VLOOKUP(C$19,'Raw - Unemployment'!A:Q,16,FALSE)*VLOOKUP(C8,'Raw - Unemployment'!A:Q,15,FALSE))/100),100)-MROUND(SUM(SUM(VLOOKUP(C8,'Raw - Unemployment'!A:Q,16,FALSE)*VLOOKUP(C8,'Raw - Unemployment'!A:Q,15,FALSE))/100),100)),IF($K$5="United Kingdom",SUM(MROUND(SUM(SUM(VLOOKUP(C$20,'Raw - Unemployment'!A:Q,16,FALSE)*VLOOKUP(C8,'Raw - Unemployment'!A:Q,15,FALSE))/100),100)-MROUND(SUM(SUM(VLOOKUP(C8,'Raw - Unemployment'!A:Q,16,FALSE)*VLOOKUP(C8,'Raw - Unemployment'!A:Q,15,FALSE))/100),100)),SUM(MROUND(SUM(SUM(VLOOKUP(C$16,'Raw - Unemployment'!A:Q,16,FALSE)*VLOOKUP(C8,'Raw - Unemployment'!A:Q,15,FALSE))/100),100)-MROUND(SUM(SUM(VLOOKUP(C8,'Raw - Unemployment'!A:Q,16,FALSE)*VLOOKUP(C8,'Raw - Unemployment'!A:Q,15,FALSE))/100),100)))))))</f>
        <v>-700</v>
      </c>
    </row>
    <row r="9" spans="2:12" ht="19.5" customHeight="1">
      <c r="B9" s="296" t="s">
        <v>249</v>
      </c>
      <c r="C9" s="296" t="s">
        <v>27</v>
      </c>
      <c r="D9" s="297">
        <f>VLOOKUP($C9,'Raw - Unemployment'!$A:$Q,4,FALSE)</f>
        <v>4.5</v>
      </c>
      <c r="E9" s="297">
        <f>VLOOKUP($C9,'Raw - Unemployment'!$A:$Q,8,FALSE)</f>
        <v>3.8</v>
      </c>
      <c r="F9" s="297">
        <f>VLOOKUP($C9,'Raw - Unemployment'!$A:$Q,12,FALSE)</f>
        <v>3.3</v>
      </c>
      <c r="G9" s="297">
        <f>VLOOKUP($C9,'Raw - Unemployment'!$A:$Q,16,FALSE)</f>
        <v>4.3</v>
      </c>
      <c r="H9" s="318">
        <f>VLOOKUP(C9,'Raw - Unemployment'!A:Q,14,FALSE)</f>
        <v>14000</v>
      </c>
      <c r="I9" s="299">
        <f t="shared" si="1"/>
        <v>-0.20000000000000018</v>
      </c>
      <c r="J9" s="300">
        <f>SUM(VLOOKUP(C9,'Raw - Unemployment'!A:Q,14,FALSE)-VLOOKUP(C9,'Raw - Unemployment'!A:Q,2,FALSE))</f>
        <v>-400</v>
      </c>
      <c r="K9" s="301">
        <f t="shared" si="0"/>
        <v>-3.3</v>
      </c>
      <c r="L9" s="302">
        <f>IF(K9="","",IF($K$5="LGBF FAMILY GROUP",SUM(MROUND(SUM(SUM(VLOOKUP(C$17,'Raw - Unemployment'!A:Q,16,FALSE)*VLOOKUP(C9,'Raw - Unemployment'!A:Q,15,FALSE))/100),100)-MROUND(SUM(SUM(VLOOKUP(C9,'Raw - Unemployment'!A:Q,16,FALSE)*VLOOKUP(C9,'Raw - Unemployment'!A:Q,15,FALSE))/100),100)),IF($K$5="Glasgow City Region",SUM(MROUND(SUM(SUM(VLOOKUP(C$18,'Raw - Unemployment'!A:Q,16,FALSE)*VLOOKUP(C9,'Raw - Unemployment'!A:Q,15,FALSE))/100),100)-MROUND(SUM(SUM(VLOOKUP(C9,'Raw - Unemployment'!A:Q,16,FALSE)*VLOOKUP(C9,'Raw - Unemployment'!A:Q,15,FALSE))/100),100)),IF($K$5="Scotland",SUM(MROUND(SUM(SUM(VLOOKUP(C$19,'Raw - Unemployment'!A:Q,16,FALSE)*VLOOKUP(C9,'Raw - Unemployment'!A:Q,15,FALSE))/100),100)-MROUND(SUM(SUM(VLOOKUP(C9,'Raw - Unemployment'!A:Q,16,FALSE)*VLOOKUP(C9,'Raw - Unemployment'!A:Q,15,FALSE))/100),100)),IF($K$5="United Kingdom",SUM(MROUND(SUM(SUM(VLOOKUP(C$20,'Raw - Unemployment'!A:Q,16,FALSE)*VLOOKUP(C9,'Raw - Unemployment'!A:Q,15,FALSE))/100),100)-MROUND(SUM(SUM(VLOOKUP(C9,'Raw - Unemployment'!A:Q,16,FALSE)*VLOOKUP(C9,'Raw - Unemployment'!A:Q,15,FALSE))/100),100)),SUM(MROUND(SUM(SUM(VLOOKUP(C$16,'Raw - Unemployment'!A:Q,16,FALSE)*VLOOKUP(C9,'Raw - Unemployment'!A:Q,15,FALSE))/100),100)-MROUND(SUM(SUM(VLOOKUP(C9,'Raw - Unemployment'!A:Q,16,FALSE)*VLOOKUP(C9,'Raw - Unemployment'!A:Q,15,FALSE))/100),100)))))))</f>
        <v>-10700</v>
      </c>
    </row>
    <row r="10" spans="2:12" ht="19.5" customHeight="1">
      <c r="B10" s="296" t="s">
        <v>249</v>
      </c>
      <c r="C10" s="296" t="s">
        <v>29</v>
      </c>
      <c r="D10" s="297">
        <f>VLOOKUP($C10,'Raw - Unemployment'!$A:$Q,4,FALSE)</f>
        <v>4.7</v>
      </c>
      <c r="E10" s="297">
        <f>VLOOKUP($C10,'Raw - Unemployment'!$A:$Q,8,FALSE)</f>
        <v>4.4000000000000004</v>
      </c>
      <c r="F10" s="297">
        <f>VLOOKUP($C10,'Raw - Unemployment'!$A:$Q,12,FALSE)</f>
        <v>2.6</v>
      </c>
      <c r="G10" s="297">
        <f>VLOOKUP($C10,'Raw - Unemployment'!$A:$Q,16,FALSE)</f>
        <v>5.7</v>
      </c>
      <c r="H10" s="318">
        <f>VLOOKUP(C10,'Raw - Unemployment'!A:Q,14,FALSE)</f>
        <v>2000</v>
      </c>
      <c r="I10" s="299">
        <f t="shared" si="1"/>
        <v>1</v>
      </c>
      <c r="J10" s="300">
        <f>SUM(VLOOKUP(C10,'Raw - Unemployment'!A:Q,14,FALSE)-VLOOKUP(C10,'Raw - Unemployment'!A:Q,2,FALSE))</f>
        <v>400</v>
      </c>
      <c r="K10" s="301">
        <f t="shared" si="0"/>
        <v>-4.7</v>
      </c>
      <c r="L10" s="302">
        <f>IF(K10="","",IF($K$5="LGBF FAMILY GROUP",SUM(MROUND(SUM(SUM(VLOOKUP(C$17,'Raw - Unemployment'!A:Q,16,FALSE)*VLOOKUP(C10,'Raw - Unemployment'!A:Q,15,FALSE))/100),100)-MROUND(SUM(SUM(VLOOKUP(C10,'Raw - Unemployment'!A:Q,16,FALSE)*VLOOKUP(C10,'Raw - Unemployment'!A:Q,15,FALSE))/100),100)),IF($K$5="Glasgow City Region",SUM(MROUND(SUM(SUM(VLOOKUP(C$18,'Raw - Unemployment'!A:Q,16,FALSE)*VLOOKUP(C10,'Raw - Unemployment'!A:Q,15,FALSE))/100),100)-MROUND(SUM(SUM(VLOOKUP(C10,'Raw - Unemployment'!A:Q,16,FALSE)*VLOOKUP(C10,'Raw - Unemployment'!A:Q,15,FALSE))/100),100)),IF($K$5="Scotland",SUM(MROUND(SUM(SUM(VLOOKUP(C$19,'Raw - Unemployment'!A:Q,16,FALSE)*VLOOKUP(C10,'Raw - Unemployment'!A:Q,15,FALSE))/100),100)-MROUND(SUM(SUM(VLOOKUP(C10,'Raw - Unemployment'!A:Q,16,FALSE)*VLOOKUP(C10,'Raw - Unemployment'!A:Q,15,FALSE))/100),100)),IF($K$5="United Kingdom",SUM(MROUND(SUM(SUM(VLOOKUP(C$20,'Raw - Unemployment'!A:Q,16,FALSE)*VLOOKUP(C10,'Raw - Unemployment'!A:Q,15,FALSE))/100),100)-MROUND(SUM(SUM(VLOOKUP(C10,'Raw - Unemployment'!A:Q,16,FALSE)*VLOOKUP(C10,'Raw - Unemployment'!A:Q,15,FALSE))/100),100)),SUM(MROUND(SUM(SUM(VLOOKUP(C$16,'Raw - Unemployment'!A:Q,16,FALSE)*VLOOKUP(C10,'Raw - Unemployment'!A:Q,15,FALSE))/100),100)-MROUND(SUM(SUM(VLOOKUP(C10,'Raw - Unemployment'!A:Q,16,FALSE)*VLOOKUP(C10,'Raw - Unemployment'!A:Q,15,FALSE))/100),100)))))))</f>
        <v>-1600</v>
      </c>
    </row>
    <row r="11" spans="2:12" ht="19.5" customHeight="1">
      <c r="B11" s="296" t="s">
        <v>249</v>
      </c>
      <c r="C11" s="296" t="s">
        <v>34</v>
      </c>
      <c r="D11" s="297">
        <f>VLOOKUP($C11,'Raw - Unemployment'!$A:$Q,4,FALSE)</f>
        <v>6.4</v>
      </c>
      <c r="E11" s="297">
        <f>VLOOKUP($C11,'Raw - Unemployment'!$A:$Q,8,FALSE)</f>
        <v>3.7</v>
      </c>
      <c r="F11" s="297">
        <f>VLOOKUP($C11,'Raw - Unemployment'!$A:$Q,12,FALSE)</f>
        <v>3</v>
      </c>
      <c r="G11" s="297">
        <f>VLOOKUP($C11,'Raw - Unemployment'!$A:$Q,16,FALSE)</f>
        <v>2.7</v>
      </c>
      <c r="H11" s="318">
        <f>VLOOKUP(C11,'Raw - Unemployment'!A:Q,14,FALSE)</f>
        <v>4300</v>
      </c>
      <c r="I11" s="299">
        <f t="shared" si="1"/>
        <v>-3.7</v>
      </c>
      <c r="J11" s="300">
        <f>SUM(VLOOKUP(C11,'Raw - Unemployment'!A:Q,14,FALSE)-VLOOKUP(C11,'Raw - Unemployment'!A:Q,2,FALSE))</f>
        <v>-6000</v>
      </c>
      <c r="K11" s="301">
        <f t="shared" si="0"/>
        <v>-1.7000000000000002</v>
      </c>
      <c r="L11" s="302">
        <f>IF(K11="","",IF($K$5="LGBF FAMILY GROUP",SUM(MROUND(SUM(SUM(VLOOKUP(C$17,'Raw - Unemployment'!A:Q,16,FALSE)*VLOOKUP(C11,'Raw - Unemployment'!A:Q,15,FALSE))/100),100)-MROUND(SUM(SUM(VLOOKUP(C11,'Raw - Unemployment'!A:Q,16,FALSE)*VLOOKUP(C11,'Raw - Unemployment'!A:Q,15,FALSE))/100),100)),IF($K$5="Glasgow City Region",SUM(MROUND(SUM(SUM(VLOOKUP(C$18,'Raw - Unemployment'!A:Q,16,FALSE)*VLOOKUP(C11,'Raw - Unemployment'!A:Q,15,FALSE))/100),100)-MROUND(SUM(SUM(VLOOKUP(C11,'Raw - Unemployment'!A:Q,16,FALSE)*VLOOKUP(C11,'Raw - Unemployment'!A:Q,15,FALSE))/100),100)),IF($K$5="Scotland",SUM(MROUND(SUM(SUM(VLOOKUP(C$19,'Raw - Unemployment'!A:Q,16,FALSE)*VLOOKUP(C11,'Raw - Unemployment'!A:Q,15,FALSE))/100),100)-MROUND(SUM(SUM(VLOOKUP(C11,'Raw - Unemployment'!A:Q,16,FALSE)*VLOOKUP(C11,'Raw - Unemployment'!A:Q,15,FALSE))/100),100)),IF($K$5="United Kingdom",SUM(MROUND(SUM(SUM(VLOOKUP(C$20,'Raw - Unemployment'!A:Q,16,FALSE)*VLOOKUP(C11,'Raw - Unemployment'!A:Q,15,FALSE))/100),100)-MROUND(SUM(SUM(VLOOKUP(C11,'Raw - Unemployment'!A:Q,16,FALSE)*VLOOKUP(C11,'Raw - Unemployment'!A:Q,15,FALSE))/100),100)),SUM(MROUND(SUM(SUM(VLOOKUP(C$16,'Raw - Unemployment'!A:Q,16,FALSE)*VLOOKUP(C11,'Raw - Unemployment'!A:Q,15,FALSE))/100),100)-MROUND(SUM(SUM(VLOOKUP(C11,'Raw - Unemployment'!A:Q,16,FALSE)*VLOOKUP(C11,'Raw - Unemployment'!A:Q,15,FALSE))/100),100)))))))</f>
        <v>-2700</v>
      </c>
    </row>
    <row r="12" spans="2:12" ht="19.5" customHeight="1">
      <c r="B12" s="296" t="s">
        <v>249</v>
      </c>
      <c r="C12" s="296" t="s">
        <v>37</v>
      </c>
      <c r="D12" s="297">
        <f>VLOOKUP($C12,'Raw - Unemployment'!$A:$Q,4,FALSE)</f>
        <v>4.5999999999999996</v>
      </c>
      <c r="E12" s="297">
        <f>VLOOKUP($C12,'Raw - Unemployment'!$A:$Q,8,FALSE)</f>
        <v>3.9</v>
      </c>
      <c r="F12" s="297">
        <f>VLOOKUP($C12,'Raw - Unemployment'!$A:$Q,12,FALSE)</f>
        <v>3.8</v>
      </c>
      <c r="G12" s="297">
        <f>VLOOKUP($C12,'Raw - Unemployment'!$A:$Q,16,FALSE)</f>
        <v>1</v>
      </c>
      <c r="H12" s="318">
        <f>VLOOKUP(C12,'Raw - Unemployment'!A:Q,14,FALSE)</f>
        <v>900</v>
      </c>
      <c r="I12" s="299">
        <f t="shared" si="1"/>
        <v>-3.5999999999999996</v>
      </c>
      <c r="J12" s="300">
        <f>SUM(VLOOKUP(C12,'Raw - Unemployment'!A:Q,14,FALSE)-VLOOKUP(C12,'Raw - Unemployment'!A:Q,2,FALSE))</f>
        <v>-3300</v>
      </c>
      <c r="K12" s="301">
        <f t="shared" si="0"/>
        <v>0</v>
      </c>
      <c r="L12" s="302">
        <f>IF(K12="","",IF($K$5="LGBF FAMILY GROUP",SUM(MROUND(SUM(SUM(VLOOKUP(C$17,'Raw - Unemployment'!A:Q,16,FALSE)*VLOOKUP(C12,'Raw - Unemployment'!A:Q,15,FALSE))/100),100)-MROUND(SUM(SUM(VLOOKUP(C12,'Raw - Unemployment'!A:Q,16,FALSE)*VLOOKUP(C12,'Raw - Unemployment'!A:Q,15,FALSE))/100),100)),IF($K$5="Glasgow City Region",SUM(MROUND(SUM(SUM(VLOOKUP(C$18,'Raw - Unemployment'!A:Q,16,FALSE)*VLOOKUP(C12,'Raw - Unemployment'!A:Q,15,FALSE))/100),100)-MROUND(SUM(SUM(VLOOKUP(C12,'Raw - Unemployment'!A:Q,16,FALSE)*VLOOKUP(C12,'Raw - Unemployment'!A:Q,15,FALSE))/100),100)),IF($K$5="Scotland",SUM(MROUND(SUM(SUM(VLOOKUP(C$19,'Raw - Unemployment'!A:Q,16,FALSE)*VLOOKUP(C12,'Raw - Unemployment'!A:Q,15,FALSE))/100),100)-MROUND(SUM(SUM(VLOOKUP(C12,'Raw - Unemployment'!A:Q,16,FALSE)*VLOOKUP(C12,'Raw - Unemployment'!A:Q,15,FALSE))/100),100)),IF($K$5="United Kingdom",SUM(MROUND(SUM(SUM(VLOOKUP(C$20,'Raw - Unemployment'!A:Q,16,FALSE)*VLOOKUP(C12,'Raw - Unemployment'!A:Q,15,FALSE))/100),100)-MROUND(SUM(SUM(VLOOKUP(C12,'Raw - Unemployment'!A:Q,16,FALSE)*VLOOKUP(C12,'Raw - Unemployment'!A:Q,15,FALSE))/100),100)),SUM(MROUND(SUM(SUM(VLOOKUP(C$16,'Raw - Unemployment'!A:Q,16,FALSE)*VLOOKUP(C12,'Raw - Unemployment'!A:Q,15,FALSE))/100),100)-MROUND(SUM(SUM(VLOOKUP(C12,'Raw - Unemployment'!A:Q,16,FALSE)*VLOOKUP(C12,'Raw - Unemployment'!A:Q,15,FALSE))/100),100)))))))</f>
        <v>0</v>
      </c>
    </row>
    <row r="13" spans="2:12" ht="19.5" customHeight="1">
      <c r="B13" s="296" t="s">
        <v>249</v>
      </c>
      <c r="C13" s="296" t="s">
        <v>41</v>
      </c>
      <c r="D13" s="297">
        <f>VLOOKUP($C13,'Raw - Unemployment'!$A:$Q,4,FALSE)</f>
        <v>3.8</v>
      </c>
      <c r="E13" s="297">
        <f>VLOOKUP($C13,'Raw - Unemployment'!$A:$Q,8,FALSE)</f>
        <v>3.7</v>
      </c>
      <c r="F13" s="297">
        <f>VLOOKUP($C13,'Raw - Unemployment'!$A:$Q,12,FALSE)</f>
        <v>3.1</v>
      </c>
      <c r="G13" s="297">
        <f>VLOOKUP($C13,'Raw - Unemployment'!$A:$Q,16,FALSE)</f>
        <v>2.2000000000000002</v>
      </c>
      <c r="H13" s="318">
        <f>VLOOKUP(C13,'Raw - Unemployment'!A:Q,14,FALSE)</f>
        <v>3400</v>
      </c>
      <c r="I13" s="299">
        <f t="shared" si="1"/>
        <v>-1.5999999999999996</v>
      </c>
      <c r="J13" s="300">
        <f>SUM(VLOOKUP(C13,'Raw - Unemployment'!A:Q,14,FALSE)-VLOOKUP(C13,'Raw - Unemployment'!A:Q,2,FALSE))</f>
        <v>-2600</v>
      </c>
      <c r="K13" s="301">
        <f t="shared" si="0"/>
        <v>-1.2000000000000002</v>
      </c>
      <c r="L13" s="302">
        <f>IF(K13="","",IF($K$5="LGBF FAMILY GROUP",SUM(MROUND(SUM(SUM(VLOOKUP(C$17,'Raw - Unemployment'!A:Q,16,FALSE)*VLOOKUP(C13,'Raw - Unemployment'!A:Q,15,FALSE))/100),100)-MROUND(SUM(SUM(VLOOKUP(C13,'Raw - Unemployment'!A:Q,16,FALSE)*VLOOKUP(C13,'Raw - Unemployment'!A:Q,15,FALSE))/100),100)),IF($K$5="Glasgow City Region",SUM(MROUND(SUM(SUM(VLOOKUP(C$18,'Raw - Unemployment'!A:Q,16,FALSE)*VLOOKUP(C13,'Raw - Unemployment'!A:Q,15,FALSE))/100),100)-MROUND(SUM(SUM(VLOOKUP(C13,'Raw - Unemployment'!A:Q,16,FALSE)*VLOOKUP(C13,'Raw - Unemployment'!A:Q,15,FALSE))/100),100)),IF($K$5="Scotland",SUM(MROUND(SUM(SUM(VLOOKUP(C$19,'Raw - Unemployment'!A:Q,16,FALSE)*VLOOKUP(C13,'Raw - Unemployment'!A:Q,15,FALSE))/100),100)-MROUND(SUM(SUM(VLOOKUP(C13,'Raw - Unemployment'!A:Q,16,FALSE)*VLOOKUP(C13,'Raw - Unemployment'!A:Q,15,FALSE))/100),100)),IF($K$5="United Kingdom",SUM(MROUND(SUM(SUM(VLOOKUP(C$20,'Raw - Unemployment'!A:Q,16,FALSE)*VLOOKUP(C13,'Raw - Unemployment'!A:Q,15,FALSE))/100),100)-MROUND(SUM(SUM(VLOOKUP(C13,'Raw - Unemployment'!A:Q,16,FALSE)*VLOOKUP(C13,'Raw - Unemployment'!A:Q,15,FALSE))/100),100)),SUM(MROUND(SUM(SUM(VLOOKUP(C$16,'Raw - Unemployment'!A:Q,16,FALSE)*VLOOKUP(C13,'Raw - Unemployment'!A:Q,15,FALSE))/100),100)-MROUND(SUM(SUM(VLOOKUP(C13,'Raw - Unemployment'!A:Q,16,FALSE)*VLOOKUP(C13,'Raw - Unemployment'!A:Q,15,FALSE))/100),100)))))))</f>
        <v>-1900</v>
      </c>
    </row>
    <row r="14" spans="2:12" ht="19.5" customHeight="1">
      <c r="B14" s="296" t="s">
        <v>249</v>
      </c>
      <c r="C14" s="296" t="s">
        <v>43</v>
      </c>
      <c r="D14" s="297">
        <f>VLOOKUP($C14,'Raw - Unemployment'!$A:$Q,4,FALSE)</f>
        <v>5.3</v>
      </c>
      <c r="E14" s="297">
        <f>VLOOKUP($C14,'Raw - Unemployment'!$A:$Q,8,FALSE)</f>
        <v>4.4000000000000004</v>
      </c>
      <c r="F14" s="297">
        <f>VLOOKUP($C14,'Raw - Unemployment'!$A:$Q,12,FALSE)</f>
        <v>2.9</v>
      </c>
      <c r="G14" s="297">
        <f>VLOOKUP($C14,'Raw - Unemployment'!$A:$Q,16,FALSE)</f>
        <v>3</v>
      </c>
      <c r="H14" s="318">
        <f>VLOOKUP(C14,'Raw - Unemployment'!A:Q,14,FALSE)</f>
        <v>1200</v>
      </c>
      <c r="I14" s="299">
        <f t="shared" si="1"/>
        <v>-2.2999999999999998</v>
      </c>
      <c r="J14" s="300">
        <f>SUM(VLOOKUP(C14,'Raw - Unemployment'!A:Q,14,FALSE)-VLOOKUP(C14,'Raw - Unemployment'!A:Q,2,FALSE))</f>
        <v>-1100</v>
      </c>
      <c r="K14" s="301">
        <f t="shared" si="0"/>
        <v>-2</v>
      </c>
      <c r="L14" s="302">
        <f>IF(K14="","",IF($K$5="LGBF FAMILY GROUP",SUM(MROUND(SUM(SUM(VLOOKUP(C$17,'Raw - Unemployment'!A:Q,16,FALSE)*VLOOKUP(C14,'Raw - Unemployment'!A:Q,15,FALSE))/100),100)-MROUND(SUM(SUM(VLOOKUP(C14,'Raw - Unemployment'!A:Q,16,FALSE)*VLOOKUP(C14,'Raw - Unemployment'!A:Q,15,FALSE))/100),100)),IF($K$5="Glasgow City Region",SUM(MROUND(SUM(SUM(VLOOKUP(C$18,'Raw - Unemployment'!A:Q,16,FALSE)*VLOOKUP(C14,'Raw - Unemployment'!A:Q,15,FALSE))/100),100)-MROUND(SUM(SUM(VLOOKUP(C14,'Raw - Unemployment'!A:Q,16,FALSE)*VLOOKUP(C14,'Raw - Unemployment'!A:Q,15,FALSE))/100),100)),IF($K$5="Scotland",SUM(MROUND(SUM(SUM(VLOOKUP(C$19,'Raw - Unemployment'!A:Q,16,FALSE)*VLOOKUP(C14,'Raw - Unemployment'!A:Q,15,FALSE))/100),100)-MROUND(SUM(SUM(VLOOKUP(C14,'Raw - Unemployment'!A:Q,16,FALSE)*VLOOKUP(C14,'Raw - Unemployment'!A:Q,15,FALSE))/100),100)),IF($K$5="United Kingdom",SUM(MROUND(SUM(SUM(VLOOKUP(C$20,'Raw - Unemployment'!A:Q,16,FALSE)*VLOOKUP(C14,'Raw - Unemployment'!A:Q,15,FALSE))/100),100)-MROUND(SUM(SUM(VLOOKUP(C14,'Raw - Unemployment'!A:Q,16,FALSE)*VLOOKUP(C14,'Raw - Unemployment'!A:Q,15,FALSE))/100),100)),SUM(MROUND(SUM(SUM(VLOOKUP(C$16,'Raw - Unemployment'!A:Q,16,FALSE)*VLOOKUP(C14,'Raw - Unemployment'!A:Q,15,FALSE))/100),100)-MROUND(SUM(SUM(VLOOKUP(C14,'Raw - Unemployment'!A:Q,16,FALSE)*VLOOKUP(C14,'Raw - Unemployment'!A:Q,15,FALSE))/100),100)))))))</f>
        <v>-800</v>
      </c>
    </row>
    <row r="15" spans="2:12" ht="19.5" customHeight="1">
      <c r="B15" s="303"/>
      <c r="C15" s="303"/>
      <c r="D15" s="304"/>
      <c r="E15" s="304"/>
      <c r="F15" s="304"/>
      <c r="G15" s="304"/>
      <c r="H15" s="304"/>
      <c r="I15" s="306"/>
      <c r="J15" s="306"/>
      <c r="K15" s="306"/>
      <c r="L15" s="306"/>
    </row>
    <row r="16" spans="2:12" ht="19.5" customHeight="1">
      <c r="B16" s="307" t="s">
        <v>51</v>
      </c>
      <c r="C16" s="296" t="str">
        <f>INDEX('Raw - Unemployment'!$A$9:$A$40,MATCH(MIN('Raw - Unemployment'!P9:P40),'Raw - Unemployment'!P9:P40,0))</f>
        <v>Renfrewshire</v>
      </c>
      <c r="D16" s="297">
        <f>VLOOKUP($C16,'Raw - Unemployment'!$A:$Q,4,FALSE)</f>
        <v>4.5999999999999996</v>
      </c>
      <c r="E16" s="297">
        <f>VLOOKUP($C16,'Raw - Unemployment'!$A:$Q,8,FALSE)</f>
        <v>3.9</v>
      </c>
      <c r="F16" s="297">
        <f>VLOOKUP($C16,'Raw - Unemployment'!$A:$Q,12,FALSE)</f>
        <v>3.8</v>
      </c>
      <c r="G16" s="297">
        <f>MIN('Raw - Unemployment'!P9:P40)</f>
        <v>1</v>
      </c>
      <c r="H16" s="318">
        <f>VLOOKUP(C16,'Raw - Unemployment'!A:Q,14,FALSE)</f>
        <v>900</v>
      </c>
      <c r="I16" s="299">
        <f t="shared" si="1"/>
        <v>-3.5999999999999996</v>
      </c>
      <c r="J16" s="300">
        <f>SUM(VLOOKUP(C16,'Raw - Unemployment'!A:Q,14,FALSE)-VLOOKUP(C16,'Raw - Unemployment'!A:Q,2,FALSE))</f>
        <v>-3300</v>
      </c>
    </row>
    <row r="17" spans="2:12" ht="19.5" customHeight="1">
      <c r="B17" s="307" t="s">
        <v>542</v>
      </c>
      <c r="C17" s="308" t="s">
        <v>546</v>
      </c>
      <c r="D17" s="297">
        <f>VLOOKUP($C17,'Raw - Unemployment'!$A:$Q,4,FALSE)</f>
        <v>5.3210358283079104</v>
      </c>
      <c r="E17" s="297">
        <f>VLOOKUP($C17,'Raw - Unemployment'!$A:$Q,8,FALSE)</f>
        <v>3.859522953374086</v>
      </c>
      <c r="F17" s="297">
        <f>VLOOKUP($C17,'Raw - Unemployment'!$A:$Q,12,FALSE)</f>
        <v>4.0494003087519301</v>
      </c>
      <c r="G17" s="297">
        <f>VLOOKUP($C17,'Raw - Unemployment'!$A:$Q,16,FALSE)</f>
        <v>4.2596348884381339</v>
      </c>
      <c r="H17" s="318">
        <f>VLOOKUP(C17,'Raw - Unemployment'!A:Q,14,FALSE)</f>
        <v>35700</v>
      </c>
      <c r="I17" s="299">
        <f>SUM(G17-D17)</f>
        <v>-1.0614009398697766</v>
      </c>
      <c r="J17" s="300">
        <f>SUM(VLOOKUP(C17,'Raw - Unemployment'!A:Q,14,FALSE)-VLOOKUP(C17,'Raw - Unemployment'!A:Q,2,FALSE))</f>
        <v>-9300</v>
      </c>
    </row>
    <row r="18" spans="2:12" ht="19.5" customHeight="1">
      <c r="B18" s="307" t="s">
        <v>250</v>
      </c>
      <c r="C18" s="296" t="s">
        <v>47</v>
      </c>
      <c r="D18" s="297">
        <f>VLOOKUP($C18,'Raw - Unemployment'!$A:$Q,4,FALSE)</f>
        <v>4.5999999999999996</v>
      </c>
      <c r="E18" s="297">
        <f>VLOOKUP($C18,'Raw - Unemployment'!$A:$Q,8,FALSE)</f>
        <v>3.8</v>
      </c>
      <c r="F18" s="297">
        <f>VLOOKUP($C18,'Raw - Unemployment'!$A:$Q,12,FALSE)</f>
        <v>3.1</v>
      </c>
      <c r="G18" s="297">
        <f>VLOOKUP($C18,'Raw - Unemployment'!$A:$Q,16,FALSE)</f>
        <v>3.2</v>
      </c>
      <c r="H18" s="318">
        <f>VLOOKUP(C18,'Raw - Unemployment'!A:Q,14,FALSE)</f>
        <v>28300</v>
      </c>
      <c r="I18" s="299">
        <f t="shared" si="1"/>
        <v>-1.3999999999999995</v>
      </c>
      <c r="J18" s="300">
        <f>SUM(VLOOKUP(C18,'Raw - Unemployment'!A:Q,14,FALSE)-VLOOKUP(C18,'Raw - Unemployment'!A:Q,2,FALSE))</f>
        <v>-13300</v>
      </c>
    </row>
    <row r="19" spans="2:12" ht="19.5" customHeight="1">
      <c r="B19" s="307" t="s">
        <v>251</v>
      </c>
      <c r="C19" s="296" t="s">
        <v>45</v>
      </c>
      <c r="D19" s="297">
        <f>VLOOKUP($C19,'Raw - Unemployment'!$A:$Q,4,FALSE)</f>
        <v>4.4000000000000004</v>
      </c>
      <c r="E19" s="297">
        <f>VLOOKUP($C19,'Raw - Unemployment'!$A:$Q,8,FALSE)</f>
        <v>4</v>
      </c>
      <c r="F19" s="297">
        <f>VLOOKUP($C19,'Raw - Unemployment'!$A:$Q,12,FALSE)</f>
        <v>3.4</v>
      </c>
      <c r="G19" s="297">
        <f>VLOOKUP($C19,'Raw - Unemployment'!$A:$Q,16,FALSE)</f>
        <v>3.6</v>
      </c>
      <c r="H19" s="318">
        <f>VLOOKUP(C19,'Raw - Unemployment'!A:Q,14,FALSE)</f>
        <v>95100</v>
      </c>
      <c r="I19" s="299">
        <f t="shared" si="1"/>
        <v>-0.80000000000000027</v>
      </c>
      <c r="J19" s="300">
        <f>SUM(VLOOKUP(C19,'Raw - Unemployment'!A:Q,14,FALSE)-VLOOKUP(C19,'Raw - Unemployment'!A:Q,2,FALSE))</f>
        <v>-21400</v>
      </c>
    </row>
    <row r="20" spans="2:12" ht="19.5" customHeight="1">
      <c r="B20" s="307" t="s">
        <v>251</v>
      </c>
      <c r="C20" s="296" t="s">
        <v>46</v>
      </c>
      <c r="D20" s="297">
        <f>VLOOKUP($C20,'Raw - Unemployment'!$A:$Q,4,FALSE)</f>
        <v>4.7</v>
      </c>
      <c r="E20" s="297">
        <f>VLOOKUP($C20,'Raw - Unemployment'!$A:$Q,8,FALSE)</f>
        <v>4.5</v>
      </c>
      <c r="F20" s="297">
        <f>VLOOKUP($C20,'Raw - Unemployment'!$A:$Q,12,FALSE)</f>
        <v>3.6</v>
      </c>
      <c r="G20" s="297">
        <f>VLOOKUP($C20,'Raw - Unemployment'!$A:$Q,16,FALSE)</f>
        <v>3.8</v>
      </c>
      <c r="H20" s="318">
        <f>VLOOKUP(C20,'Raw - Unemployment'!A:Q,14,FALSE)</f>
        <v>1232300</v>
      </c>
      <c r="I20" s="299">
        <f t="shared" si="1"/>
        <v>-0.90000000000000036</v>
      </c>
      <c r="J20" s="300">
        <f>SUM(VLOOKUP(C20,'Raw - Unemployment'!A:Q,14,FALSE)-VLOOKUP(C20,'Raw - Unemployment'!A:Q,2,FALSE))</f>
        <v>-306500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B+cTau+UFt/Li593p4t+vh+JYDr/nmzEg8QyAwIQMlmBoCvIzIFile7BRRoaN9aYEjh04mS3zOGDjq7XkOkBIA==" saltValue="5tgyK/P597bDxdB1eoz4xw==" spinCount="100000" sheet="1" objects="1" scenarios="1"/>
  <autoFilter ref="C6:L14" xr:uid="{00000000-0009-0000-0000-000011000000}"/>
  <mergeCells count="4">
    <mergeCell ref="K4:L4"/>
    <mergeCell ref="I5:J5"/>
    <mergeCell ref="K5:L5"/>
    <mergeCell ref="F2:G2"/>
  </mergeCells>
  <dataValidations count="1">
    <dataValidation type="list" allowBlank="1" showInputMessage="1" showErrorMessage="1" sqref="C17" xr:uid="{00000000-0002-0000-1100-000000000000}">
      <formula1>IF(B17="LGBF Family Group 1",LGBF_5,IF(B17="LGBF Family Group 3",LGBF_7,IF(B17="LGBF Family Group 4",LGBF_8,LGBF_6)))</formula1>
    </dataValidation>
  </dataValidations>
  <hyperlinks>
    <hyperlink ref="F2:G2" location="'Index RAG'!A1" display="Return to Index RAG" xr:uid="{00000000-0004-0000-1100-000001000000}"/>
    <hyperlink ref="C3" r:id="rId1" xr:uid="{793F6D84-FF65-48A0-BD56-DC42FAF0AB54}"/>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Lookups!$L$8:$O$8</xm:f>
          </x14:formula1>
          <xm:sqref>B17</xm:sqref>
        </x14:dataValidation>
        <x14:dataValidation type="list" allowBlank="1" showInputMessage="1" showErrorMessage="1" xr:uid="{00000000-0002-0000-1100-000002000000}">
          <x14:formula1>
            <xm:f>Lookups!$B$3:$B$7</xm:f>
          </x14:formula1>
          <xm:sqref>K5:L5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456</v>
      </c>
      <c r="F2" s="595" t="s">
        <v>507</v>
      </c>
      <c r="G2" s="596"/>
    </row>
    <row r="3" spans="2:12" ht="13">
      <c r="B3" s="286" t="s">
        <v>49</v>
      </c>
      <c r="C3" s="288" t="s">
        <v>756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Employment'!$A:$Q,4,FALSE)</f>
        <v>75.900000000000006</v>
      </c>
      <c r="E7" s="297">
        <f>VLOOKUP($C7,'Raw - Employment'!$A:$Q,8,FALSE)</f>
        <v>72.400000000000006</v>
      </c>
      <c r="F7" s="297">
        <f>VLOOKUP($C7,'Raw - Employment'!$A:$Q,12,FALSE)</f>
        <v>76.3</v>
      </c>
      <c r="G7" s="297">
        <f>VLOOKUP($C7,'Raw - Employment'!$A:$Q,16,FALSE)</f>
        <v>73.5</v>
      </c>
      <c r="H7" s="318">
        <f>VLOOKUP(C7,'Raw - Employment'!A:Q,14,FALSE)</f>
        <v>46500</v>
      </c>
      <c r="I7" s="299">
        <f>SUM(G7-D7)</f>
        <v>-2.4000000000000057</v>
      </c>
      <c r="J7" s="300">
        <f>SUM(VLOOKUP(C7,'Raw - Employment'!A:Q,14,FALSE)-VLOOKUP(C7,'Raw - Employment'!A:Q,2,FALSE))</f>
        <v>-2300</v>
      </c>
      <c r="K7" s="301">
        <f t="shared" ref="K7:K14" si="0">IF(IF($K$5="lgbf family group",SUM(G$17-G7),IF($K$5="Glasgow City Region",SUM(G$18-G7),IF($K$5="Scotland",SUM(G$19-G7),IF($K$5="United Kingdom",SUM(G$20-G7),SUM(G$16-G7)))))&lt;0,"",IF($K$5="LGBF FAMILY GROUP",SUM(G$17-G7),IF($K$5="Glasgow City Region",SUM(G$18-G7),IF($K$5="Scotland",SUM(G$19-G7),IF($K$5="United Kingdom",SUM(G$20-G7),SUM(G$16-G7))))))</f>
        <v>14.799999999999997</v>
      </c>
      <c r="L7" s="302">
        <f>IF(K7="","",IF($K$5="LGBF FAMILY GROUP",SUM(MROUND(SUM(SUM(VLOOKUP(C$17,'Raw - Employment'!A:Q,16,FALSE)*VLOOKUP(C7,'Raw - Employment'!A:Q,15,FALSE))/100),100)-MROUND(SUM(SUM(VLOOKUP(C7,'Raw - Employment'!A:Q,16,FALSE)*VLOOKUP(C7,'Raw - Employment'!A:Q,15,FALSE))/100),100)),IF($K$5="Glasgow City Region",SUM(MROUND(SUM(SUM(VLOOKUP(C$18,'Raw - Employment'!A:Q,16,FALSE)*VLOOKUP(C7,'Raw - Employment'!A:Q,15,FALSE))/100),100)-MROUND(SUM(SUM(VLOOKUP(C7,'Raw - Employment'!A:Q,16,FALSE)*VLOOKUP(C7,'Raw - Employment'!A:Q,15,FALSE))/100),100)),IF($K$5="Scotland",SUM(MROUND(SUM(SUM(VLOOKUP(C$19,'Raw - Employment'!A:Q,16,FALSE)*VLOOKUP(C7,'Raw - Employment'!A:Q,15,FALSE))/100),100)-MROUND(SUM(SUM(VLOOKUP(C7,'Raw - Employment'!A:Q,16,FALSE)*VLOOKUP(C7,'Raw - Employment'!A:Q,15,FALSE))/100),100)),IF($K$5="United Kingdom",SUM(MROUND(SUM(SUM(VLOOKUP(C$20,'Raw - Employment'!A:Q,16,FALSE)*VLOOKUP(C7,'Raw - Employment'!A:Q,15,FALSE))/100),100)-MROUND(SUM(SUM(VLOOKUP(C7,'Raw - Employment'!A:Q,16,FALSE)*VLOOKUP(C7,'Raw - Employment'!A:Q,15,FALSE))/100),100)),SUM(MROUND(SUM(SUM(VLOOKUP(C$16,'Raw - Employment'!A:Q,16,FALSE)*VLOOKUP(C7,'Raw - Employment'!A:Q,15,FALSE))/100),100)-MROUND(SUM(SUM(VLOOKUP(C7,'Raw - Employment'!A:Q,16,FALSE)*VLOOKUP(C7,'Raw - Employment'!A:Q,15,FALSE))/100),100)))))))</f>
        <v>9400</v>
      </c>
    </row>
    <row r="8" spans="2:12" ht="19.5" customHeight="1">
      <c r="B8" s="296" t="s">
        <v>249</v>
      </c>
      <c r="C8" s="296" t="s">
        <v>24</v>
      </c>
      <c r="D8" s="297">
        <f>VLOOKUP($C8,'Raw - Employment'!$A:$Q,4,FALSE)</f>
        <v>73.599999999999994</v>
      </c>
      <c r="E8" s="297">
        <f>VLOOKUP($C8,'Raw - Employment'!$A:$Q,8,FALSE)</f>
        <v>69.8</v>
      </c>
      <c r="F8" s="297">
        <f>VLOOKUP($C8,'Raw - Employment'!$A:$Q,12,FALSE)</f>
        <v>76.900000000000006</v>
      </c>
      <c r="G8" s="297">
        <f>VLOOKUP($C8,'Raw - Employment'!$A:$Q,16,FALSE)</f>
        <v>77.5</v>
      </c>
      <c r="H8" s="318">
        <f>VLOOKUP(C8,'Raw - Employment'!A:Q,14,FALSE)</f>
        <v>43000</v>
      </c>
      <c r="I8" s="299">
        <f t="shared" ref="I8:I20" si="1">SUM(G8-D8)</f>
        <v>3.9000000000000057</v>
      </c>
      <c r="J8" s="300">
        <f>SUM(VLOOKUP(C8,'Raw - Employment'!A:Q,14,FALSE)-VLOOKUP(C8,'Raw - Employment'!A:Q,2,FALSE))</f>
        <v>600</v>
      </c>
      <c r="K8" s="301">
        <f t="shared" si="0"/>
        <v>10.799999999999997</v>
      </c>
      <c r="L8" s="302">
        <f>IF(K8="","",IF($K$5="LGBF FAMILY GROUP",SUM(MROUND(SUM(SUM(VLOOKUP(C$17,'Raw - Employment'!A:Q,16,FALSE)*VLOOKUP(C8,'Raw - Employment'!A:Q,15,FALSE))/100),100)-MROUND(SUM(SUM(VLOOKUP(C8,'Raw - Employment'!A:Q,16,FALSE)*VLOOKUP(C8,'Raw - Employment'!A:Q,15,FALSE))/100),100)),IF($K$5="Glasgow City Region",SUM(MROUND(SUM(SUM(VLOOKUP(C$18,'Raw - Employment'!A:Q,16,FALSE)*VLOOKUP(C8,'Raw - Employment'!A:Q,15,FALSE))/100),100)-MROUND(SUM(SUM(VLOOKUP(C8,'Raw - Employment'!A:Q,16,FALSE)*VLOOKUP(C8,'Raw - Employment'!A:Q,15,FALSE))/100),100)),IF($K$5="Scotland",SUM(MROUND(SUM(SUM(VLOOKUP(C$19,'Raw - Employment'!A:Q,16,FALSE)*VLOOKUP(C8,'Raw - Employment'!A:Q,15,FALSE))/100),100)-MROUND(SUM(SUM(VLOOKUP(C8,'Raw - Employment'!A:Q,16,FALSE)*VLOOKUP(C8,'Raw - Employment'!A:Q,15,FALSE))/100),100)),IF($K$5="United Kingdom",SUM(MROUND(SUM(SUM(VLOOKUP(C$20,'Raw - Employment'!A:Q,16,FALSE)*VLOOKUP(C8,'Raw - Employment'!A:Q,15,FALSE))/100),100)-MROUND(SUM(SUM(VLOOKUP(C8,'Raw - Employment'!A:Q,16,FALSE)*VLOOKUP(C8,'Raw - Employment'!A:Q,15,FALSE))/100),100)),SUM(MROUND(SUM(SUM(VLOOKUP(C$16,'Raw - Employment'!A:Q,16,FALSE)*VLOOKUP(C8,'Raw - Employment'!A:Q,15,FALSE))/100),100)-MROUND(SUM(SUM(VLOOKUP(C8,'Raw - Employment'!A:Q,16,FALSE)*VLOOKUP(C8,'Raw - Employment'!A:Q,15,FALSE))/100),100)))))))</f>
        <v>6000</v>
      </c>
    </row>
    <row r="9" spans="2:12" ht="19.5" customHeight="1">
      <c r="B9" s="296" t="s">
        <v>249</v>
      </c>
      <c r="C9" s="296" t="s">
        <v>27</v>
      </c>
      <c r="D9" s="297">
        <f>VLOOKUP($C9,'Raw - Employment'!$A:$Q,4,FALSE)</f>
        <v>69.8</v>
      </c>
      <c r="E9" s="297">
        <f>VLOOKUP($C9,'Raw - Employment'!$A:$Q,8,FALSE)</f>
        <v>69.7</v>
      </c>
      <c r="F9" s="297">
        <f>VLOOKUP($C9,'Raw - Employment'!$A:$Q,12,FALSE)</f>
        <v>72.099999999999994</v>
      </c>
      <c r="G9" s="297">
        <f>VLOOKUP($C9,'Raw - Employment'!$A:$Q,16,FALSE)</f>
        <v>71.2</v>
      </c>
      <c r="H9" s="318">
        <f>VLOOKUP(C9,'Raw - Employment'!A:Q,14,FALSE)</f>
        <v>309000</v>
      </c>
      <c r="I9" s="299">
        <f t="shared" si="1"/>
        <v>1.4000000000000057</v>
      </c>
      <c r="J9" s="300">
        <f>SUM(VLOOKUP(C9,'Raw - Employment'!A:Q,14,FALSE)-VLOOKUP(C9,'Raw - Employment'!A:Q,2,FALSE))</f>
        <v>4200</v>
      </c>
      <c r="K9" s="301">
        <f t="shared" si="0"/>
        <v>17.099999999999994</v>
      </c>
      <c r="L9" s="302">
        <f>IF(K9="","",IF($K$5="LGBF FAMILY GROUP",SUM(MROUND(SUM(SUM(VLOOKUP(C$17,'Raw - Employment'!A:Q,16,FALSE)*VLOOKUP(C9,'Raw - Employment'!A:Q,15,FALSE))/100),100)-MROUND(SUM(SUM(VLOOKUP(C9,'Raw - Employment'!A:Q,16,FALSE)*VLOOKUP(C9,'Raw - Employment'!A:Q,15,FALSE))/100),100)),IF($K$5="Glasgow City Region",SUM(MROUND(SUM(SUM(VLOOKUP(C$18,'Raw - Employment'!A:Q,16,FALSE)*VLOOKUP(C9,'Raw - Employment'!A:Q,15,FALSE))/100),100)-MROUND(SUM(SUM(VLOOKUP(C9,'Raw - Employment'!A:Q,16,FALSE)*VLOOKUP(C9,'Raw - Employment'!A:Q,15,FALSE))/100),100)),IF($K$5="Scotland",SUM(MROUND(SUM(SUM(VLOOKUP(C$19,'Raw - Employment'!A:Q,16,FALSE)*VLOOKUP(C9,'Raw - Employment'!A:Q,15,FALSE))/100),100)-MROUND(SUM(SUM(VLOOKUP(C9,'Raw - Employment'!A:Q,16,FALSE)*VLOOKUP(C9,'Raw - Employment'!A:Q,15,FALSE))/100),100)),IF($K$5="United Kingdom",SUM(MROUND(SUM(SUM(VLOOKUP(C$20,'Raw - Employment'!A:Q,16,FALSE)*VLOOKUP(C9,'Raw - Employment'!A:Q,15,FALSE))/100),100)-MROUND(SUM(SUM(VLOOKUP(C9,'Raw - Employment'!A:Q,16,FALSE)*VLOOKUP(C9,'Raw - Employment'!A:Q,15,FALSE))/100),100)),SUM(MROUND(SUM(SUM(VLOOKUP(C$16,'Raw - Employment'!A:Q,16,FALSE)*VLOOKUP(C9,'Raw - Employment'!A:Q,15,FALSE))/100),100)-MROUND(SUM(SUM(VLOOKUP(C9,'Raw - Employment'!A:Q,16,FALSE)*VLOOKUP(C9,'Raw - Employment'!A:Q,15,FALSE))/100),100)))))))</f>
        <v>74200</v>
      </c>
    </row>
    <row r="10" spans="2:12" ht="19.5" customHeight="1">
      <c r="B10" s="296" t="s">
        <v>249</v>
      </c>
      <c r="C10" s="296" t="s">
        <v>29</v>
      </c>
      <c r="D10" s="297">
        <f>VLOOKUP($C10,'Raw - Employment'!$A:$Q,4,FALSE)</f>
        <v>68.2</v>
      </c>
      <c r="E10" s="297">
        <f>VLOOKUP($C10,'Raw - Employment'!$A:$Q,8,FALSE)</f>
        <v>75.099999999999994</v>
      </c>
      <c r="F10" s="297">
        <f>VLOOKUP($C10,'Raw - Employment'!$A:$Q,12,FALSE)</f>
        <v>76.3</v>
      </c>
      <c r="G10" s="297">
        <f>VLOOKUP($C10,'Raw - Employment'!$A:$Q,16,FALSE)</f>
        <v>68.400000000000006</v>
      </c>
      <c r="H10" s="318">
        <f>VLOOKUP(C10,'Raw - Employment'!A:Q,14,FALSE)</f>
        <v>32300</v>
      </c>
      <c r="I10" s="299">
        <f t="shared" si="1"/>
        <v>0.20000000000000284</v>
      </c>
      <c r="J10" s="300">
        <f>SUM(VLOOKUP(C10,'Raw - Employment'!A:Q,14,FALSE)-VLOOKUP(C10,'Raw - Employment'!A:Q,2,FALSE))</f>
        <v>0</v>
      </c>
      <c r="K10" s="301">
        <f t="shared" si="0"/>
        <v>19.899999999999991</v>
      </c>
      <c r="L10" s="302">
        <f>IF(K10="","",IF($K$5="LGBF FAMILY GROUP",SUM(MROUND(SUM(SUM(VLOOKUP(C$17,'Raw - Employment'!A:Q,16,FALSE)*VLOOKUP(C10,'Raw - Employment'!A:Q,15,FALSE))/100),100)-MROUND(SUM(SUM(VLOOKUP(C10,'Raw - Employment'!A:Q,16,FALSE)*VLOOKUP(C10,'Raw - Employment'!A:Q,15,FALSE))/100),100)),IF($K$5="Glasgow City Region",SUM(MROUND(SUM(SUM(VLOOKUP(C$18,'Raw - Employment'!A:Q,16,FALSE)*VLOOKUP(C10,'Raw - Employment'!A:Q,15,FALSE))/100),100)-MROUND(SUM(SUM(VLOOKUP(C10,'Raw - Employment'!A:Q,16,FALSE)*VLOOKUP(C10,'Raw - Employment'!A:Q,15,FALSE))/100),100)),IF($K$5="Scotland",SUM(MROUND(SUM(SUM(VLOOKUP(C$19,'Raw - Employment'!A:Q,16,FALSE)*VLOOKUP(C10,'Raw - Employment'!A:Q,15,FALSE))/100),100)-MROUND(SUM(SUM(VLOOKUP(C10,'Raw - Employment'!A:Q,16,FALSE)*VLOOKUP(C10,'Raw - Employment'!A:Q,15,FALSE))/100),100)),IF($K$5="United Kingdom",SUM(MROUND(SUM(SUM(VLOOKUP(C$20,'Raw - Employment'!A:Q,16,FALSE)*VLOOKUP(C10,'Raw - Employment'!A:Q,15,FALSE))/100),100)-MROUND(SUM(SUM(VLOOKUP(C10,'Raw - Employment'!A:Q,16,FALSE)*VLOOKUP(C10,'Raw - Employment'!A:Q,15,FALSE))/100),100)),SUM(MROUND(SUM(SUM(VLOOKUP(C$16,'Raw - Employment'!A:Q,16,FALSE)*VLOOKUP(C10,'Raw - Employment'!A:Q,15,FALSE))/100),100)-MROUND(SUM(SUM(VLOOKUP(C10,'Raw - Employment'!A:Q,16,FALSE)*VLOOKUP(C10,'Raw - Employment'!A:Q,15,FALSE))/100),100)))))))</f>
        <v>9400</v>
      </c>
    </row>
    <row r="11" spans="2:12" ht="19.5" customHeight="1">
      <c r="B11" s="296" t="s">
        <v>249</v>
      </c>
      <c r="C11" s="296" t="s">
        <v>34</v>
      </c>
      <c r="D11" s="297">
        <f>VLOOKUP($C11,'Raw - Employment'!$A:$Q,4,FALSE)</f>
        <v>69.7</v>
      </c>
      <c r="E11" s="297">
        <f>VLOOKUP($C11,'Raw - Employment'!$A:$Q,8,FALSE)</f>
        <v>68.5</v>
      </c>
      <c r="F11" s="297">
        <f>VLOOKUP($C11,'Raw - Employment'!$A:$Q,12,FALSE)</f>
        <v>68</v>
      </c>
      <c r="G11" s="297">
        <f>VLOOKUP($C11,'Raw - Employment'!$A:$Q,16,FALSE)</f>
        <v>70.5</v>
      </c>
      <c r="H11" s="318">
        <f>VLOOKUP(C11,'Raw - Employment'!A:Q,14,FALSE)</f>
        <v>154900</v>
      </c>
      <c r="I11" s="299">
        <f t="shared" si="1"/>
        <v>0.79999999999999716</v>
      </c>
      <c r="J11" s="300">
        <f>SUM(VLOOKUP(C11,'Raw - Employment'!A:Q,14,FALSE)-VLOOKUP(C11,'Raw - Employment'!A:Q,2,FALSE))</f>
        <v>4000</v>
      </c>
      <c r="K11" s="301">
        <f t="shared" si="0"/>
        <v>17.799999999999997</v>
      </c>
      <c r="L11" s="302">
        <f>IF(K11="","",IF($K$5="LGBF FAMILY GROUP",SUM(MROUND(SUM(SUM(VLOOKUP(C$17,'Raw - Employment'!A:Q,16,FALSE)*VLOOKUP(C11,'Raw - Employment'!A:Q,15,FALSE))/100),100)-MROUND(SUM(SUM(VLOOKUP(C11,'Raw - Employment'!A:Q,16,FALSE)*VLOOKUP(C11,'Raw - Employment'!A:Q,15,FALSE))/100),100)),IF($K$5="Glasgow City Region",SUM(MROUND(SUM(SUM(VLOOKUP(C$18,'Raw - Employment'!A:Q,16,FALSE)*VLOOKUP(C11,'Raw - Employment'!A:Q,15,FALSE))/100),100)-MROUND(SUM(SUM(VLOOKUP(C11,'Raw - Employment'!A:Q,16,FALSE)*VLOOKUP(C11,'Raw - Employment'!A:Q,15,FALSE))/100),100)),IF($K$5="Scotland",SUM(MROUND(SUM(SUM(VLOOKUP(C$19,'Raw - Employment'!A:Q,16,FALSE)*VLOOKUP(C11,'Raw - Employment'!A:Q,15,FALSE))/100),100)-MROUND(SUM(SUM(VLOOKUP(C11,'Raw - Employment'!A:Q,16,FALSE)*VLOOKUP(C11,'Raw - Employment'!A:Q,15,FALSE))/100),100)),IF($K$5="United Kingdom",SUM(MROUND(SUM(SUM(VLOOKUP(C$20,'Raw - Employment'!A:Q,16,FALSE)*VLOOKUP(C11,'Raw - Employment'!A:Q,15,FALSE))/100),100)-MROUND(SUM(SUM(VLOOKUP(C11,'Raw - Employment'!A:Q,16,FALSE)*VLOOKUP(C11,'Raw - Employment'!A:Q,15,FALSE))/100),100)),SUM(MROUND(SUM(SUM(VLOOKUP(C$16,'Raw - Employment'!A:Q,16,FALSE)*VLOOKUP(C11,'Raw - Employment'!A:Q,15,FALSE))/100),100)-MROUND(SUM(SUM(VLOOKUP(C11,'Raw - Employment'!A:Q,16,FALSE)*VLOOKUP(C11,'Raw - Employment'!A:Q,15,FALSE))/100),100)))))))</f>
        <v>39100</v>
      </c>
    </row>
    <row r="12" spans="2:12" ht="19.5" customHeight="1">
      <c r="B12" s="296" t="s">
        <v>249</v>
      </c>
      <c r="C12" s="296" t="s">
        <v>37</v>
      </c>
      <c r="D12" s="297">
        <f>VLOOKUP($C12,'Raw - Employment'!$A:$Q,4,FALSE)</f>
        <v>77.099999999999994</v>
      </c>
      <c r="E12" s="297">
        <f>VLOOKUP($C12,'Raw - Employment'!$A:$Q,8,FALSE)</f>
        <v>75.099999999999994</v>
      </c>
      <c r="F12" s="297">
        <f>VLOOKUP($C12,'Raw - Employment'!$A:$Q,12,FALSE)</f>
        <v>71.3</v>
      </c>
      <c r="G12" s="297">
        <f>VLOOKUP($C12,'Raw - Employment'!$A:$Q,16,FALSE)</f>
        <v>76.8</v>
      </c>
      <c r="H12" s="318">
        <f>VLOOKUP(C12,'Raw - Employment'!A:Q,14,FALSE)</f>
        <v>86100</v>
      </c>
      <c r="I12" s="299">
        <f t="shared" si="1"/>
        <v>-0.29999999999999716</v>
      </c>
      <c r="J12" s="300">
        <f>SUM(VLOOKUP(C12,'Raw - Employment'!A:Q,14,FALSE)-VLOOKUP(C12,'Raw - Employment'!A:Q,2,FALSE))</f>
        <v>-600</v>
      </c>
      <c r="K12" s="301">
        <f t="shared" si="0"/>
        <v>11.5</v>
      </c>
      <c r="L12" s="302">
        <f>IF(K12="","",IF($K$5="LGBF FAMILY GROUP",SUM(MROUND(SUM(SUM(VLOOKUP(C$17,'Raw - Employment'!A:Q,16,FALSE)*VLOOKUP(C12,'Raw - Employment'!A:Q,15,FALSE))/100),100)-MROUND(SUM(SUM(VLOOKUP(C12,'Raw - Employment'!A:Q,16,FALSE)*VLOOKUP(C12,'Raw - Employment'!A:Q,15,FALSE))/100),100)),IF($K$5="Glasgow City Region",SUM(MROUND(SUM(SUM(VLOOKUP(C$18,'Raw - Employment'!A:Q,16,FALSE)*VLOOKUP(C12,'Raw - Employment'!A:Q,15,FALSE))/100),100)-MROUND(SUM(SUM(VLOOKUP(C12,'Raw - Employment'!A:Q,16,FALSE)*VLOOKUP(C12,'Raw - Employment'!A:Q,15,FALSE))/100),100)),IF($K$5="Scotland",SUM(MROUND(SUM(SUM(VLOOKUP(C$19,'Raw - Employment'!A:Q,16,FALSE)*VLOOKUP(C12,'Raw - Employment'!A:Q,15,FALSE))/100),100)-MROUND(SUM(SUM(VLOOKUP(C12,'Raw - Employment'!A:Q,16,FALSE)*VLOOKUP(C12,'Raw - Employment'!A:Q,15,FALSE))/100),100)),IF($K$5="United Kingdom",SUM(MROUND(SUM(SUM(VLOOKUP(C$20,'Raw - Employment'!A:Q,16,FALSE)*VLOOKUP(C12,'Raw - Employment'!A:Q,15,FALSE))/100),100)-MROUND(SUM(SUM(VLOOKUP(C12,'Raw - Employment'!A:Q,16,FALSE)*VLOOKUP(C12,'Raw - Employment'!A:Q,15,FALSE))/100),100)),SUM(MROUND(SUM(SUM(VLOOKUP(C$16,'Raw - Employment'!A:Q,16,FALSE)*VLOOKUP(C12,'Raw - Employment'!A:Q,15,FALSE))/100),100)-MROUND(SUM(SUM(VLOOKUP(C12,'Raw - Employment'!A:Q,16,FALSE)*VLOOKUP(C12,'Raw - Employment'!A:Q,15,FALSE))/100),100)))))))</f>
        <v>12900</v>
      </c>
    </row>
    <row r="13" spans="2:12" ht="19.5" customHeight="1">
      <c r="B13" s="296" t="s">
        <v>249</v>
      </c>
      <c r="C13" s="296" t="s">
        <v>41</v>
      </c>
      <c r="D13" s="297">
        <f>VLOOKUP($C13,'Raw - Employment'!$A:$Q,4,FALSE)</f>
        <v>76.900000000000006</v>
      </c>
      <c r="E13" s="297">
        <f>VLOOKUP($C13,'Raw - Employment'!$A:$Q,8,FALSE)</f>
        <v>77.7</v>
      </c>
      <c r="F13" s="297">
        <f>VLOOKUP($C13,'Raw - Employment'!$A:$Q,12,FALSE)</f>
        <v>79.8</v>
      </c>
      <c r="G13" s="297">
        <f>VLOOKUP($C13,'Raw - Employment'!$A:$Q,16,FALSE)</f>
        <v>77.099999999999994</v>
      </c>
      <c r="H13" s="318">
        <f>VLOOKUP(C13,'Raw - Employment'!A:Q,14,FALSE)</f>
        <v>154100</v>
      </c>
      <c r="I13" s="299">
        <f t="shared" si="1"/>
        <v>0.19999999999998863</v>
      </c>
      <c r="J13" s="300">
        <f>SUM(VLOOKUP(C13,'Raw - Employment'!A:Q,14,FALSE)-VLOOKUP(C13,'Raw - Employment'!A:Q,2,FALSE))</f>
        <v>2500</v>
      </c>
      <c r="K13" s="301">
        <f t="shared" si="0"/>
        <v>11.200000000000003</v>
      </c>
      <c r="L13" s="302">
        <f>IF(K13="","",IF($K$5="LGBF FAMILY GROUP",SUM(MROUND(SUM(SUM(VLOOKUP(C$17,'Raw - Employment'!A:Q,16,FALSE)*VLOOKUP(C13,'Raw - Employment'!A:Q,15,FALSE))/100),100)-MROUND(SUM(SUM(VLOOKUP(C13,'Raw - Employment'!A:Q,16,FALSE)*VLOOKUP(C13,'Raw - Employment'!A:Q,15,FALSE))/100),100)),IF($K$5="Glasgow City Region",SUM(MROUND(SUM(SUM(VLOOKUP(C$18,'Raw - Employment'!A:Q,16,FALSE)*VLOOKUP(C13,'Raw - Employment'!A:Q,15,FALSE))/100),100)-MROUND(SUM(SUM(VLOOKUP(C13,'Raw - Employment'!A:Q,16,FALSE)*VLOOKUP(C13,'Raw - Employment'!A:Q,15,FALSE))/100),100)),IF($K$5="Scotland",SUM(MROUND(SUM(SUM(VLOOKUP(C$19,'Raw - Employment'!A:Q,16,FALSE)*VLOOKUP(C13,'Raw - Employment'!A:Q,15,FALSE))/100),100)-MROUND(SUM(SUM(VLOOKUP(C13,'Raw - Employment'!A:Q,16,FALSE)*VLOOKUP(C13,'Raw - Employment'!A:Q,15,FALSE))/100),100)),IF($K$5="United Kingdom",SUM(MROUND(SUM(SUM(VLOOKUP(C$20,'Raw - Employment'!A:Q,16,FALSE)*VLOOKUP(C13,'Raw - Employment'!A:Q,15,FALSE))/100),100)-MROUND(SUM(SUM(VLOOKUP(C13,'Raw - Employment'!A:Q,16,FALSE)*VLOOKUP(C13,'Raw - Employment'!A:Q,15,FALSE))/100),100)),SUM(MROUND(SUM(SUM(VLOOKUP(C$16,'Raw - Employment'!A:Q,16,FALSE)*VLOOKUP(C13,'Raw - Employment'!A:Q,15,FALSE))/100),100)-MROUND(SUM(SUM(VLOOKUP(C13,'Raw - Employment'!A:Q,16,FALSE)*VLOOKUP(C13,'Raw - Employment'!A:Q,15,FALSE))/100),100)))))))</f>
        <v>22400</v>
      </c>
    </row>
    <row r="14" spans="2:12" ht="19.5" customHeight="1">
      <c r="B14" s="296" t="s">
        <v>249</v>
      </c>
      <c r="C14" s="296" t="s">
        <v>43</v>
      </c>
      <c r="D14" s="297">
        <f>VLOOKUP($C14,'Raw - Employment'!$A:$Q,4,FALSE)</f>
        <v>72.8</v>
      </c>
      <c r="E14" s="297">
        <f>VLOOKUP($C14,'Raw - Employment'!$A:$Q,8,FALSE)</f>
        <v>70.400000000000006</v>
      </c>
      <c r="F14" s="297">
        <f>VLOOKUP($C14,'Raw - Employment'!$A:$Q,12,FALSE)</f>
        <v>75.8</v>
      </c>
      <c r="G14" s="297">
        <f>VLOOKUP($C14,'Raw - Employment'!$A:$Q,16,FALSE)</f>
        <v>71.900000000000006</v>
      </c>
      <c r="H14" s="318">
        <f>VLOOKUP(C14,'Raw - Employment'!A:Q,14,FALSE)</f>
        <v>40000</v>
      </c>
      <c r="I14" s="299">
        <f t="shared" si="1"/>
        <v>-0.89999999999999147</v>
      </c>
      <c r="J14" s="300">
        <f>SUM(VLOOKUP(C14,'Raw - Employment'!A:Q,14,FALSE)-VLOOKUP(C14,'Raw - Employment'!A:Q,2,FALSE))</f>
        <v>-500</v>
      </c>
      <c r="K14" s="301">
        <f t="shared" si="0"/>
        <v>16.399999999999991</v>
      </c>
      <c r="L14" s="302">
        <f>IF(K14="","",IF($K$5="LGBF FAMILY GROUP",SUM(MROUND(SUM(SUM(VLOOKUP(C$17,'Raw - Employment'!A:Q,16,FALSE)*VLOOKUP(C14,'Raw - Employment'!A:Q,15,FALSE))/100),100)-MROUND(SUM(SUM(VLOOKUP(C14,'Raw - Employment'!A:Q,16,FALSE)*VLOOKUP(C14,'Raw - Employment'!A:Q,15,FALSE))/100),100)),IF($K$5="Glasgow City Region",SUM(MROUND(SUM(SUM(VLOOKUP(C$18,'Raw - Employment'!A:Q,16,FALSE)*VLOOKUP(C14,'Raw - Employment'!A:Q,15,FALSE))/100),100)-MROUND(SUM(SUM(VLOOKUP(C14,'Raw - Employment'!A:Q,16,FALSE)*VLOOKUP(C14,'Raw - Employment'!A:Q,15,FALSE))/100),100)),IF($K$5="Scotland",SUM(MROUND(SUM(SUM(VLOOKUP(C$19,'Raw - Employment'!A:Q,16,FALSE)*VLOOKUP(C14,'Raw - Employment'!A:Q,15,FALSE))/100),100)-MROUND(SUM(SUM(VLOOKUP(C14,'Raw - Employment'!A:Q,16,FALSE)*VLOOKUP(C14,'Raw - Employment'!A:Q,15,FALSE))/100),100)),IF($K$5="United Kingdom",SUM(MROUND(SUM(SUM(VLOOKUP(C$20,'Raw - Employment'!A:Q,16,FALSE)*VLOOKUP(C14,'Raw - Employment'!A:Q,15,FALSE))/100),100)-MROUND(SUM(SUM(VLOOKUP(C14,'Raw - Employment'!A:Q,16,FALSE)*VLOOKUP(C14,'Raw - Employment'!A:Q,15,FALSE))/100),100)),SUM(MROUND(SUM(SUM(VLOOKUP(C$16,'Raw - Employment'!A:Q,16,FALSE)*VLOOKUP(C14,'Raw - Employment'!A:Q,15,FALSE))/100),100)-MROUND(SUM(SUM(VLOOKUP(C14,'Raw - Employment'!A:Q,16,FALSE)*VLOOKUP(C14,'Raw - Employment'!A:Q,15,FALSE))/100),100)))))))</f>
        <v>9100</v>
      </c>
    </row>
    <row r="15" spans="2:12" ht="19.5" customHeight="1">
      <c r="B15" s="303"/>
      <c r="C15" s="303"/>
      <c r="D15" s="304"/>
      <c r="E15" s="304"/>
      <c r="F15" s="304"/>
      <c r="G15" s="304"/>
      <c r="H15" s="304"/>
      <c r="I15" s="306"/>
      <c r="J15" s="306"/>
      <c r="K15" s="306"/>
      <c r="L15" s="306"/>
    </row>
    <row r="16" spans="2:12" ht="19.5" customHeight="1">
      <c r="B16" s="307" t="s">
        <v>51</v>
      </c>
      <c r="C16" s="296" t="str">
        <f>INDEX('Raw - Employment'!$A$9:$A$40,MATCH(MAX('Raw - Employment'!P9:P40),'Raw - Employment'!P9:P40,0))</f>
        <v>Orkney Islands</v>
      </c>
      <c r="D16" s="297">
        <f>VLOOKUP($C16,'Raw - Employment'!$A:$Q,4,FALSE)</f>
        <v>83.3</v>
      </c>
      <c r="E16" s="297">
        <f>VLOOKUP($C16,'Raw - Employment'!$A:$Q,8,FALSE)</f>
        <v>72.900000000000006</v>
      </c>
      <c r="F16" s="297">
        <f>VLOOKUP($C16,'Raw - Employment'!$A:$Q,12,FALSE)</f>
        <v>87.5</v>
      </c>
      <c r="G16" s="297">
        <f>MAX('Raw - Employment'!P9:P40)</f>
        <v>88.3</v>
      </c>
      <c r="H16" s="318">
        <f>VLOOKUP(C16,'Raw - Employment'!A:Q,14,FALSE)</f>
        <v>11500</v>
      </c>
      <c r="I16" s="299">
        <f t="shared" si="1"/>
        <v>5</v>
      </c>
      <c r="J16" s="300">
        <f>SUM(VLOOKUP(C16,'Raw - Employment'!A:Q,14,FALSE)-VLOOKUP(C16,'Raw - Employment'!A:Q,2,FALSE))</f>
        <v>900</v>
      </c>
    </row>
    <row r="17" spans="2:12" ht="19.5" customHeight="1">
      <c r="B17" s="307" t="s">
        <v>539</v>
      </c>
      <c r="C17" s="308" t="s">
        <v>543</v>
      </c>
      <c r="D17" s="297">
        <f>VLOOKUP($C17,'Raw - Employment'!$A:$Q,4,FALSE)</f>
        <v>76.967930029154516</v>
      </c>
      <c r="E17" s="297">
        <f>VLOOKUP($C17,'Raw - Employment'!$A:$Q,8,FALSE)</f>
        <v>72.450837581937364</v>
      </c>
      <c r="F17" s="297">
        <f>VLOOKUP($C17,'Raw - Employment'!$A:$Q,12,FALSE)</f>
        <v>74.904597492276935</v>
      </c>
      <c r="G17" s="297">
        <f>VLOOKUP($C17,'Raw - Employment'!$A:$Q,16,FALSE)</f>
        <v>76.894142933906508</v>
      </c>
      <c r="H17" s="318">
        <f>VLOOKUP(C17,'Raw - Employment'!A:Q,14,FALSE)</f>
        <v>429300</v>
      </c>
      <c r="I17" s="299">
        <f>SUM(G17-D17)</f>
        <v>-7.3787095248007972E-2</v>
      </c>
      <c r="J17" s="300">
        <f>SUM(VLOOKUP(C17,'Raw - Employment'!A:Q,14,FALSE)-VLOOKUP(C17,'Raw - Employment'!A:Q,2,FALSE))</f>
        <v>6900</v>
      </c>
    </row>
    <row r="18" spans="2:12" ht="19.5" customHeight="1">
      <c r="B18" s="307" t="s">
        <v>250</v>
      </c>
      <c r="C18" s="296" t="s">
        <v>47</v>
      </c>
      <c r="D18" s="297">
        <f>VLOOKUP($C18,'Raw - Employment'!$A:$Q,4,FALSE)</f>
        <v>72.2</v>
      </c>
      <c r="E18" s="297">
        <f>VLOOKUP($C18,'Raw - Employment'!$A:$Q,8,FALSE)</f>
        <v>71.7</v>
      </c>
      <c r="F18" s="297">
        <f>VLOOKUP($C18,'Raw - Employment'!$A:$Q,12,FALSE)</f>
        <v>73.3</v>
      </c>
      <c r="G18" s="297">
        <f>VLOOKUP($C18,'Raw - Employment'!$A:$Q,16,FALSE)</f>
        <v>72.900000000000006</v>
      </c>
      <c r="H18" s="318">
        <f>VLOOKUP(C18,'Raw - Employment'!A:Q,14,FALSE)</f>
        <v>865900</v>
      </c>
      <c r="I18" s="299">
        <f t="shared" si="1"/>
        <v>0.70000000000000284</v>
      </c>
      <c r="J18" s="300">
        <f>SUM(VLOOKUP(C18,'Raw - Employment'!A:Q,14,FALSE)-VLOOKUP(C18,'Raw - Employment'!A:Q,2,FALSE))</f>
        <v>7900</v>
      </c>
    </row>
    <row r="19" spans="2:12" ht="19.5" customHeight="1">
      <c r="B19" s="307" t="s">
        <v>251</v>
      </c>
      <c r="C19" s="296" t="s">
        <v>45</v>
      </c>
      <c r="D19" s="297">
        <f>VLOOKUP($C19,'Raw - Employment'!$A:$Q,4,FALSE)</f>
        <v>73.400000000000006</v>
      </c>
      <c r="E19" s="297">
        <f>VLOOKUP($C19,'Raw - Employment'!$A:$Q,8,FALSE)</f>
        <v>73.2</v>
      </c>
      <c r="F19" s="297">
        <f>VLOOKUP($C19,'Raw - Employment'!$A:$Q,12,FALSE)</f>
        <v>74.400000000000006</v>
      </c>
      <c r="G19" s="297">
        <f>VLOOKUP($C19,'Raw - Employment'!$A:$Q,16,FALSE)</f>
        <v>74.7</v>
      </c>
      <c r="H19" s="318">
        <f>VLOOKUP(C19,'Raw - Employment'!A:Q,14,FALSE)</f>
        <v>2581900</v>
      </c>
      <c r="I19" s="299">
        <f t="shared" si="1"/>
        <v>1.2999999999999972</v>
      </c>
      <c r="J19" s="300">
        <f>SUM(VLOOKUP(C19,'Raw - Employment'!A:Q,14,FALSE)-VLOOKUP(C19,'Raw - Employment'!A:Q,2,FALSE))</f>
        <v>58900</v>
      </c>
    </row>
    <row r="20" spans="2:12" ht="19.5" customHeight="1">
      <c r="B20" s="307" t="s">
        <v>251</v>
      </c>
      <c r="C20" s="296" t="s">
        <v>46</v>
      </c>
      <c r="D20" s="297">
        <f>VLOOKUP($C20,'Raw - Employment'!$A:$Q,4,FALSE)</f>
        <v>75.099999999999994</v>
      </c>
      <c r="E20" s="297">
        <f>VLOOKUP($C20,'Raw - Employment'!$A:$Q,8,FALSE)</f>
        <v>74.7</v>
      </c>
      <c r="F20" s="297">
        <f>VLOOKUP($C20,'Raw - Employment'!$A:$Q,12,FALSE)</f>
        <v>75.5</v>
      </c>
      <c r="G20" s="297">
        <f>VLOOKUP($C20,'Raw - Employment'!$A:$Q,16,FALSE)</f>
        <v>75.7</v>
      </c>
      <c r="H20" s="318">
        <f>VLOOKUP(C20,'Raw - Employment'!A:Q,14,FALSE)</f>
        <v>31559400</v>
      </c>
      <c r="I20" s="299">
        <f t="shared" si="1"/>
        <v>0.60000000000000853</v>
      </c>
      <c r="J20" s="300">
        <f>SUM(VLOOKUP(C20,'Raw - Employment'!A:Q,14,FALSE)-VLOOKUP(C20,'Raw - Employment'!A:Q,2,FALSE))</f>
        <v>485100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sCOf2qQWhnKbvf9CgTpzx5/HE+QuVd6y3LJxBOl2UFp3wh3gxsPl5lGhHp/BJr0KSUGkaHBwRnVtyNrW6U6xcQ==" saltValue="bzGkS3f0GQ+ZKrCV5FoECw==" spinCount="100000" sheet="1" objects="1" scenarios="1"/>
  <autoFilter ref="C6:L14" xr:uid="{00000000-0009-0000-0000-000010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1000-000000000000}">
      <formula1>IF(B17="LGBF Family Group 1",LGBF_5,IF(B17="LGBF Family Group 3",LGBF_7,IF(B17="LGBF Family Group 4",LGBF_8,LGBF_6)))</formula1>
    </dataValidation>
  </dataValidations>
  <hyperlinks>
    <hyperlink ref="F2:G2" location="'Index RAG'!A1" display="Return to Index RAG" xr:uid="{00000000-0004-0000-1000-000001000000}"/>
    <hyperlink ref="C3" r:id="rId1" xr:uid="{E26DDDD6-BA3C-4800-ACFF-5942A6C32BF7}"/>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Lookups!$L$8:$O$8</xm:f>
          </x14:formula1>
          <xm:sqref>B17</xm:sqref>
        </x14:dataValidation>
        <x14:dataValidation type="list" allowBlank="1" showInputMessage="1" showErrorMessage="1" xr:uid="{00000000-0002-0000-1000-000002000000}">
          <x14:formula1>
            <xm:f>Lookups!$B$3:$B$7</xm:f>
          </x14:formula1>
          <xm:sqref>K5:L5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C13"/>
  <sheetViews>
    <sheetView workbookViewId="0">
      <selection activeCell="B1" sqref="B1"/>
    </sheetView>
  </sheetViews>
  <sheetFormatPr defaultColWidth="8.7265625" defaultRowHeight="23.15" customHeight="1"/>
  <cols>
    <col min="1" max="1" width="17.453125" style="207" customWidth="1"/>
    <col min="2" max="2" width="64.26953125" style="170" customWidth="1"/>
    <col min="3" max="3" width="12.1796875" style="170" customWidth="1"/>
    <col min="4" max="16384" width="8.7265625" style="170"/>
  </cols>
  <sheetData>
    <row r="1" spans="1:3" s="206" customFormat="1" ht="23.15" customHeight="1">
      <c r="A1" s="205" t="s">
        <v>228</v>
      </c>
      <c r="B1" s="205" t="s">
        <v>561</v>
      </c>
      <c r="C1" s="171" t="s">
        <v>562</v>
      </c>
    </row>
    <row r="2" spans="1:3" ht="23.15" customHeight="1">
      <c r="A2" s="219" t="s">
        <v>22</v>
      </c>
      <c r="B2" s="219" t="s">
        <v>566</v>
      </c>
      <c r="C2" s="218" t="s">
        <v>563</v>
      </c>
    </row>
    <row r="3" spans="1:3" ht="23.15" customHeight="1">
      <c r="A3" s="219" t="s">
        <v>22</v>
      </c>
      <c r="B3" s="219" t="s">
        <v>567</v>
      </c>
      <c r="C3" s="218" t="s">
        <v>564</v>
      </c>
    </row>
    <row r="4" spans="1:3" ht="23.15" customHeight="1">
      <c r="A4" s="219" t="s">
        <v>22</v>
      </c>
      <c r="B4" s="219" t="s">
        <v>568</v>
      </c>
      <c r="C4" s="218" t="s">
        <v>565</v>
      </c>
    </row>
    <row r="5" spans="1:3" ht="23.15" customHeight="1">
      <c r="A5" s="219" t="s">
        <v>24</v>
      </c>
      <c r="B5" s="219" t="s">
        <v>569</v>
      </c>
      <c r="C5" s="218" t="s">
        <v>563</v>
      </c>
    </row>
    <row r="6" spans="1:3" ht="23.15" customHeight="1">
      <c r="A6" s="219" t="s">
        <v>24</v>
      </c>
      <c r="B6" s="219" t="s">
        <v>571</v>
      </c>
      <c r="C6" s="218" t="s">
        <v>565</v>
      </c>
    </row>
    <row r="7" spans="1:3" ht="23.15" customHeight="1">
      <c r="A7" s="219" t="s">
        <v>24</v>
      </c>
      <c r="B7" s="219" t="s">
        <v>572</v>
      </c>
      <c r="C7" s="218" t="s">
        <v>565</v>
      </c>
    </row>
    <row r="8" spans="1:3" ht="23.15" customHeight="1">
      <c r="A8" s="219" t="s">
        <v>320</v>
      </c>
      <c r="B8" s="219" t="s">
        <v>577</v>
      </c>
      <c r="C8" s="218" t="s">
        <v>565</v>
      </c>
    </row>
    <row r="9" spans="1:3" ht="23.15" customHeight="1">
      <c r="A9" s="219" t="s">
        <v>34</v>
      </c>
      <c r="B9" s="219" t="s">
        <v>573</v>
      </c>
      <c r="C9" s="218" t="s">
        <v>565</v>
      </c>
    </row>
    <row r="10" spans="1:3" ht="23.15" customHeight="1">
      <c r="A10" s="219" t="s">
        <v>34</v>
      </c>
      <c r="B10" s="219" t="s">
        <v>574</v>
      </c>
      <c r="C10" s="218" t="s">
        <v>563</v>
      </c>
    </row>
    <row r="11" spans="1:3" ht="23.15" customHeight="1">
      <c r="A11" s="219" t="s">
        <v>34</v>
      </c>
      <c r="B11" s="219" t="s">
        <v>575</v>
      </c>
      <c r="C11" s="218" t="s">
        <v>565</v>
      </c>
    </row>
    <row r="12" spans="1:3" ht="23.15" customHeight="1">
      <c r="A12" s="219" t="s">
        <v>41</v>
      </c>
      <c r="B12" s="219" t="s">
        <v>570</v>
      </c>
      <c r="C12" s="218" t="s">
        <v>563</v>
      </c>
    </row>
    <row r="13" spans="1:3" ht="23.15" customHeight="1">
      <c r="A13" s="219" t="s">
        <v>41</v>
      </c>
      <c r="B13" s="219" t="s">
        <v>576</v>
      </c>
      <c r="C13" s="218" t="s">
        <v>563</v>
      </c>
    </row>
  </sheetData>
  <autoFilter ref="A1:C1" xr:uid="{00000000-0009-0000-0000-000001000000}"/>
  <conditionalFormatting sqref="C2:C13">
    <cfRule type="containsText" dxfId="585" priority="4" operator="containsText" text="Incomplete">
      <formula>NOT(ISERROR(SEARCH("Incomplete",C2)))</formula>
    </cfRule>
    <cfRule type="containsText" dxfId="584" priority="5" operator="containsText" text="In Progress">
      <formula>NOT(ISERROR(SEARCH("In Progress",C2)))</formula>
    </cfRule>
    <cfRule type="containsText" dxfId="583" priority="6" operator="containsText" text="Complete">
      <formula>NOT(ISERROR(SEARCH("Complete",C2)))</formula>
    </cfRule>
  </conditionalFormatting>
  <conditionalFormatting sqref="C8">
    <cfRule type="containsText" dxfId="582" priority="1" operator="containsText" text="Incomplete">
      <formula>NOT(ISERROR(SEARCH("Incomplete",C8)))</formula>
    </cfRule>
    <cfRule type="containsText" dxfId="581" priority="2" operator="containsText" text="In Progress">
      <formula>NOT(ISERROR(SEARCH("In Progress",C8)))</formula>
    </cfRule>
    <cfRule type="containsText" dxfId="580" priority="3" operator="containsText" text="Complete">
      <formula>NOT(ISERROR(SEARCH("Complete",C8)))</formula>
    </cfRule>
  </conditionalFormatting>
  <conditionalFormatting sqref="C12">
    <cfRule type="containsText" dxfId="579" priority="34" operator="containsText" text="Incomplete">
      <formula>NOT(ISERROR(SEARCH("Incomplete",C12)))</formula>
    </cfRule>
    <cfRule type="containsText" dxfId="578" priority="35" operator="containsText" text="In Progress">
      <formula>NOT(ISERROR(SEARCH("In Progress",C12)))</formula>
    </cfRule>
    <cfRule type="containsText" dxfId="577" priority="36" operator="containsText" text="Complete">
      <formula>NOT(ISERROR(SEARCH("Complete",C12)))</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Lookups!$T$5:$T$7</xm:f>
          </x14:formula1>
          <xm:sqref>C2:C13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286</v>
      </c>
      <c r="F2" s="595" t="s">
        <v>507</v>
      </c>
      <c r="G2" s="596"/>
    </row>
    <row r="3" spans="2:12" ht="13">
      <c r="B3" s="286" t="s">
        <v>49</v>
      </c>
      <c r="C3" s="288" t="s">
        <v>605</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Low Pay Sectors'!$A:$Q,4,FALSE)</f>
        <v>29.2</v>
      </c>
      <c r="E7" s="297">
        <f>VLOOKUP($C7,'Raw - Low Pay Sectors'!$A:$Q,8,FALSE)</f>
        <v>26.9</v>
      </c>
      <c r="F7" s="297">
        <f>VLOOKUP($C7,'Raw - Low Pay Sectors'!$A:$Q,12,FALSE)</f>
        <v>26.9</v>
      </c>
      <c r="G7" s="297">
        <f>VLOOKUP($C7,'Raw - Low Pay Sectors'!$A:$Q,16,FALSE)</f>
        <v>26.9</v>
      </c>
      <c r="H7" s="318">
        <f>VLOOKUP(C7,'Raw - Low Pay Sectors'!A:Q,14,FALSE)</f>
        <v>7000</v>
      </c>
      <c r="I7" s="299">
        <f>SUM(G7-D7)</f>
        <v>-2.3000000000000007</v>
      </c>
      <c r="J7" s="300">
        <f>SUM(VLOOKUP(C7,'Raw - Low Pay Sectors'!A:Q,14,FALSE)-VLOOKUP(C7,'Raw - Low Pay Sectors'!A:Q,2,FALSE))</f>
        <v>0</v>
      </c>
      <c r="K7" s="301">
        <f t="shared" ref="K7:K14" si="0">IF(IF($K$5="lgbf family group",SUM(G$17-G7),IF($K$5="Glasgow City Region",SUM(G$18-G7),IF($K$5="Scotland",SUM(G$19-G7),IF($K$5="United Kingdom",SUM(G$20-G7),SUM(G$16-G7)))))&gt;0,"",IF($K$5="lgbf family group",SUM(G$17-G7),IF($K$5="Glasgow City Region",SUM(G$18-G7),IF($K$5="Scotland",SUM(G$19-G7),IF($K$5="United Kingdom",SUM(G$20-G7),SUM(G$16-G7))))))</f>
        <v>-6.0999999999999979</v>
      </c>
      <c r="L7" s="302">
        <f>IF(K7="","",IF($K$5="LGBF FAMILY GROUP",SUM(MROUND(SUM(SUM(VLOOKUP(C$17,'Raw - Low Pay Sectors'!A:Q,16,FALSE)*VLOOKUP(C7,'Raw - Low Pay Sectors'!A:Q,15,FALSE))/100),100)-MROUND(SUM(SUM(VLOOKUP(C7,'Raw - Low Pay Sectors'!A:Q,16,FALSE)*VLOOKUP(C7,'Raw - Low Pay Sectors'!A:Q,15,FALSE))/100),100)),IF($K$5="Glasgow City Region",SUM(MROUND(SUM(SUM(VLOOKUP(C$18,'Raw - Low Pay Sectors'!A:Q,16,FALSE)*VLOOKUP(C7,'Raw - Low Pay Sectors'!A:Q,15,FALSE))/100),100)-MROUND(SUM(SUM(VLOOKUP(C7,'Raw - Low Pay Sectors'!A:Q,16,FALSE)*VLOOKUP(C7,'Raw - Low Pay Sectors'!A:Q,15,FALSE))/100),100)),IF($K$5="Scotland",SUM(MROUND(SUM(SUM(VLOOKUP(C$19,'Raw - Low Pay Sectors'!A:Q,16,FALSE)*VLOOKUP(C7,'Raw - Low Pay Sectors'!A:Q,15,FALSE))/100),100)-MROUND(SUM(SUM(VLOOKUP(C7,'Raw - Low Pay Sectors'!A:Q,16,FALSE)*VLOOKUP(C7,'Raw - Low Pay Sectors'!A:Q,15,FALSE))/100),100)),IF($K$5="United Kingdom",SUM(MROUND(SUM(SUM(VLOOKUP(C$20,'Raw - Low Pay Sectors'!A:Q,16,FALSE)*VLOOKUP(C7,'Raw - Low Pay Sectors'!A:Q,15,FALSE))/100),100)-MROUND(SUM(SUM(VLOOKUP(C7,'Raw - Low Pay Sectors'!A:Q,16,FALSE)*VLOOKUP(C7,'Raw - Low Pay Sectors'!A:Q,15,FALSE))/100),100)),SUM(MROUND(SUM(SUM(VLOOKUP(C$16,'Raw - Low Pay Sectors'!A:Q,16,FALSE)*VLOOKUP(C7,'Raw - Low Pay Sectors'!A:Q,15,FALSE))/100),100)-MROUND(SUM(SUM(VLOOKUP(C7,'Raw - Low Pay Sectors'!A:Q,16,FALSE)*VLOOKUP(C7,'Raw - Low Pay Sectors'!A:Q,15,FALSE))/100),100)))))))</f>
        <v>-1600</v>
      </c>
    </row>
    <row r="8" spans="2:12" ht="19.5" customHeight="1">
      <c r="B8" s="296" t="s">
        <v>249</v>
      </c>
      <c r="C8" s="296" t="s">
        <v>24</v>
      </c>
      <c r="D8" s="297">
        <f>VLOOKUP($C8,'Raw - Low Pay Sectors'!$A:$Q,4,FALSE)</f>
        <v>28.6</v>
      </c>
      <c r="E8" s="297">
        <f>VLOOKUP($C8,'Raw - Low Pay Sectors'!$A:$Q,8,FALSE)</f>
        <v>31.8</v>
      </c>
      <c r="F8" s="297">
        <f>VLOOKUP($C8,'Raw - Low Pay Sectors'!$A:$Q,12,FALSE)</f>
        <v>33.299999999999997</v>
      </c>
      <c r="G8" s="297">
        <f>VLOOKUP($C8,'Raw - Low Pay Sectors'!$A:$Q,16,FALSE)</f>
        <v>33.299999999999997</v>
      </c>
      <c r="H8" s="318">
        <f>VLOOKUP(C8,'Raw - Low Pay Sectors'!A:Q,14,FALSE)</f>
        <v>7000</v>
      </c>
      <c r="I8" s="299">
        <f>SUM(G8-D8)</f>
        <v>4.6999999999999957</v>
      </c>
      <c r="J8" s="300">
        <f>SUM(VLOOKUP(C8,'Raw - Low Pay Sectors'!A:Q,14,FALSE)-VLOOKUP(C8,'Raw - Low Pay Sectors'!A:Q,2,FALSE))</f>
        <v>1000</v>
      </c>
      <c r="K8" s="301">
        <f t="shared" si="0"/>
        <v>-12.499999999999996</v>
      </c>
      <c r="L8" s="302">
        <f>IF(K8="","",IF($K$5="LGBF FAMILY GROUP",SUM(MROUND(SUM(SUM(VLOOKUP(C$17,'Raw - Low Pay Sectors'!A:Q,16,FALSE)*VLOOKUP(C8,'Raw - Low Pay Sectors'!A:Q,15,FALSE))/100),100)-MROUND(SUM(SUM(VLOOKUP(C8,'Raw - Low Pay Sectors'!A:Q,16,FALSE)*VLOOKUP(C8,'Raw - Low Pay Sectors'!A:Q,15,FALSE))/100),100)),IF($K$5="Glasgow City Region",SUM(MROUND(SUM(SUM(VLOOKUP(C$18,'Raw - Low Pay Sectors'!A:Q,16,FALSE)*VLOOKUP(C8,'Raw - Low Pay Sectors'!A:Q,15,FALSE))/100),100)-MROUND(SUM(SUM(VLOOKUP(C8,'Raw - Low Pay Sectors'!A:Q,16,FALSE)*VLOOKUP(C8,'Raw - Low Pay Sectors'!A:Q,15,FALSE))/100),100)),IF($K$5="Scotland",SUM(MROUND(SUM(SUM(VLOOKUP(C$19,'Raw - Low Pay Sectors'!A:Q,16,FALSE)*VLOOKUP(C8,'Raw - Low Pay Sectors'!A:Q,15,FALSE))/100),100)-MROUND(SUM(SUM(VLOOKUP(C8,'Raw - Low Pay Sectors'!A:Q,16,FALSE)*VLOOKUP(C8,'Raw - Low Pay Sectors'!A:Q,15,FALSE))/100),100)),IF($K$5="United Kingdom",SUM(MROUND(SUM(SUM(VLOOKUP(C$20,'Raw - Low Pay Sectors'!A:Q,16,FALSE)*VLOOKUP(C8,'Raw - Low Pay Sectors'!A:Q,15,FALSE))/100),100)-MROUND(SUM(SUM(VLOOKUP(C8,'Raw - Low Pay Sectors'!A:Q,16,FALSE)*VLOOKUP(C8,'Raw - Low Pay Sectors'!A:Q,15,FALSE))/100),100)),SUM(MROUND(SUM(SUM(VLOOKUP(C$16,'Raw - Low Pay Sectors'!A:Q,16,FALSE)*VLOOKUP(C8,'Raw - Low Pay Sectors'!A:Q,15,FALSE))/100),100)-MROUND(SUM(SUM(VLOOKUP(C8,'Raw - Low Pay Sectors'!A:Q,16,FALSE)*VLOOKUP(C8,'Raw - Low Pay Sectors'!A:Q,15,FALSE))/100),100)))))))</f>
        <v>-2600</v>
      </c>
    </row>
    <row r="9" spans="2:12" ht="19.5" customHeight="1">
      <c r="B9" s="296" t="s">
        <v>249</v>
      </c>
      <c r="C9" s="296" t="s">
        <v>27</v>
      </c>
      <c r="D9" s="297">
        <f>VLOOKUP($C9,'Raw - Low Pay Sectors'!$A:$Q,4,FALSE)</f>
        <v>31</v>
      </c>
      <c r="E9" s="297">
        <f>VLOOKUP($C9,'Raw - Low Pay Sectors'!$A:$Q,8,FALSE)</f>
        <v>32.4</v>
      </c>
      <c r="F9" s="297">
        <f>VLOOKUP($C9,'Raw - Low Pay Sectors'!$A:$Q,12,FALSE)</f>
        <v>31</v>
      </c>
      <c r="G9" s="297">
        <f>VLOOKUP($C9,'Raw - Low Pay Sectors'!$A:$Q,16,FALSE)</f>
        <v>29.9</v>
      </c>
      <c r="H9" s="318">
        <f>VLOOKUP(C9,'Raw - Low Pay Sectors'!A:Q,14,FALSE)</f>
        <v>132000</v>
      </c>
      <c r="I9" s="299">
        <f t="shared" ref="I9:I20" si="1">SUM(G9-D9)</f>
        <v>-1.1000000000000014</v>
      </c>
      <c r="J9" s="300">
        <f>SUM(VLOOKUP(C9,'Raw - Low Pay Sectors'!A:Q,14,FALSE)-VLOOKUP(C9,'Raw - Low Pay Sectors'!A:Q,2,FALSE))</f>
        <v>6000</v>
      </c>
      <c r="K9" s="301">
        <f t="shared" si="0"/>
        <v>-9.0999999999999979</v>
      </c>
      <c r="L9" s="302">
        <f>IF(K9="","",IF($K$5="LGBF FAMILY GROUP",SUM(MROUND(SUM(SUM(VLOOKUP(C$17,'Raw - Low Pay Sectors'!A:Q,16,FALSE)*VLOOKUP(C9,'Raw - Low Pay Sectors'!A:Q,15,FALSE))/100),100)-MROUND(SUM(SUM(VLOOKUP(C9,'Raw - Low Pay Sectors'!A:Q,16,FALSE)*VLOOKUP(C9,'Raw - Low Pay Sectors'!A:Q,15,FALSE))/100),100)),IF($K$5="Glasgow City Region",SUM(MROUND(SUM(SUM(VLOOKUP(C$18,'Raw - Low Pay Sectors'!A:Q,16,FALSE)*VLOOKUP(C9,'Raw - Low Pay Sectors'!A:Q,15,FALSE))/100),100)-MROUND(SUM(SUM(VLOOKUP(C9,'Raw - Low Pay Sectors'!A:Q,16,FALSE)*VLOOKUP(C9,'Raw - Low Pay Sectors'!A:Q,15,FALSE))/100),100)),IF($K$5="Scotland",SUM(MROUND(SUM(SUM(VLOOKUP(C$19,'Raw - Low Pay Sectors'!A:Q,16,FALSE)*VLOOKUP(C9,'Raw - Low Pay Sectors'!A:Q,15,FALSE))/100),100)-MROUND(SUM(SUM(VLOOKUP(C9,'Raw - Low Pay Sectors'!A:Q,16,FALSE)*VLOOKUP(C9,'Raw - Low Pay Sectors'!A:Q,15,FALSE))/100),100)),IF($K$5="United Kingdom",SUM(MROUND(SUM(SUM(VLOOKUP(C$20,'Raw - Low Pay Sectors'!A:Q,16,FALSE)*VLOOKUP(C9,'Raw - Low Pay Sectors'!A:Q,15,FALSE))/100),100)-MROUND(SUM(SUM(VLOOKUP(C9,'Raw - Low Pay Sectors'!A:Q,16,FALSE)*VLOOKUP(C9,'Raw - Low Pay Sectors'!A:Q,15,FALSE))/100),100)),SUM(MROUND(SUM(SUM(VLOOKUP(C$16,'Raw - Low Pay Sectors'!A:Q,16,FALSE)*VLOOKUP(C9,'Raw - Low Pay Sectors'!A:Q,15,FALSE))/100),100)-MROUND(SUM(SUM(VLOOKUP(C9,'Raw - Low Pay Sectors'!A:Q,16,FALSE)*VLOOKUP(C9,'Raw - Low Pay Sectors'!A:Q,15,FALSE))/100),100)))))))</f>
        <v>-40200</v>
      </c>
    </row>
    <row r="10" spans="2:12" ht="19.5" customHeight="1">
      <c r="B10" s="296" t="s">
        <v>249</v>
      </c>
      <c r="C10" s="296" t="s">
        <v>29</v>
      </c>
      <c r="D10" s="297">
        <f>VLOOKUP($C10,'Raw - Low Pay Sectors'!$A:$Q,4,FALSE)</f>
        <v>26.9</v>
      </c>
      <c r="E10" s="297">
        <f>VLOOKUP($C10,'Raw - Low Pay Sectors'!$A:$Q,8,FALSE)</f>
        <v>30.8</v>
      </c>
      <c r="F10" s="297">
        <f>VLOOKUP($C10,'Raw - Low Pay Sectors'!$A:$Q,12,FALSE)</f>
        <v>28</v>
      </c>
      <c r="G10" s="297">
        <f>VLOOKUP($C10,'Raw - Low Pay Sectors'!$A:$Q,16,FALSE)</f>
        <v>29.2</v>
      </c>
      <c r="H10" s="318">
        <f>VLOOKUP(C10,'Raw - Low Pay Sectors'!A:Q,14,FALSE)</f>
        <v>7000</v>
      </c>
      <c r="I10" s="299">
        <f t="shared" si="1"/>
        <v>2.3000000000000007</v>
      </c>
      <c r="J10" s="300">
        <f>SUM(VLOOKUP(C10,'Raw - Low Pay Sectors'!A:Q,14,FALSE)-VLOOKUP(C10,'Raw - Low Pay Sectors'!A:Q,2,FALSE))</f>
        <v>0</v>
      </c>
      <c r="K10" s="301">
        <f t="shared" si="0"/>
        <v>-8.3999999999999986</v>
      </c>
      <c r="L10" s="302">
        <f>IF(K10="","",IF($K$5="LGBF FAMILY GROUP",SUM(MROUND(SUM(SUM(VLOOKUP(C$17,'Raw - Low Pay Sectors'!A:Q,16,FALSE)*VLOOKUP(C10,'Raw - Low Pay Sectors'!A:Q,15,FALSE))/100),100)-MROUND(SUM(SUM(VLOOKUP(C10,'Raw - Low Pay Sectors'!A:Q,16,FALSE)*VLOOKUP(C10,'Raw - Low Pay Sectors'!A:Q,15,FALSE))/100),100)),IF($K$5="Glasgow City Region",SUM(MROUND(SUM(SUM(VLOOKUP(C$18,'Raw - Low Pay Sectors'!A:Q,16,FALSE)*VLOOKUP(C10,'Raw - Low Pay Sectors'!A:Q,15,FALSE))/100),100)-MROUND(SUM(SUM(VLOOKUP(C10,'Raw - Low Pay Sectors'!A:Q,16,FALSE)*VLOOKUP(C10,'Raw - Low Pay Sectors'!A:Q,15,FALSE))/100),100)),IF($K$5="Scotland",SUM(MROUND(SUM(SUM(VLOOKUP(C$19,'Raw - Low Pay Sectors'!A:Q,16,FALSE)*VLOOKUP(C10,'Raw - Low Pay Sectors'!A:Q,15,FALSE))/100),100)-MROUND(SUM(SUM(VLOOKUP(C10,'Raw - Low Pay Sectors'!A:Q,16,FALSE)*VLOOKUP(C10,'Raw - Low Pay Sectors'!A:Q,15,FALSE))/100),100)),IF($K$5="United Kingdom",SUM(MROUND(SUM(SUM(VLOOKUP(C$20,'Raw - Low Pay Sectors'!A:Q,16,FALSE)*VLOOKUP(C10,'Raw - Low Pay Sectors'!A:Q,15,FALSE))/100),100)-MROUND(SUM(SUM(VLOOKUP(C10,'Raw - Low Pay Sectors'!A:Q,16,FALSE)*VLOOKUP(C10,'Raw - Low Pay Sectors'!A:Q,15,FALSE))/100),100)),SUM(MROUND(SUM(SUM(VLOOKUP(C$16,'Raw - Low Pay Sectors'!A:Q,16,FALSE)*VLOOKUP(C10,'Raw - Low Pay Sectors'!A:Q,15,FALSE))/100),100)-MROUND(SUM(SUM(VLOOKUP(C10,'Raw - Low Pay Sectors'!A:Q,16,FALSE)*VLOOKUP(C10,'Raw - Low Pay Sectors'!A:Q,15,FALSE))/100),100)))))))</f>
        <v>-2000</v>
      </c>
    </row>
    <row r="11" spans="2:12" ht="19.5" customHeight="1">
      <c r="B11" s="296" t="s">
        <v>249</v>
      </c>
      <c r="C11" s="296" t="s">
        <v>34</v>
      </c>
      <c r="D11" s="297">
        <f>VLOOKUP($C11,'Raw - Low Pay Sectors'!$A:$Q,4,FALSE)</f>
        <v>25.4</v>
      </c>
      <c r="E11" s="297">
        <f>VLOOKUP($C11,'Raw - Low Pay Sectors'!$A:$Q,8,FALSE)</f>
        <v>26.9</v>
      </c>
      <c r="F11" s="297">
        <f>VLOOKUP($C11,'Raw - Low Pay Sectors'!$A:$Q,12,FALSE)</f>
        <v>27.7</v>
      </c>
      <c r="G11" s="297">
        <f>VLOOKUP($C11,'Raw - Low Pay Sectors'!$A:$Q,16,FALSE)</f>
        <v>26.7</v>
      </c>
      <c r="H11" s="318">
        <f>VLOOKUP(C11,'Raw - Low Pay Sectors'!A:Q,14,FALSE)</f>
        <v>35000</v>
      </c>
      <c r="I11" s="299">
        <f t="shared" si="1"/>
        <v>1.3000000000000007</v>
      </c>
      <c r="J11" s="300">
        <f>SUM(VLOOKUP(C11,'Raw - Low Pay Sectors'!A:Q,14,FALSE)-VLOOKUP(C11,'Raw - Low Pay Sectors'!A:Q,2,FALSE))</f>
        <v>1000</v>
      </c>
      <c r="K11" s="301">
        <f t="shared" si="0"/>
        <v>-5.8999999999999986</v>
      </c>
      <c r="L11" s="302">
        <f>IF(K11="","",IF($K$5="LGBF FAMILY GROUP",SUM(MROUND(SUM(SUM(VLOOKUP(C$17,'Raw - Low Pay Sectors'!A:Q,16,FALSE)*VLOOKUP(C11,'Raw - Low Pay Sectors'!A:Q,15,FALSE))/100),100)-MROUND(SUM(SUM(VLOOKUP(C11,'Raw - Low Pay Sectors'!A:Q,16,FALSE)*VLOOKUP(C11,'Raw - Low Pay Sectors'!A:Q,15,FALSE))/100),100)),IF($K$5="Glasgow City Region",SUM(MROUND(SUM(SUM(VLOOKUP(C$18,'Raw - Low Pay Sectors'!A:Q,16,FALSE)*VLOOKUP(C11,'Raw - Low Pay Sectors'!A:Q,15,FALSE))/100),100)-MROUND(SUM(SUM(VLOOKUP(C11,'Raw - Low Pay Sectors'!A:Q,16,FALSE)*VLOOKUP(C11,'Raw - Low Pay Sectors'!A:Q,15,FALSE))/100),100)),IF($K$5="Scotland",SUM(MROUND(SUM(SUM(VLOOKUP(C$19,'Raw - Low Pay Sectors'!A:Q,16,FALSE)*VLOOKUP(C11,'Raw - Low Pay Sectors'!A:Q,15,FALSE))/100),100)-MROUND(SUM(SUM(VLOOKUP(C11,'Raw - Low Pay Sectors'!A:Q,16,FALSE)*VLOOKUP(C11,'Raw - Low Pay Sectors'!A:Q,15,FALSE))/100),100)),IF($K$5="United Kingdom",SUM(MROUND(SUM(SUM(VLOOKUP(C$20,'Raw - Low Pay Sectors'!A:Q,16,FALSE)*VLOOKUP(C11,'Raw - Low Pay Sectors'!A:Q,15,FALSE))/100),100)-MROUND(SUM(SUM(VLOOKUP(C11,'Raw - Low Pay Sectors'!A:Q,16,FALSE)*VLOOKUP(C11,'Raw - Low Pay Sectors'!A:Q,15,FALSE))/100),100)),SUM(MROUND(SUM(SUM(VLOOKUP(C$16,'Raw - Low Pay Sectors'!A:Q,16,FALSE)*VLOOKUP(C11,'Raw - Low Pay Sectors'!A:Q,15,FALSE))/100),100)-MROUND(SUM(SUM(VLOOKUP(C11,'Raw - Low Pay Sectors'!A:Q,16,FALSE)*VLOOKUP(C11,'Raw - Low Pay Sectors'!A:Q,15,FALSE))/100),100)))))))</f>
        <v>-7700</v>
      </c>
    </row>
    <row r="12" spans="2:12" ht="19.5" customHeight="1">
      <c r="B12" s="296" t="s">
        <v>249</v>
      </c>
      <c r="C12" s="296" t="s">
        <v>37</v>
      </c>
      <c r="D12" s="297">
        <f>VLOOKUP($C12,'Raw - Low Pay Sectors'!$A:$Q,4,FALSE)</f>
        <v>35.700000000000003</v>
      </c>
      <c r="E12" s="297">
        <f>VLOOKUP($C12,'Raw - Low Pay Sectors'!$A:$Q,8,FALSE)</f>
        <v>36.1</v>
      </c>
      <c r="F12" s="297">
        <f>VLOOKUP($C12,'Raw - Low Pay Sectors'!$A:$Q,12,FALSE)</f>
        <v>35.700000000000003</v>
      </c>
      <c r="G12" s="297">
        <f>VLOOKUP($C12,'Raw - Low Pay Sectors'!$A:$Q,16,FALSE)</f>
        <v>34.5</v>
      </c>
      <c r="H12" s="318">
        <f>VLOOKUP(C12,'Raw - Low Pay Sectors'!A:Q,14,FALSE)</f>
        <v>29000</v>
      </c>
      <c r="I12" s="299">
        <f t="shared" si="1"/>
        <v>-1.2000000000000028</v>
      </c>
      <c r="J12" s="300">
        <f>SUM(VLOOKUP(C12,'Raw - Low Pay Sectors'!A:Q,14,FALSE)-VLOOKUP(C12,'Raw - Low Pay Sectors'!A:Q,2,FALSE))</f>
        <v>-1000</v>
      </c>
      <c r="K12" s="301">
        <f t="shared" si="0"/>
        <v>-13.7</v>
      </c>
      <c r="L12" s="302">
        <f>IF(K12="","",IF($K$5="LGBF FAMILY GROUP",SUM(MROUND(SUM(SUM(VLOOKUP(C$17,'Raw - Low Pay Sectors'!A:Q,16,FALSE)*VLOOKUP(C12,'Raw - Low Pay Sectors'!A:Q,15,FALSE))/100),100)-MROUND(SUM(SUM(VLOOKUP(C12,'Raw - Low Pay Sectors'!A:Q,16,FALSE)*VLOOKUP(C12,'Raw - Low Pay Sectors'!A:Q,15,FALSE))/100),100)),IF($K$5="Glasgow City Region",SUM(MROUND(SUM(SUM(VLOOKUP(C$18,'Raw - Low Pay Sectors'!A:Q,16,FALSE)*VLOOKUP(C12,'Raw - Low Pay Sectors'!A:Q,15,FALSE))/100),100)-MROUND(SUM(SUM(VLOOKUP(C12,'Raw - Low Pay Sectors'!A:Q,16,FALSE)*VLOOKUP(C12,'Raw - Low Pay Sectors'!A:Q,15,FALSE))/100),100)),IF($K$5="Scotland",SUM(MROUND(SUM(SUM(VLOOKUP(C$19,'Raw - Low Pay Sectors'!A:Q,16,FALSE)*VLOOKUP(C12,'Raw - Low Pay Sectors'!A:Q,15,FALSE))/100),100)-MROUND(SUM(SUM(VLOOKUP(C12,'Raw - Low Pay Sectors'!A:Q,16,FALSE)*VLOOKUP(C12,'Raw - Low Pay Sectors'!A:Q,15,FALSE))/100),100)),IF($K$5="United Kingdom",SUM(MROUND(SUM(SUM(VLOOKUP(C$20,'Raw - Low Pay Sectors'!A:Q,16,FALSE)*VLOOKUP(C12,'Raw - Low Pay Sectors'!A:Q,15,FALSE))/100),100)-MROUND(SUM(SUM(VLOOKUP(C12,'Raw - Low Pay Sectors'!A:Q,16,FALSE)*VLOOKUP(C12,'Raw - Low Pay Sectors'!A:Q,15,FALSE))/100),100)),SUM(MROUND(SUM(SUM(VLOOKUP(C$16,'Raw - Low Pay Sectors'!A:Q,16,FALSE)*VLOOKUP(C12,'Raw - Low Pay Sectors'!A:Q,15,FALSE))/100),100)-MROUND(SUM(SUM(VLOOKUP(C12,'Raw - Low Pay Sectors'!A:Q,16,FALSE)*VLOOKUP(C12,'Raw - Low Pay Sectors'!A:Q,15,FALSE))/100),100)))))))</f>
        <v>-11500</v>
      </c>
    </row>
    <row r="13" spans="2:12" ht="19.5" customHeight="1">
      <c r="B13" s="296" t="s">
        <v>249</v>
      </c>
      <c r="C13" s="296" t="s">
        <v>41</v>
      </c>
      <c r="D13" s="297">
        <f>VLOOKUP($C13,'Raw - Low Pay Sectors'!$A:$Q,4,FALSE)</f>
        <v>29.1</v>
      </c>
      <c r="E13" s="297">
        <f>VLOOKUP($C13,'Raw - Low Pay Sectors'!$A:$Q,8,FALSE)</f>
        <v>30.3</v>
      </c>
      <c r="F13" s="297">
        <f>VLOOKUP($C13,'Raw - Low Pay Sectors'!$A:$Q,12,FALSE)</f>
        <v>30.2</v>
      </c>
      <c r="G13" s="297">
        <f>VLOOKUP($C13,'Raw - Low Pay Sectors'!$A:$Q,16,FALSE)</f>
        <v>30.5</v>
      </c>
      <c r="H13" s="318">
        <f>VLOOKUP(C13,'Raw - Low Pay Sectors'!A:Q,14,FALSE)</f>
        <v>36000</v>
      </c>
      <c r="I13" s="299">
        <f t="shared" si="1"/>
        <v>1.3999999999999986</v>
      </c>
      <c r="J13" s="300">
        <f>SUM(VLOOKUP(C13,'Raw - Low Pay Sectors'!A:Q,14,FALSE)-VLOOKUP(C13,'Raw - Low Pay Sectors'!A:Q,2,FALSE))</f>
        <v>2000</v>
      </c>
      <c r="K13" s="301">
        <f t="shared" si="0"/>
        <v>-9.6999999999999993</v>
      </c>
      <c r="L13" s="302">
        <f>IF(K13="","",IF($K$5="LGBF FAMILY GROUP",SUM(MROUND(SUM(SUM(VLOOKUP(C$17,'Raw - Low Pay Sectors'!A:Q,16,FALSE)*VLOOKUP(C13,'Raw - Low Pay Sectors'!A:Q,15,FALSE))/100),100)-MROUND(SUM(SUM(VLOOKUP(C13,'Raw - Low Pay Sectors'!A:Q,16,FALSE)*VLOOKUP(C13,'Raw - Low Pay Sectors'!A:Q,15,FALSE))/100),100)),IF($K$5="Glasgow City Region",SUM(MROUND(SUM(SUM(VLOOKUP(C$18,'Raw - Low Pay Sectors'!A:Q,16,FALSE)*VLOOKUP(C13,'Raw - Low Pay Sectors'!A:Q,15,FALSE))/100),100)-MROUND(SUM(SUM(VLOOKUP(C13,'Raw - Low Pay Sectors'!A:Q,16,FALSE)*VLOOKUP(C13,'Raw - Low Pay Sectors'!A:Q,15,FALSE))/100),100)),IF($K$5="Scotland",SUM(MROUND(SUM(SUM(VLOOKUP(C$19,'Raw - Low Pay Sectors'!A:Q,16,FALSE)*VLOOKUP(C13,'Raw - Low Pay Sectors'!A:Q,15,FALSE))/100),100)-MROUND(SUM(SUM(VLOOKUP(C13,'Raw - Low Pay Sectors'!A:Q,16,FALSE)*VLOOKUP(C13,'Raw - Low Pay Sectors'!A:Q,15,FALSE))/100),100)),IF($K$5="United Kingdom",SUM(MROUND(SUM(SUM(VLOOKUP(C$20,'Raw - Low Pay Sectors'!A:Q,16,FALSE)*VLOOKUP(C13,'Raw - Low Pay Sectors'!A:Q,15,FALSE))/100),100)-MROUND(SUM(SUM(VLOOKUP(C13,'Raw - Low Pay Sectors'!A:Q,16,FALSE)*VLOOKUP(C13,'Raw - Low Pay Sectors'!A:Q,15,FALSE))/100),100)),SUM(MROUND(SUM(SUM(VLOOKUP(C$16,'Raw - Low Pay Sectors'!A:Q,16,FALSE)*VLOOKUP(C13,'Raw - Low Pay Sectors'!A:Q,15,FALSE))/100),100)-MROUND(SUM(SUM(VLOOKUP(C13,'Raw - Low Pay Sectors'!A:Q,16,FALSE)*VLOOKUP(C13,'Raw - Low Pay Sectors'!A:Q,15,FALSE))/100),100)))))))</f>
        <v>-11400</v>
      </c>
    </row>
    <row r="14" spans="2:12" ht="19.5" customHeight="1">
      <c r="B14" s="296" t="s">
        <v>249</v>
      </c>
      <c r="C14" s="296" t="s">
        <v>43</v>
      </c>
      <c r="D14" s="297">
        <f>VLOOKUP($C14,'Raw - Low Pay Sectors'!$A:$Q,4,FALSE)</f>
        <v>25</v>
      </c>
      <c r="E14" s="297">
        <f>VLOOKUP($C14,'Raw - Low Pay Sectors'!$A:$Q,8,FALSE)</f>
        <v>30.3</v>
      </c>
      <c r="F14" s="297">
        <f>VLOOKUP($C14,'Raw - Low Pay Sectors'!$A:$Q,12,FALSE)</f>
        <v>28.1</v>
      </c>
      <c r="G14" s="297">
        <f>VLOOKUP($C14,'Raw - Low Pay Sectors'!$A:$Q,16,FALSE)</f>
        <v>27.3</v>
      </c>
      <c r="H14" s="318">
        <f>VLOOKUP(C14,'Raw - Low Pay Sectors'!A:Q,14,FALSE)</f>
        <v>9000</v>
      </c>
      <c r="I14" s="299">
        <f t="shared" si="1"/>
        <v>2.3000000000000007</v>
      </c>
      <c r="J14" s="300">
        <f>SUM(VLOOKUP(C14,'Raw - Low Pay Sectors'!A:Q,14,FALSE)-VLOOKUP(C14,'Raw - Low Pay Sectors'!A:Q,2,FALSE))</f>
        <v>1000</v>
      </c>
      <c r="K14" s="301">
        <f t="shared" si="0"/>
        <v>-6.5</v>
      </c>
      <c r="L14" s="302">
        <f>IF(K14="","",IF($K$5="LGBF FAMILY GROUP",SUM(MROUND(SUM(SUM(VLOOKUP(C$17,'Raw - Low Pay Sectors'!A:Q,16,FALSE)*VLOOKUP(C14,'Raw - Low Pay Sectors'!A:Q,15,FALSE))/100),100)-MROUND(SUM(SUM(VLOOKUP(C14,'Raw - Low Pay Sectors'!A:Q,16,FALSE)*VLOOKUP(C14,'Raw - Low Pay Sectors'!A:Q,15,FALSE))/100),100)),IF($K$5="Glasgow City Region",SUM(MROUND(SUM(SUM(VLOOKUP(C$18,'Raw - Low Pay Sectors'!A:Q,16,FALSE)*VLOOKUP(C14,'Raw - Low Pay Sectors'!A:Q,15,FALSE))/100),100)-MROUND(SUM(SUM(VLOOKUP(C14,'Raw - Low Pay Sectors'!A:Q,16,FALSE)*VLOOKUP(C14,'Raw - Low Pay Sectors'!A:Q,15,FALSE))/100),100)),IF($K$5="Scotland",SUM(MROUND(SUM(SUM(VLOOKUP(C$19,'Raw - Low Pay Sectors'!A:Q,16,FALSE)*VLOOKUP(C14,'Raw - Low Pay Sectors'!A:Q,15,FALSE))/100),100)-MROUND(SUM(SUM(VLOOKUP(C14,'Raw - Low Pay Sectors'!A:Q,16,FALSE)*VLOOKUP(C14,'Raw - Low Pay Sectors'!A:Q,15,FALSE))/100),100)),IF($K$5="United Kingdom",SUM(MROUND(SUM(SUM(VLOOKUP(C$20,'Raw - Low Pay Sectors'!A:Q,16,FALSE)*VLOOKUP(C14,'Raw - Low Pay Sectors'!A:Q,15,FALSE))/100),100)-MROUND(SUM(SUM(VLOOKUP(C14,'Raw - Low Pay Sectors'!A:Q,16,FALSE)*VLOOKUP(C14,'Raw - Low Pay Sectors'!A:Q,15,FALSE))/100),100)),SUM(MROUND(SUM(SUM(VLOOKUP(C$16,'Raw - Low Pay Sectors'!A:Q,16,FALSE)*VLOOKUP(C14,'Raw - Low Pay Sectors'!A:Q,15,FALSE))/100),100)-MROUND(SUM(SUM(VLOOKUP(C14,'Raw - Low Pay Sectors'!A:Q,16,FALSE)*VLOOKUP(C14,'Raw - Low Pay Sectors'!A:Q,15,FALSE))/100),100)))))))</f>
        <v>-2100</v>
      </c>
    </row>
    <row r="15" spans="2:12" ht="19.5" customHeight="1">
      <c r="B15" s="303"/>
      <c r="C15" s="303"/>
      <c r="D15" s="304"/>
      <c r="E15" s="304"/>
      <c r="F15" s="304"/>
      <c r="G15" s="304"/>
      <c r="H15" s="304"/>
      <c r="I15" s="306"/>
      <c r="J15" s="306"/>
      <c r="K15" s="306"/>
      <c r="L15" s="306"/>
    </row>
    <row r="16" spans="2:12" ht="19.5" customHeight="1">
      <c r="B16" s="307" t="s">
        <v>51</v>
      </c>
      <c r="C16" s="296" t="str">
        <f>INDEX('Raw - Low Pay Sectors'!$A$9:$A$40,MATCH(MIN('Raw - Low Pay Sectors'!P9:P40),'Raw - Low Pay Sectors'!P9:P40,0))</f>
        <v>Orkney Islands</v>
      </c>
      <c r="D16" s="297">
        <f>VLOOKUP($C16,'Raw - Low Pay Sectors'!$A:$Q,4,FALSE)</f>
        <v>22.7</v>
      </c>
      <c r="E16" s="297">
        <f>VLOOKUP($C16,'Raw - Low Pay Sectors'!$A:$Q,8,FALSE)</f>
        <v>20.8</v>
      </c>
      <c r="F16" s="297">
        <f>VLOOKUP($C16,'Raw - Low Pay Sectors'!$A:$Q,12,FALSE)</f>
        <v>22.7</v>
      </c>
      <c r="G16" s="297">
        <f>VLOOKUP($C16,'Raw - Low Pay Sectors'!$A:$Q,16,FALSE)</f>
        <v>20.8</v>
      </c>
      <c r="H16" s="318">
        <f>VLOOKUP(C16,'Raw - Low Pay Sectors'!A:Q,14,FALSE)</f>
        <v>2500</v>
      </c>
      <c r="I16" s="299">
        <f t="shared" si="1"/>
        <v>-1.8999999999999986</v>
      </c>
      <c r="J16" s="300">
        <f>SUM(VLOOKUP(C16,'Raw - Low Pay Sectors'!A:Q,14,FALSE)-VLOOKUP(C16,'Raw - Low Pay Sectors'!A:Q,2,FALSE))</f>
        <v>0</v>
      </c>
    </row>
    <row r="17" spans="2:12" ht="19.5" customHeight="1">
      <c r="B17" s="307" t="s">
        <v>542</v>
      </c>
      <c r="C17" s="308" t="s">
        <v>546</v>
      </c>
      <c r="D17" s="297">
        <f>VLOOKUP($C17,'Raw - Low Pay Sectors'!$A:$Q,4,FALSE)</f>
        <v>28.615555918501776</v>
      </c>
      <c r="E17" s="297">
        <f>VLOOKUP($C17,'Raw - Low Pay Sectors'!$A:$Q,8,FALSE)</f>
        <v>29.546397981068019</v>
      </c>
      <c r="F17" s="297">
        <f>VLOOKUP($C17,'Raw - Low Pay Sectors'!$A:$Q,12,FALSE)</f>
        <v>27.985096621073374</v>
      </c>
      <c r="G17" s="297">
        <f>VLOOKUP($C17,'Raw - Low Pay Sectors'!$A:$Q,16,FALSE)</f>
        <v>27.592294455223815</v>
      </c>
      <c r="H17" s="318">
        <f>VLOOKUP(C17,'Raw - Low Pay Sectors'!A:Q,14,FALSE)</f>
        <v>361000</v>
      </c>
      <c r="I17" s="299">
        <f>SUM(G17-D17)</f>
        <v>-1.0232614632779615</v>
      </c>
      <c r="J17" s="300">
        <f>SUM(VLOOKUP(C17,'Raw - Low Pay Sectors'!A:Q,14,FALSE)-VLOOKUP(C17,'Raw - Low Pay Sectors'!A:Q,2,FALSE))</f>
        <v>6000</v>
      </c>
    </row>
    <row r="18" spans="2:12" ht="19.5" customHeight="1">
      <c r="B18" s="307" t="s">
        <v>250</v>
      </c>
      <c r="C18" s="296" t="s">
        <v>47</v>
      </c>
      <c r="D18" s="297">
        <f>VLOOKUP($C18,'Raw - Low Pay Sectors'!$A:$Q,4,FALSE)</f>
        <v>29.8</v>
      </c>
      <c r="E18" s="297">
        <f>VLOOKUP($C18,'Raw - Low Pay Sectors'!$A:$Q,8,FALSE)</f>
        <v>31.3</v>
      </c>
      <c r="F18" s="297">
        <f>VLOOKUP($C18,'Raw - Low Pay Sectors'!$A:$Q,12,FALSE)</f>
        <v>30.5</v>
      </c>
      <c r="G18" s="297">
        <f>VLOOKUP($C18,'Raw - Low Pay Sectors'!$A:$Q,16,FALSE)</f>
        <v>30</v>
      </c>
      <c r="H18" s="318">
        <f>VLOOKUP(C18,'Raw - Low Pay Sectors'!A:Q,14,FALSE)</f>
        <v>263000</v>
      </c>
      <c r="I18" s="299">
        <f t="shared" si="1"/>
        <v>0.19999999999999929</v>
      </c>
      <c r="J18" s="300">
        <f>SUM(VLOOKUP(C18,'Raw - Low Pay Sectors'!A:Q,14,FALSE)-VLOOKUP(C18,'Raw - Low Pay Sectors'!A:Q,2,FALSE))</f>
        <v>11000</v>
      </c>
    </row>
    <row r="19" spans="2:12" ht="19.5" customHeight="1">
      <c r="B19" s="307" t="s">
        <v>251</v>
      </c>
      <c r="C19" s="296" t="s">
        <v>45</v>
      </c>
      <c r="D19" s="297">
        <f>VLOOKUP($C19,'Raw - Low Pay Sectors'!$A:$Q,4,FALSE)</f>
        <v>28.7</v>
      </c>
      <c r="E19" s="297">
        <f>VLOOKUP($C19,'Raw - Low Pay Sectors'!$A:$Q,8,FALSE)</f>
        <v>29.6</v>
      </c>
      <c r="F19" s="297">
        <f>VLOOKUP($C19,'Raw - Low Pay Sectors'!$A:$Q,12,FALSE)</f>
        <v>29</v>
      </c>
      <c r="G19" s="297">
        <f>VLOOKUP($C19,'Raw - Low Pay Sectors'!$A:$Q,16,FALSE)</f>
        <v>28.8</v>
      </c>
      <c r="H19" s="318">
        <f>VLOOKUP(C19,'Raw - Low Pay Sectors'!A:Q,14,FALSE)</f>
        <v>737000</v>
      </c>
      <c r="I19" s="299">
        <f t="shared" si="1"/>
        <v>0.10000000000000142</v>
      </c>
      <c r="J19" s="300">
        <f>SUM(VLOOKUP(C19,'Raw - Low Pay Sectors'!A:Q,14,FALSE)-VLOOKUP(C19,'Raw - Low Pay Sectors'!A:Q,2,FALSE))</f>
        <v>36000</v>
      </c>
    </row>
    <row r="20" spans="2:12" ht="19.5" customHeight="1">
      <c r="B20" s="307" t="s">
        <v>251</v>
      </c>
      <c r="C20" s="296" t="s">
        <v>279</v>
      </c>
      <c r="D20" s="297">
        <f>VLOOKUP($C20,'Raw - Low Pay Sectors'!$A:$Q,4,FALSE)</f>
        <v>30.7</v>
      </c>
      <c r="E20" s="297">
        <f>VLOOKUP($C20,'Raw - Low Pay Sectors'!$A:$Q,8,FALSE)</f>
        <v>30.7</v>
      </c>
      <c r="F20" s="297">
        <f>VLOOKUP($C20,'Raw - Low Pay Sectors'!$A:$Q,12,FALSE)</f>
        <v>30.9</v>
      </c>
      <c r="G20" s="297">
        <f>VLOOKUP($C20,'Raw - Low Pay Sectors'!$A:$Q,16,FALSE)</f>
        <v>30.2</v>
      </c>
      <c r="H20" s="318">
        <f>VLOOKUP(C20,'Raw - Low Pay Sectors'!A:Q,14,FALSE)</f>
        <v>9482000</v>
      </c>
      <c r="I20" s="299">
        <f t="shared" si="1"/>
        <v>-0.5</v>
      </c>
      <c r="J20" s="300">
        <f>SUM(VLOOKUP(C20,'Raw - Low Pay Sectors'!A:Q,14,FALSE)-VLOOKUP(C20,'Raw - Low Pay Sectors'!A:Q,2,FALSE))</f>
        <v>419000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heCSc3mETap8iOpMu6lLzXmS411g7/zlRfjM3qPeZJ5lUOqPSFE2c+KQqX7bgK4IN2yxnTLGSvhhDEuyZWAdXA==" saltValue="dd1xexB1SpSM25DZAGJxHQ==" spinCount="100000" sheet="1" objects="1" scenarios="1"/>
  <autoFilter ref="C6:L14" xr:uid="{00000000-0009-0000-0000-000012000000}"/>
  <mergeCells count="4">
    <mergeCell ref="K4:L4"/>
    <mergeCell ref="I5:J5"/>
    <mergeCell ref="K5:L5"/>
    <mergeCell ref="F2:G2"/>
  </mergeCells>
  <dataValidations disablePrompts="1" count="1">
    <dataValidation type="list" allowBlank="1" showInputMessage="1" showErrorMessage="1" sqref="C17" xr:uid="{00000000-0002-0000-1200-000000000000}">
      <formula1>IF(B17="LGBF Family Group 1",LGBF_5,IF(B17="LGBF Family Group 3",LGBF_7,IF(B17="LGBF Family Group 4",LGBF_8,LGBF_6)))</formula1>
    </dataValidation>
  </dataValidations>
  <hyperlinks>
    <hyperlink ref="C3" r:id="rId1" xr:uid="{00000000-0004-0000-1200-000000000000}"/>
    <hyperlink ref="F2:G2" location="'Index RAG'!A1" display="Return to Index RAG" xr:uid="{00000000-0004-0000-12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200-000001000000}">
          <x14:formula1>
            <xm:f>Lookups!$L$8:$O$8</xm:f>
          </x14:formula1>
          <xm:sqref>B17</xm:sqref>
        </x14:dataValidation>
        <x14:dataValidation type="list" allowBlank="1" showInputMessage="1" showErrorMessage="1" xr:uid="{00000000-0002-0000-1200-000002000000}">
          <x14:formula1>
            <xm:f>Lookups!$B$3:$B$7</xm:f>
          </x14:formula1>
          <xm:sqref>K5:L5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B2:H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8" width="14" style="251" customWidth="1"/>
    <col min="9" max="16384" width="9.1796875" style="251"/>
  </cols>
  <sheetData>
    <row r="2" spans="2:8" ht="13">
      <c r="B2" s="286" t="s">
        <v>48</v>
      </c>
      <c r="C2" s="287" t="s">
        <v>528</v>
      </c>
      <c r="F2" s="595" t="s">
        <v>507</v>
      </c>
      <c r="G2" s="596"/>
    </row>
    <row r="3" spans="2:8" ht="13">
      <c r="B3" s="286" t="s">
        <v>49</v>
      </c>
      <c r="C3" s="288" t="s">
        <v>756</v>
      </c>
    </row>
    <row r="4" spans="2:8" ht="13">
      <c r="B4" s="287"/>
      <c r="C4" s="289"/>
      <c r="D4" s="290"/>
    </row>
    <row r="5" spans="2:8" ht="22" customHeight="1">
      <c r="C5" s="291"/>
      <c r="D5" s="292"/>
      <c r="E5" s="292"/>
      <c r="F5" s="292"/>
      <c r="G5" s="292"/>
      <c r="H5" s="317" t="s">
        <v>50</v>
      </c>
    </row>
    <row r="6" spans="2:8" ht="26.15" customHeight="1">
      <c r="B6" s="293" t="s">
        <v>271</v>
      </c>
      <c r="C6" s="293" t="s">
        <v>5</v>
      </c>
      <c r="D6" s="294">
        <v>2020</v>
      </c>
      <c r="E6" s="294">
        <v>2021</v>
      </c>
      <c r="F6" s="294">
        <v>2022</v>
      </c>
      <c r="G6" s="294">
        <v>2023</v>
      </c>
      <c r="H6" s="295" t="s">
        <v>53</v>
      </c>
    </row>
    <row r="7" spans="2:8" ht="19.5" customHeight="1">
      <c r="B7" s="296" t="s">
        <v>249</v>
      </c>
      <c r="C7" s="296" t="s">
        <v>22</v>
      </c>
      <c r="D7" s="297">
        <f>VLOOKUP($C7,'Raw - Gender Emp'!$A:$Q,4,FALSE)</f>
        <v>2.7999999999999972</v>
      </c>
      <c r="E7" s="297">
        <f>VLOOKUP($C7,'Raw - Gender Emp'!$A:$Q,8,FALSE)</f>
        <v>6.4000000000000057</v>
      </c>
      <c r="F7" s="297">
        <f>VLOOKUP($C7,'Raw - Gender Emp'!$A:$Q,12,FALSE)</f>
        <v>6.9000000000000057</v>
      </c>
      <c r="G7" s="297">
        <f>VLOOKUP($C7,'Raw - Gender Emp'!$A:$Q,16,FALSE)</f>
        <v>1.2999999999999972</v>
      </c>
      <c r="H7" s="299">
        <f>SUM(G7-D7)</f>
        <v>-1.5</v>
      </c>
    </row>
    <row r="8" spans="2:8" ht="19.5" customHeight="1">
      <c r="B8" s="296" t="s">
        <v>249</v>
      </c>
      <c r="C8" s="296" t="s">
        <v>24</v>
      </c>
      <c r="D8" s="297">
        <f>VLOOKUP($C8,'Raw - Gender Emp'!$A:$Q,4,FALSE)</f>
        <v>3</v>
      </c>
      <c r="E8" s="297">
        <f>VLOOKUP($C8,'Raw - Gender Emp'!$A:$Q,8,FALSE)</f>
        <v>6.2999999999999972</v>
      </c>
      <c r="F8" s="297">
        <f>VLOOKUP($C8,'Raw - Gender Emp'!$A:$Q,12,FALSE)</f>
        <v>-4.3000000000000114</v>
      </c>
      <c r="G8" s="297">
        <f>VLOOKUP($C8,'Raw - Gender Emp'!$A:$Q,16,FALSE)</f>
        <v>-5.5</v>
      </c>
      <c r="H8" s="299">
        <f t="shared" ref="H8:H20" si="0">SUM(G8-D8)</f>
        <v>-8.5</v>
      </c>
    </row>
    <row r="9" spans="2:8" ht="19.5" customHeight="1">
      <c r="B9" s="296" t="s">
        <v>249</v>
      </c>
      <c r="C9" s="296" t="s">
        <v>27</v>
      </c>
      <c r="D9" s="297">
        <f>VLOOKUP($C9,'Raw - Gender Emp'!$A:$Q,4,FALSE)</f>
        <v>9.0999999999999943</v>
      </c>
      <c r="E9" s="297">
        <f>VLOOKUP($C9,'Raw - Gender Emp'!$A:$Q,8,FALSE)</f>
        <v>14.499999999999993</v>
      </c>
      <c r="F9" s="297">
        <f>VLOOKUP($C9,'Raw - Gender Emp'!$A:$Q,12,FALSE)</f>
        <v>6.7999999999999972</v>
      </c>
      <c r="G9" s="297">
        <f>VLOOKUP($C9,'Raw - Gender Emp'!$A:$Q,16,FALSE)</f>
        <v>1.7999999999999972</v>
      </c>
      <c r="H9" s="299">
        <f t="shared" si="0"/>
        <v>-7.2999999999999972</v>
      </c>
    </row>
    <row r="10" spans="2:8" ht="19.5" customHeight="1">
      <c r="B10" s="296" t="s">
        <v>249</v>
      </c>
      <c r="C10" s="296" t="s">
        <v>29</v>
      </c>
      <c r="D10" s="297">
        <f>VLOOKUP($C10,'Raw - Gender Emp'!$A:$Q,4,FALSE)</f>
        <v>1.5999999999999943</v>
      </c>
      <c r="E10" s="297">
        <f>VLOOKUP($C10,'Raw - Gender Emp'!$A:$Q,8,FALSE)</f>
        <v>-7.8999999999999915</v>
      </c>
      <c r="F10" s="297">
        <f>VLOOKUP($C10,'Raw - Gender Emp'!$A:$Q,12,FALSE)</f>
        <v>-3.1000000000000085</v>
      </c>
      <c r="G10" s="297">
        <f>VLOOKUP($C10,'Raw - Gender Emp'!$A:$Q,16,FALSE)</f>
        <v>-2.8999999999999915</v>
      </c>
      <c r="H10" s="299">
        <f t="shared" si="0"/>
        <v>-4.4999999999999858</v>
      </c>
    </row>
    <row r="11" spans="2:8" ht="19.5" customHeight="1">
      <c r="B11" s="296" t="s">
        <v>249</v>
      </c>
      <c r="C11" s="296" t="s">
        <v>34</v>
      </c>
      <c r="D11" s="297">
        <f>VLOOKUP($C11,'Raw - Gender Emp'!$A:$Q,4,FALSE)</f>
        <v>5.3000000000000114</v>
      </c>
      <c r="E11" s="297">
        <f>VLOOKUP($C11,'Raw - Gender Emp'!$A:$Q,8,FALSE)</f>
        <v>0.80000000000001137</v>
      </c>
      <c r="F11" s="297">
        <f>VLOOKUP($C11,'Raw - Gender Emp'!$A:$Q,12,FALSE)</f>
        <v>8.1000000000000014</v>
      </c>
      <c r="G11" s="297">
        <f>VLOOKUP($C11,'Raw - Gender Emp'!$A:$Q,16,FALSE)</f>
        <v>16.5</v>
      </c>
      <c r="H11" s="299">
        <f t="shared" si="0"/>
        <v>11.199999999999989</v>
      </c>
    </row>
    <row r="12" spans="2:8" ht="19.5" customHeight="1">
      <c r="B12" s="296" t="s">
        <v>249</v>
      </c>
      <c r="C12" s="296" t="s">
        <v>37</v>
      </c>
      <c r="D12" s="297">
        <f>VLOOKUP($C12,'Raw - Gender Emp'!$A:$Q,4,FALSE)</f>
        <v>3.2000000000000028</v>
      </c>
      <c r="E12" s="297">
        <f>VLOOKUP($C12,'Raw - Gender Emp'!$A:$Q,8,FALSE)</f>
        <v>-5.7000000000000028</v>
      </c>
      <c r="F12" s="297">
        <f>VLOOKUP($C12,'Raw - Gender Emp'!$A:$Q,12,FALSE)</f>
        <v>-7.7000000000000028</v>
      </c>
      <c r="G12" s="297">
        <f>VLOOKUP($C12,'Raw - Gender Emp'!$A:$Q,16,FALSE)</f>
        <v>7.5999999999999943</v>
      </c>
      <c r="H12" s="299">
        <f t="shared" si="0"/>
        <v>4.3999999999999915</v>
      </c>
    </row>
    <row r="13" spans="2:8" ht="19.5" customHeight="1">
      <c r="B13" s="296" t="s">
        <v>249</v>
      </c>
      <c r="C13" s="296" t="s">
        <v>41</v>
      </c>
      <c r="D13" s="297">
        <f>VLOOKUP($C13,'Raw - Gender Emp'!$A:$Q,4,FALSE)</f>
        <v>5.5999999999999943</v>
      </c>
      <c r="E13" s="297">
        <f>VLOOKUP($C13,'Raw - Gender Emp'!$A:$Q,8,FALSE)</f>
        <v>9.6000000000000085</v>
      </c>
      <c r="F13" s="297">
        <f>VLOOKUP($C13,'Raw - Gender Emp'!$A:$Q,12,FALSE)</f>
        <v>7.2999999999999972</v>
      </c>
      <c r="G13" s="297">
        <f>VLOOKUP($C13,'Raw - Gender Emp'!$A:$Q,16,FALSE)</f>
        <v>10.599999999999994</v>
      </c>
      <c r="H13" s="299">
        <f t="shared" si="0"/>
        <v>5</v>
      </c>
    </row>
    <row r="14" spans="2:8" ht="19.5" customHeight="1">
      <c r="B14" s="296" t="s">
        <v>249</v>
      </c>
      <c r="C14" s="296" t="s">
        <v>43</v>
      </c>
      <c r="D14" s="297">
        <f>VLOOKUP($C14,'Raw - Gender Emp'!$A:$Q,4,FALSE)</f>
        <v>3.3000000000000114</v>
      </c>
      <c r="E14" s="297">
        <f>VLOOKUP($C14,'Raw - Gender Emp'!$A:$Q,8,FALSE)</f>
        <v>7.0999999999999943</v>
      </c>
      <c r="F14" s="297">
        <f>VLOOKUP($C14,'Raw - Gender Emp'!$A:$Q,12,FALSE)</f>
        <v>2</v>
      </c>
      <c r="G14" s="297">
        <f>VLOOKUP($C14,'Raw - Gender Emp'!$A:$Q,16,FALSE)</f>
        <v>-1.2000000000000028</v>
      </c>
      <c r="H14" s="299">
        <f t="shared" si="0"/>
        <v>-4.5000000000000142</v>
      </c>
    </row>
    <row r="15" spans="2:8" ht="19.5" customHeight="1">
      <c r="B15" s="303"/>
      <c r="C15" s="303"/>
      <c r="D15" s="304"/>
      <c r="E15" s="304"/>
      <c r="F15" s="304"/>
      <c r="G15" s="304"/>
      <c r="H15" s="306"/>
    </row>
    <row r="16" spans="2:8" ht="19.5" customHeight="1">
      <c r="B16" s="307" t="s">
        <v>51</v>
      </c>
      <c r="C16" s="296" t="s">
        <v>455</v>
      </c>
      <c r="D16" s="330" t="s">
        <v>455</v>
      </c>
      <c r="E16" s="330" t="s">
        <v>455</v>
      </c>
      <c r="F16" s="330" t="s">
        <v>455</v>
      </c>
      <c r="G16" s="330" t="s">
        <v>455</v>
      </c>
      <c r="H16" s="299" t="s">
        <v>455</v>
      </c>
    </row>
    <row r="17" spans="2:8" ht="19.5" customHeight="1">
      <c r="B17" s="307" t="s">
        <v>542</v>
      </c>
      <c r="C17" s="308" t="s">
        <v>546</v>
      </c>
      <c r="D17" s="297">
        <f>VLOOKUP($C17,'Raw - Gender Emp'!$A:$Q,4,FALSE)</f>
        <v>4.2414295310819483</v>
      </c>
      <c r="E17" s="297">
        <f>VLOOKUP($C17,'Raw - Gender Emp'!$A:$Q,8,FALSE)</f>
        <v>7.5994151083672961</v>
      </c>
      <c r="F17" s="297">
        <f>VLOOKUP($C17,'Raw - Gender Emp'!$A:$Q,12,FALSE)</f>
        <v>3.7571025563756848</v>
      </c>
      <c r="G17" s="297">
        <f>VLOOKUP($C17,'Raw - Gender Emp'!$A:$Q,16,FALSE)</f>
        <v>4.9117021445472773</v>
      </c>
      <c r="H17" s="299">
        <f>SUM(G17-D17)</f>
        <v>0.67027261346532896</v>
      </c>
    </row>
    <row r="18" spans="2:8" ht="19.5" customHeight="1">
      <c r="B18" s="307" t="s">
        <v>250</v>
      </c>
      <c r="C18" s="296" t="s">
        <v>47</v>
      </c>
      <c r="D18" s="297">
        <f>VLOOKUP($C18,'Raw - Gender Emp'!$A:$Q,4,FALSE)</f>
        <v>6</v>
      </c>
      <c r="E18" s="297">
        <f>VLOOKUP($C18,'Raw - Gender Emp'!$A:$Q,8,FALSE)</f>
        <v>7.2000000000000028</v>
      </c>
      <c r="F18" s="297">
        <f>VLOOKUP($C18,'Raw - Gender Emp'!$A:$Q,12,FALSE)</f>
        <v>4.5</v>
      </c>
      <c r="G18" s="297">
        <f>VLOOKUP($C18,'Raw - Gender Emp'!$A:$Q,16,FALSE)</f>
        <v>5.8000000000000114</v>
      </c>
      <c r="H18" s="299">
        <f t="shared" si="0"/>
        <v>-0.19999999999998863</v>
      </c>
    </row>
    <row r="19" spans="2:8" ht="19.5" customHeight="1">
      <c r="B19" s="307" t="s">
        <v>251</v>
      </c>
      <c r="C19" s="296" t="s">
        <v>45</v>
      </c>
      <c r="D19" s="297">
        <f>VLOOKUP($C19,'Raw - Gender Emp'!$A:$Q,4,FALSE)</f>
        <v>4.7000000000000028</v>
      </c>
      <c r="E19" s="297">
        <f>VLOOKUP($C19,'Raw - Gender Emp'!$A:$Q,8,FALSE)</f>
        <v>5.0999999999999943</v>
      </c>
      <c r="F19" s="297">
        <f>VLOOKUP($C19,'Raw - Gender Emp'!$A:$Q,12,FALSE)</f>
        <v>3.5</v>
      </c>
      <c r="G19" s="297">
        <f>VLOOKUP($C19,'Raw - Gender Emp'!$A:$Q,16,FALSE)</f>
        <v>4.2000000000000028</v>
      </c>
      <c r="H19" s="299">
        <f t="shared" si="0"/>
        <v>-0.5</v>
      </c>
    </row>
    <row r="20" spans="2:8" ht="19.5" customHeight="1">
      <c r="B20" s="307" t="s">
        <v>251</v>
      </c>
      <c r="C20" s="296" t="s">
        <v>46</v>
      </c>
      <c r="D20" s="297">
        <f>VLOOKUP($C20,'Raw - Gender Emp'!$A:$Q,4,FALSE)</f>
        <v>6.7999999999999972</v>
      </c>
      <c r="E20" s="297">
        <f>VLOOKUP($C20,'Raw - Gender Emp'!$A:$Q,8,FALSE)</f>
        <v>6.5</v>
      </c>
      <c r="F20" s="297">
        <f>VLOOKUP($C20,'Raw - Gender Emp'!$A:$Q,12,FALSE)</f>
        <v>6.5999999999999943</v>
      </c>
      <c r="G20" s="297">
        <f>VLOOKUP($C20,'Raw - Gender Emp'!$A:$Q,16,FALSE)</f>
        <v>7.0999999999999943</v>
      </c>
      <c r="H20" s="299">
        <f t="shared" si="0"/>
        <v>0.29999999999999716</v>
      </c>
    </row>
    <row r="21" spans="2:8" ht="19.5" customHeight="1">
      <c r="C21" s="309"/>
      <c r="D21" s="310"/>
      <c r="E21" s="310"/>
      <c r="F21" s="310"/>
      <c r="G21" s="310"/>
      <c r="H21" s="310"/>
    </row>
    <row r="22" spans="2:8">
      <c r="D22" s="311"/>
      <c r="E22" s="311"/>
      <c r="F22" s="312" t="str">
        <f>CONCATENATE(G22,H22)</f>
        <v>Volume Change Required to match Geographic Area - 0</v>
      </c>
      <c r="G22" s="312" t="s">
        <v>519</v>
      </c>
      <c r="H22" s="312">
        <f>K5</f>
        <v>0</v>
      </c>
    </row>
    <row r="23" spans="2:8">
      <c r="B23" s="313"/>
    </row>
    <row r="24" spans="2:8">
      <c r="H24" s="314"/>
    </row>
  </sheetData>
  <sheetProtection algorithmName="SHA-512" hashValue="mfbDLTMBWRraqwu12lTEB/f7KQILBXQlLh99WSY7/US4dttG8VFo3Ok7tkkHEE77M+0BHdDswswJF4na2D6Agw==" saltValue="T75bIcE1xsrwh7zcBMSclg==" spinCount="100000" sheet="1" objects="1" scenarios="1"/>
  <autoFilter ref="C6:H14" xr:uid="{00000000-0009-0000-0000-000014000000}"/>
  <mergeCells count="1">
    <mergeCell ref="F2:G2"/>
  </mergeCells>
  <dataValidations count="1">
    <dataValidation type="list" allowBlank="1" showInputMessage="1" showErrorMessage="1" sqref="C17" xr:uid="{00000000-0002-0000-1400-000000000000}">
      <formula1>IF(B17="LGBF Family Group 1",LGBF_5,IF(B17="LGBF Family Group 3",LGBF_7,IF(B17="LGBF Family Group 4",LGBF_8,LGBF_6)))</formula1>
    </dataValidation>
  </dataValidations>
  <hyperlinks>
    <hyperlink ref="F2:G2" location="'Index RAG'!A1" display="Return to Index RAG" xr:uid="{00000000-0004-0000-1400-000001000000}"/>
    <hyperlink ref="C3" r:id="rId1" xr:uid="{E8E087D9-525C-419C-9376-EBC023EF51BB}"/>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Lookups!$L$8:$O$8</xm:f>
          </x14:formula1>
          <xm:sqref>B17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65</v>
      </c>
      <c r="F2" s="595" t="s">
        <v>507</v>
      </c>
      <c r="G2" s="596"/>
    </row>
    <row r="3" spans="2:12" ht="13">
      <c r="B3" s="286" t="s">
        <v>49</v>
      </c>
      <c r="C3" s="288" t="s">
        <v>66</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2020</v>
      </c>
      <c r="E6" s="294">
        <v>2021</v>
      </c>
      <c r="F6" s="294">
        <v>2022</v>
      </c>
      <c r="G6" s="294">
        <v>2023</v>
      </c>
      <c r="H6" s="295" t="s">
        <v>53</v>
      </c>
      <c r="I6" s="295" t="s">
        <v>54</v>
      </c>
      <c r="J6" s="295" t="s">
        <v>79</v>
      </c>
      <c r="K6" s="295" t="s">
        <v>57</v>
      </c>
    </row>
    <row r="7" spans="2:12" ht="19.5" customHeight="1">
      <c r="B7" s="296" t="s">
        <v>249</v>
      </c>
      <c r="C7" s="296" t="s">
        <v>22</v>
      </c>
      <c r="D7" s="359">
        <f>VLOOKUP($C7,'Raw - Earnings'!$A:$Q,4,FALSE)</f>
        <v>718.4</v>
      </c>
      <c r="E7" s="359">
        <f>VLOOKUP($C7,'Raw - Earnings'!$A:$Q,8,FALSE)</f>
        <v>754.1</v>
      </c>
      <c r="F7" s="359">
        <f>VLOOKUP($C7,'Raw - Earnings'!$A:$Q,12,FALSE)</f>
        <v>744.1</v>
      </c>
      <c r="G7" s="359">
        <f>VLOOKUP($C7,'Raw - Earnings'!$A:$Q,16,FALSE)</f>
        <v>822.8</v>
      </c>
      <c r="H7" s="320">
        <f>SUM(G7-D7)/D7</f>
        <v>0.14532293986636968</v>
      </c>
      <c r="I7" s="360">
        <f>G7-D7</f>
        <v>104.39999999999998</v>
      </c>
      <c r="J7" s="322">
        <f t="shared" ref="J7:J14" si="0">IF(IF($J$5="lgbf family group",SUM(G$17-G7)/G7,IF($J$5="Glasgow City Region",SUM(G$18-G7)/G7,IF($J$5="Scotland",SUM(G$19-G7)/G7,IF($J$5="United Kingdom",SUM(G$20-G7)/G7,SUM(G$16-G7)/G7))))&lt;0,"",IF($J$5="lgbf family group",SUM(G$17-G7)/G7,IF($J$5="Glasgow City Region",SUM(G$18-G7)/G7,IF($J$5="Scotland",SUM(G$19-G7)/G7,IF($J$5="United Kingdom",SUM(G$20-G7)/G7,SUM(G$16-G7)/G7)))))</f>
        <v>8.5683033543996118E-2</v>
      </c>
      <c r="K7" s="361">
        <f t="shared" ref="K7:K14" si="1">IF(J7="","",IF($J$5="lgbf family group",SUM(G$17-G7),IF($J$5="Glasgow City Region",SUM(G$18-G7),IF($J$5="Scotland",SUM(G$19-G7),IF($J$5="United Kingdom",SUM(G$20-G7),SUM(G$16-G7))))))</f>
        <v>70.5</v>
      </c>
    </row>
    <row r="8" spans="2:12" ht="19.5" customHeight="1">
      <c r="B8" s="296" t="s">
        <v>249</v>
      </c>
      <c r="C8" s="296" t="s">
        <v>24</v>
      </c>
      <c r="D8" s="359">
        <f>VLOOKUP($C8,'Raw - Earnings'!$A:$Q,4,FALSE)</f>
        <v>825.7</v>
      </c>
      <c r="E8" s="359">
        <f>VLOOKUP($C8,'Raw - Earnings'!$A:$Q,8,FALSE)</f>
        <v>809.4</v>
      </c>
      <c r="F8" s="359">
        <f>VLOOKUP($C8,'Raw - Earnings'!$A:$Q,12,FALSE)</f>
        <v>811.4</v>
      </c>
      <c r="G8" s="359">
        <f>VLOOKUP($C8,'Raw - Earnings'!$A:$Q,16,FALSE)</f>
        <v>858.7</v>
      </c>
      <c r="H8" s="320">
        <f t="shared" ref="H8:H14" si="2">SUM(G8-D8)/D8</f>
        <v>3.996608937870897E-2</v>
      </c>
      <c r="I8" s="360">
        <f t="shared" ref="I8:I14" si="3">G8-D8</f>
        <v>33</v>
      </c>
      <c r="J8" s="322">
        <f t="shared" si="0"/>
        <v>4.0293466868522074E-2</v>
      </c>
      <c r="K8" s="361">
        <f t="shared" si="1"/>
        <v>34.599999999999909</v>
      </c>
    </row>
    <row r="9" spans="2:12" ht="19.5" customHeight="1">
      <c r="B9" s="296" t="s">
        <v>249</v>
      </c>
      <c r="C9" s="296" t="s">
        <v>27</v>
      </c>
      <c r="D9" s="359">
        <f>VLOOKUP($C9,'Raw - Earnings'!$A:$Q,4,FALSE)</f>
        <v>592.5</v>
      </c>
      <c r="E9" s="359">
        <f>VLOOKUP($C9,'Raw - Earnings'!$A:$Q,8,FALSE)</f>
        <v>620.4</v>
      </c>
      <c r="F9" s="359">
        <f>VLOOKUP($C9,'Raw - Earnings'!$A:$Q,12,FALSE)</f>
        <v>635.70000000000005</v>
      </c>
      <c r="G9" s="359">
        <f>VLOOKUP($C9,'Raw - Earnings'!$A:$Q,16,FALSE)</f>
        <v>681.4</v>
      </c>
      <c r="H9" s="320">
        <f>SUM(G9-D9)/D9</f>
        <v>0.15004219409282696</v>
      </c>
      <c r="I9" s="360">
        <f t="shared" si="3"/>
        <v>88.899999999999977</v>
      </c>
      <c r="J9" s="322">
        <f t="shared" si="0"/>
        <v>0.31097739947167596</v>
      </c>
      <c r="K9" s="361">
        <f t="shared" si="1"/>
        <v>211.89999999999998</v>
      </c>
    </row>
    <row r="10" spans="2:12" ht="19.5" customHeight="1">
      <c r="B10" s="296" t="s">
        <v>249</v>
      </c>
      <c r="C10" s="296" t="s">
        <v>29</v>
      </c>
      <c r="D10" s="359">
        <f>VLOOKUP($C10,'Raw - Earnings'!$A:$Q,4,FALSE)</f>
        <v>560.9</v>
      </c>
      <c r="E10" s="359">
        <f>VLOOKUP($C10,'Raw - Earnings'!$A:$Q,8,FALSE)</f>
        <v>568</v>
      </c>
      <c r="F10" s="359">
        <f>VLOOKUP($C10,'Raw - Earnings'!$A:$Q,12,FALSE)</f>
        <v>633.79999999999995</v>
      </c>
      <c r="G10" s="359">
        <f>VLOOKUP($C10,'Raw - Earnings'!$A:$Q,16,FALSE)</f>
        <v>718.5</v>
      </c>
      <c r="H10" s="320">
        <f t="shared" si="2"/>
        <v>0.28097700124799435</v>
      </c>
      <c r="I10" s="360">
        <f t="shared" si="3"/>
        <v>157.60000000000002</v>
      </c>
      <c r="J10" s="322">
        <f t="shared" si="0"/>
        <v>0.24328462073764781</v>
      </c>
      <c r="K10" s="361">
        <f t="shared" si="1"/>
        <v>174.79999999999995</v>
      </c>
    </row>
    <row r="11" spans="2:12" ht="19.5" customHeight="1">
      <c r="B11" s="296" t="s">
        <v>249</v>
      </c>
      <c r="C11" s="296" t="s">
        <v>34</v>
      </c>
      <c r="D11" s="359">
        <f>VLOOKUP($C11,'Raw - Earnings'!$A:$Q,4,FALSE)</f>
        <v>576.9</v>
      </c>
      <c r="E11" s="359">
        <f>VLOOKUP($C11,'Raw - Earnings'!$A:$Q,8,FALSE)</f>
        <v>592.70000000000005</v>
      </c>
      <c r="F11" s="359">
        <f>VLOOKUP($C11,'Raw - Earnings'!$A:$Q,12,FALSE)</f>
        <v>657.9</v>
      </c>
      <c r="G11" s="359">
        <f>VLOOKUP($C11,'Raw - Earnings'!$A:$Q,16,FALSE)</f>
        <v>705.7</v>
      </c>
      <c r="H11" s="320">
        <f t="shared" si="2"/>
        <v>0.22326226382388642</v>
      </c>
      <c r="I11" s="360">
        <f t="shared" si="3"/>
        <v>128.80000000000007</v>
      </c>
      <c r="J11" s="322">
        <f t="shared" si="0"/>
        <v>0.26583534079637228</v>
      </c>
      <c r="K11" s="361">
        <f t="shared" si="1"/>
        <v>187.59999999999991</v>
      </c>
    </row>
    <row r="12" spans="2:12" ht="19.5" customHeight="1">
      <c r="B12" s="296" t="s">
        <v>249</v>
      </c>
      <c r="C12" s="296" t="s">
        <v>37</v>
      </c>
      <c r="D12" s="359">
        <f>VLOOKUP($C12,'Raw - Earnings'!$A:$Q,4,FALSE)</f>
        <v>626.9</v>
      </c>
      <c r="E12" s="359">
        <f>VLOOKUP($C12,'Raw - Earnings'!$A:$Q,8,FALSE)</f>
        <v>659.2</v>
      </c>
      <c r="F12" s="359">
        <f>VLOOKUP($C12,'Raw - Earnings'!$A:$Q,12,FALSE)</f>
        <v>634.70000000000005</v>
      </c>
      <c r="G12" s="359">
        <f>VLOOKUP($C12,'Raw - Earnings'!$A:$Q,16,FALSE)</f>
        <v>715.7</v>
      </c>
      <c r="H12" s="320">
        <f t="shared" si="2"/>
        <v>0.14164938586696454</v>
      </c>
      <c r="I12" s="360">
        <f t="shared" si="3"/>
        <v>88.800000000000068</v>
      </c>
      <c r="J12" s="322">
        <f t="shared" si="0"/>
        <v>0.24814866564202864</v>
      </c>
      <c r="K12" s="361">
        <f t="shared" si="1"/>
        <v>177.59999999999991</v>
      </c>
    </row>
    <row r="13" spans="2:12" ht="19.5" customHeight="1">
      <c r="B13" s="296" t="s">
        <v>249</v>
      </c>
      <c r="C13" s="296" t="s">
        <v>41</v>
      </c>
      <c r="D13" s="359">
        <f>VLOOKUP($C13,'Raw - Earnings'!$A:$Q,4,FALSE)</f>
        <v>620.79999999999995</v>
      </c>
      <c r="E13" s="359">
        <f>VLOOKUP($C13,'Raw - Earnings'!$A:$Q,8,FALSE)</f>
        <v>651</v>
      </c>
      <c r="F13" s="359">
        <f>VLOOKUP($C13,'Raw - Earnings'!$A:$Q,12,FALSE)</f>
        <v>652.1</v>
      </c>
      <c r="G13" s="359">
        <f>VLOOKUP($C13,'Raw - Earnings'!$A:$Q,16,FALSE)</f>
        <v>729.6</v>
      </c>
      <c r="H13" s="320">
        <f t="shared" si="2"/>
        <v>0.17525773195876301</v>
      </c>
      <c r="I13" s="360">
        <f t="shared" si="3"/>
        <v>108.80000000000007</v>
      </c>
      <c r="J13" s="322">
        <f t="shared" si="0"/>
        <v>0.22436951754385956</v>
      </c>
      <c r="K13" s="361">
        <f t="shared" si="1"/>
        <v>163.69999999999993</v>
      </c>
    </row>
    <row r="14" spans="2:12" ht="19.5" customHeight="1">
      <c r="B14" s="296" t="s">
        <v>249</v>
      </c>
      <c r="C14" s="296" t="s">
        <v>43</v>
      </c>
      <c r="D14" s="359">
        <f>VLOOKUP($C14,'Raw - Earnings'!$A:$Q,4,FALSE)</f>
        <v>566.4</v>
      </c>
      <c r="E14" s="359">
        <f>VLOOKUP($C14,'Raw - Earnings'!$A:$Q,8,FALSE)</f>
        <v>650.9</v>
      </c>
      <c r="F14" s="359">
        <f>VLOOKUP($C14,'Raw - Earnings'!$A:$Q,12,FALSE)</f>
        <v>610.79999999999995</v>
      </c>
      <c r="G14" s="359">
        <f>VLOOKUP($C14,'Raw - Earnings'!$A:$Q,16,FALSE)</f>
        <v>682</v>
      </c>
      <c r="H14" s="320">
        <f t="shared" si="2"/>
        <v>0.20409604519774016</v>
      </c>
      <c r="I14" s="360">
        <f t="shared" si="3"/>
        <v>115.60000000000002</v>
      </c>
      <c r="J14" s="322">
        <f t="shared" si="0"/>
        <v>0.30982404692082105</v>
      </c>
      <c r="K14" s="361">
        <f t="shared" si="1"/>
        <v>211.29999999999995</v>
      </c>
    </row>
    <row r="15" spans="2:12" ht="19.5" customHeight="1">
      <c r="B15" s="303"/>
      <c r="C15" s="303"/>
      <c r="D15" s="304"/>
      <c r="E15" s="304"/>
      <c r="F15" s="304"/>
      <c r="G15" s="304"/>
      <c r="H15" s="306"/>
      <c r="I15" s="306"/>
      <c r="J15" s="306"/>
      <c r="K15" s="306"/>
      <c r="L15" s="306"/>
    </row>
    <row r="16" spans="2:12" ht="19.5" customHeight="1">
      <c r="B16" s="307" t="s">
        <v>51</v>
      </c>
      <c r="C16" s="296" t="str">
        <f>INDEX('Raw - Earnings'!$A$9:$A$40,MATCH(MAX('Raw - Earnings'!P9:P40),'Raw - Earnings'!P9:P40,0))</f>
        <v>Shetland Islands</v>
      </c>
      <c r="D16" s="359">
        <f>VLOOKUP($C16,'Raw - Earnings'!$A:$Q,4,FALSE)</f>
        <v>642.6</v>
      </c>
      <c r="E16" s="359">
        <f>VLOOKUP($C16,'Raw - Earnings'!$A:$Q,8,FALSE)</f>
        <v>670.8</v>
      </c>
      <c r="F16" s="359">
        <f>VLOOKUP($C16,'Raw - Earnings'!$A:$Q,12,FALSE)</f>
        <v>671.6</v>
      </c>
      <c r="G16" s="359">
        <f>VLOOKUP($C16,'Raw - Earnings'!$A:$Q,16,FALSE)</f>
        <v>893.3</v>
      </c>
      <c r="H16" s="320">
        <f>SUM(G16-D16)/D16</f>
        <v>0.39013383131030177</v>
      </c>
      <c r="I16" s="360">
        <f>G16-D16</f>
        <v>250.69999999999993</v>
      </c>
      <c r="J16" s="305"/>
    </row>
    <row r="17" spans="2:12" ht="19.5" customHeight="1">
      <c r="B17" s="307" t="s">
        <v>542</v>
      </c>
      <c r="C17" s="308" t="s">
        <v>546</v>
      </c>
      <c r="D17" s="359">
        <f>VLOOKUP($C17,'Raw - Earnings'!$A:$Q,4,FALSE)</f>
        <v>603.28750000000002</v>
      </c>
      <c r="E17" s="359">
        <f>VLOOKUP($C17,'Raw - Earnings'!$A:$Q,8,FALSE)</f>
        <v>625.13750000000005</v>
      </c>
      <c r="F17" s="359">
        <f>VLOOKUP($C17,'Raw - Earnings'!$A:$Q,12,FALSE)</f>
        <v>643.71249999999998</v>
      </c>
      <c r="G17" s="359">
        <f>VLOOKUP($C17,'Raw - Earnings'!$A:$Q,16,FALSE)</f>
        <v>703.65</v>
      </c>
      <c r="H17" s="320">
        <f>SUM(G17-D17)/D17</f>
        <v>0.1663593228767378</v>
      </c>
      <c r="I17" s="360">
        <f>G17-D17</f>
        <v>100.36249999999995</v>
      </c>
      <c r="J17" s="305"/>
    </row>
    <row r="18" spans="2:12" ht="19.5" customHeight="1">
      <c r="B18" s="307" t="s">
        <v>250</v>
      </c>
      <c r="C18" s="296" t="s">
        <v>47</v>
      </c>
      <c r="D18" s="359">
        <f>VLOOKUP($C18,'Raw - Earnings'!$A:$Q,4,FALSE)</f>
        <v>636.0625</v>
      </c>
      <c r="E18" s="359">
        <f>VLOOKUP($C18,'Raw - Earnings'!$A:$Q,8,FALSE)</f>
        <v>663.21249999999998</v>
      </c>
      <c r="F18" s="359">
        <f>VLOOKUP($C18,'Raw - Earnings'!$A:$Q,12,FALSE)</f>
        <v>672.56250000000011</v>
      </c>
      <c r="G18" s="359">
        <f>VLOOKUP($C18,'Raw - Earnings'!$A:$Q,16,FALSE)</f>
        <v>739.30000000000007</v>
      </c>
      <c r="H18" s="320">
        <f>SUM(G18-D18)/D18</f>
        <v>0.16230716321116254</v>
      </c>
      <c r="I18" s="360">
        <f>G18-D18</f>
        <v>103.23750000000007</v>
      </c>
      <c r="J18" s="305"/>
    </row>
    <row r="19" spans="2:12" ht="19.5" customHeight="1">
      <c r="B19" s="307" t="s">
        <v>251</v>
      </c>
      <c r="C19" s="296" t="s">
        <v>45</v>
      </c>
      <c r="D19" s="359">
        <f>VLOOKUP($C19,'Raw - Earnings'!$A:$Q,4,FALSE)</f>
        <v>595</v>
      </c>
      <c r="E19" s="359">
        <f>VLOOKUP($C19,'Raw - Earnings'!$A:$Q,8,FALSE)</f>
        <v>619.9</v>
      </c>
      <c r="F19" s="359">
        <f>VLOOKUP($C19,'Raw - Earnings'!$A:$Q,12,FALSE)</f>
        <v>641.29999999999995</v>
      </c>
      <c r="G19" s="359">
        <f>VLOOKUP($C19,'Raw - Earnings'!$A:$Q,16,FALSE)</f>
        <v>702.4</v>
      </c>
      <c r="H19" s="320">
        <f>SUM(G19-D19)/D19</f>
        <v>0.18050420168067224</v>
      </c>
      <c r="I19" s="360">
        <f>G19-D19</f>
        <v>107.39999999999998</v>
      </c>
      <c r="J19" s="305"/>
    </row>
    <row r="20" spans="2:12" ht="19.5" customHeight="1">
      <c r="B20" s="307" t="s">
        <v>251</v>
      </c>
      <c r="C20" s="296" t="s">
        <v>46</v>
      </c>
      <c r="D20" s="359">
        <f>VLOOKUP($C20,'Raw - Earnings'!$A:$Q,4,FALSE)</f>
        <v>585.70000000000005</v>
      </c>
      <c r="E20" s="359">
        <f>VLOOKUP($C20,'Raw - Earnings'!$A:$Q,8,FALSE)</f>
        <v>609.79999999999995</v>
      </c>
      <c r="F20" s="359">
        <f>VLOOKUP($C20,'Raw - Earnings'!$A:$Q,12,FALSE)</f>
        <v>641.79999999999995</v>
      </c>
      <c r="G20" s="359">
        <f>VLOOKUP($C20,'Raw - Earnings'!$A:$Q,16,FALSE)</f>
        <v>681.7</v>
      </c>
      <c r="H20" s="320">
        <f>SUM(G20-D20)/D20</f>
        <v>0.16390643674235955</v>
      </c>
      <c r="I20" s="360">
        <f>G20-D20</f>
        <v>96</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GN/D6xhvBlE6Qi+Lhm4c+8C7puWRTaSCoNJoi4eW8cz5RgX/XAopZpCM5G01UxftJo2RzORX8fXgEmY85j0OkQ==" saltValue="0T1DLgEvIkykWR0Rsl5Gvw==" spinCount="100000" sheet="1" objects="1" scenarios="1"/>
  <autoFilter ref="B6:K14" xr:uid="{00000000-0009-0000-0000-000015000000}"/>
  <mergeCells count="4">
    <mergeCell ref="J4:K4"/>
    <mergeCell ref="H5:I5"/>
    <mergeCell ref="J5:K5"/>
    <mergeCell ref="F2:G2"/>
  </mergeCells>
  <dataValidations count="1">
    <dataValidation type="list" allowBlank="1" showInputMessage="1" showErrorMessage="1" sqref="C17" xr:uid="{00000000-0002-0000-1500-000000000000}">
      <formula1>IF(B17="LGBF Family Group 1",LGBF_5,IF(B17="LGBF Family Group 3",LGBF_7,IF(B17="LGBF Family Group 4",LGBF_8,LGBF_6)))</formula1>
    </dataValidation>
  </dataValidations>
  <hyperlinks>
    <hyperlink ref="C3" r:id="rId1" xr:uid="{00000000-0004-0000-1500-000000000000}"/>
    <hyperlink ref="F2:G2" location="'Index RAG'!A1" display="Return to Index RAG" xr:uid="{00000000-0004-0000-15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Lookups!$L$8:$O$8</xm:f>
          </x14:formula1>
          <xm:sqref>B17</xm:sqref>
        </x14:dataValidation>
        <x14:dataValidation type="list" allowBlank="1" showInputMessage="1" showErrorMessage="1" xr:uid="{00000000-0002-0000-1500-000002000000}">
          <x14:formula1>
            <xm:f>Lookups!$B$3:$B$7</xm:f>
          </x14:formula1>
          <xm:sqref>J5:K5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716</v>
      </c>
      <c r="F2" s="595" t="s">
        <v>507</v>
      </c>
      <c r="G2" s="596"/>
    </row>
    <row r="3" spans="2:12" ht="13">
      <c r="B3" s="286" t="s">
        <v>49</v>
      </c>
      <c r="C3" s="288" t="s">
        <v>66</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2020</v>
      </c>
      <c r="E6" s="294">
        <v>2021</v>
      </c>
      <c r="F6" s="294">
        <v>2022</v>
      </c>
      <c r="G6" s="294">
        <v>2023</v>
      </c>
      <c r="H6" s="295" t="s">
        <v>53</v>
      </c>
      <c r="I6" s="295" t="s">
        <v>54</v>
      </c>
      <c r="J6" s="295" t="s">
        <v>79</v>
      </c>
      <c r="K6" s="295" t="s">
        <v>57</v>
      </c>
    </row>
    <row r="7" spans="2:12" ht="19.5" customHeight="1">
      <c r="B7" s="296" t="s">
        <v>249</v>
      </c>
      <c r="C7" s="296" t="s">
        <v>22</v>
      </c>
      <c r="D7" s="359">
        <f>VLOOKUP($C7,'Raw - 20th Percentile Earnings'!$A:$Q,4,FALSE)</f>
        <v>464.2</v>
      </c>
      <c r="E7" s="359">
        <f>VLOOKUP($C7,'Raw - 20th Percentile Earnings'!$A:$Q,8,FALSE)</f>
        <v>487</v>
      </c>
      <c r="F7" s="359">
        <f>VLOOKUP($C7,'Raw - 20th Percentile Earnings'!$A:$Q,12,FALSE)</f>
        <v>514.6</v>
      </c>
      <c r="G7" s="359">
        <f>VLOOKUP($C7,'Raw - 20th Percentile Earnings'!$A:$Q,16,FALSE)</f>
        <v>566.9</v>
      </c>
      <c r="H7" s="320">
        <f>SUM(G7-D7)/D7</f>
        <v>0.22124084446359327</v>
      </c>
      <c r="I7" s="360">
        <f>G7-D7</f>
        <v>102.69999999999999</v>
      </c>
      <c r="J7" s="322">
        <f t="shared" ref="J7:J14" si="0">IF(IF($J$5="lgbf family group",SUM(G$17-G7)/G7,IF($J$5="Glasgow City Region",SUM(G$18-G7)/G7,IF($J$5="Scotland",SUM(G$19-G7)/G7,IF($J$5="United Kingdom",SUM(G$20-G7)/G7,SUM(G$16-G7)/G7))))&lt;0,"",IF($J$5="lgbf family group",SUM(G$17-G7)/G7,IF($J$5="Glasgow City Region",SUM(G$18-G7)/G7,IF($J$5="Scotland",SUM(G$19-G7)/G7,IF($J$5="United Kingdom",SUM(G$20-G7)/G7,SUM(G$16-G7)/G7)))))</f>
        <v>0.12047980243429189</v>
      </c>
      <c r="K7" s="361">
        <f t="shared" ref="K7:K14" si="1">IF(J7="","",IF($J$5="lgbf family group",SUM(G$17-G7),IF($J$5="Glasgow City Region",SUM(G$18-G7),IF($J$5="Scotland",SUM(G$19-G7),IF($J$5="United Kingdom",SUM(G$20-G7),SUM(G$16-G7))))))</f>
        <v>68.300000000000068</v>
      </c>
    </row>
    <row r="8" spans="2:12" ht="19.5" customHeight="1">
      <c r="B8" s="296" t="s">
        <v>249</v>
      </c>
      <c r="C8" s="296" t="s">
        <v>24</v>
      </c>
      <c r="D8" s="359">
        <f>VLOOKUP($C8,'Raw - 20th Percentile Earnings'!$A:$Q,4,FALSE)</f>
        <v>511.2</v>
      </c>
      <c r="E8" s="359">
        <f>VLOOKUP($C8,'Raw - 20th Percentile Earnings'!$A:$Q,8,FALSE)</f>
        <v>536.70000000000005</v>
      </c>
      <c r="F8" s="359">
        <f>VLOOKUP($C8,'Raw - 20th Percentile Earnings'!$A:$Q,12,FALSE)</f>
        <v>535.5</v>
      </c>
      <c r="G8" s="359">
        <f>VLOOKUP($C8,'Raw - 20th Percentile Earnings'!$A:$Q,16,FALSE)</f>
        <v>574.9</v>
      </c>
      <c r="H8" s="320">
        <f t="shared" ref="H8:H14" si="2">SUM(G8-D8)/D8</f>
        <v>0.12460876369327072</v>
      </c>
      <c r="I8" s="360">
        <f t="shared" ref="I8:I14" si="3">G8-D8</f>
        <v>63.699999999999989</v>
      </c>
      <c r="J8" s="322">
        <f t="shared" si="0"/>
        <v>0.10488780657505666</v>
      </c>
      <c r="K8" s="361">
        <f t="shared" si="1"/>
        <v>60.300000000000068</v>
      </c>
    </row>
    <row r="9" spans="2:12" ht="19.5" customHeight="1">
      <c r="B9" s="296" t="s">
        <v>249</v>
      </c>
      <c r="C9" s="296" t="s">
        <v>27</v>
      </c>
      <c r="D9" s="359">
        <f>VLOOKUP($C9,'Raw - 20th Percentile Earnings'!$A:$Q,4,FALSE)</f>
        <v>405.5</v>
      </c>
      <c r="E9" s="359">
        <f>VLOOKUP($C9,'Raw - 20th Percentile Earnings'!$A:$Q,8,FALSE)</f>
        <v>419.8</v>
      </c>
      <c r="F9" s="359">
        <f>VLOOKUP($C9,'Raw - 20th Percentile Earnings'!$A:$Q,12,FALSE)</f>
        <v>452.4</v>
      </c>
      <c r="G9" s="359">
        <f>VLOOKUP($C9,'Raw - 20th Percentile Earnings'!$A:$Q,16,FALSE)</f>
        <v>492.1</v>
      </c>
      <c r="H9" s="320">
        <f t="shared" si="2"/>
        <v>0.21356350184956849</v>
      </c>
      <c r="I9" s="360">
        <f t="shared" si="3"/>
        <v>86.600000000000023</v>
      </c>
      <c r="J9" s="322">
        <f t="shared" si="0"/>
        <v>0.29079455395244874</v>
      </c>
      <c r="K9" s="361">
        <f t="shared" si="1"/>
        <v>143.10000000000002</v>
      </c>
    </row>
    <row r="10" spans="2:12" ht="19.5" customHeight="1">
      <c r="B10" s="296" t="s">
        <v>249</v>
      </c>
      <c r="C10" s="296" t="s">
        <v>29</v>
      </c>
      <c r="D10" s="359">
        <f>VLOOKUP($C10,'Raw - 20th Percentile Earnings'!$A:$Q,4,FALSE)</f>
        <v>376</v>
      </c>
      <c r="E10" s="359">
        <f>VLOOKUP($C10,'Raw - 20th Percentile Earnings'!$A:$Q,8,FALSE)</f>
        <v>401.2</v>
      </c>
      <c r="F10" s="359">
        <f>VLOOKUP($C10,'Raw - 20th Percentile Earnings'!$A:$Q,12,FALSE)</f>
        <v>468</v>
      </c>
      <c r="G10" s="359">
        <f>VLOOKUP($C10,'Raw - 20th Percentile Earnings'!$A:$Q,16,FALSE)</f>
        <v>537.4</v>
      </c>
      <c r="H10" s="320">
        <f t="shared" si="2"/>
        <v>0.42925531914893611</v>
      </c>
      <c r="I10" s="360">
        <f t="shared" si="3"/>
        <v>161.39999999999998</v>
      </c>
      <c r="J10" s="322">
        <f t="shared" si="0"/>
        <v>0.18198734648306675</v>
      </c>
      <c r="K10" s="361">
        <f t="shared" si="1"/>
        <v>97.800000000000068</v>
      </c>
    </row>
    <row r="11" spans="2:12" ht="19.5" customHeight="1">
      <c r="B11" s="296" t="s">
        <v>249</v>
      </c>
      <c r="C11" s="296" t="s">
        <v>34</v>
      </c>
      <c r="D11" s="359">
        <f>VLOOKUP($C11,'Raw - 20th Percentile Earnings'!$A:$Q,4,FALSE)</f>
        <v>408.6</v>
      </c>
      <c r="E11" s="359">
        <f>VLOOKUP($C11,'Raw - 20th Percentile Earnings'!$A:$Q,8,FALSE)</f>
        <v>431.9</v>
      </c>
      <c r="F11" s="359">
        <f>VLOOKUP($C11,'Raw - 20th Percentile Earnings'!$A:$Q,12,FALSE)</f>
        <v>458.9</v>
      </c>
      <c r="G11" s="359">
        <f>VLOOKUP($C11,'Raw - 20th Percentile Earnings'!$A:$Q,16,FALSE)</f>
        <v>508.2</v>
      </c>
      <c r="H11" s="320">
        <f t="shared" si="2"/>
        <v>0.24375917767988242</v>
      </c>
      <c r="I11" s="360">
        <f t="shared" si="3"/>
        <v>99.599999999999966</v>
      </c>
      <c r="J11" s="322">
        <f t="shared" si="0"/>
        <v>0.2499016135379773</v>
      </c>
      <c r="K11" s="361">
        <f t="shared" si="1"/>
        <v>127.00000000000006</v>
      </c>
    </row>
    <row r="12" spans="2:12" ht="19.5" customHeight="1">
      <c r="B12" s="296" t="s">
        <v>249</v>
      </c>
      <c r="C12" s="296" t="s">
        <v>37</v>
      </c>
      <c r="D12" s="359">
        <f>VLOOKUP($C12,'Raw - 20th Percentile Earnings'!$A:$Q,4,FALSE)</f>
        <v>414.7</v>
      </c>
      <c r="E12" s="359">
        <f>VLOOKUP($C12,'Raw - 20th Percentile Earnings'!$A:$Q,8,FALSE)</f>
        <v>447.3</v>
      </c>
      <c r="F12" s="359">
        <f>VLOOKUP($C12,'Raw - 20th Percentile Earnings'!$A:$Q,12,FALSE)</f>
        <v>464.3</v>
      </c>
      <c r="G12" s="359">
        <f>VLOOKUP($C12,'Raw - 20th Percentile Earnings'!$A:$Q,16,FALSE)</f>
        <v>509.4</v>
      </c>
      <c r="H12" s="320">
        <f t="shared" si="2"/>
        <v>0.2283578490475042</v>
      </c>
      <c r="I12" s="360">
        <f t="shared" si="3"/>
        <v>94.699999999999989</v>
      </c>
      <c r="J12" s="322">
        <f t="shared" si="0"/>
        <v>0.24695720455437783</v>
      </c>
      <c r="K12" s="361">
        <f t="shared" si="1"/>
        <v>125.80000000000007</v>
      </c>
    </row>
    <row r="13" spans="2:12" ht="19.5" customHeight="1">
      <c r="B13" s="296" t="s">
        <v>249</v>
      </c>
      <c r="C13" s="296" t="s">
        <v>41</v>
      </c>
      <c r="D13" s="359">
        <f>VLOOKUP($C13,'Raw - 20th Percentile Earnings'!$A:$Q,4,FALSE)</f>
        <v>427.8</v>
      </c>
      <c r="E13" s="359">
        <f>VLOOKUP($C13,'Raw - 20th Percentile Earnings'!$A:$Q,8,FALSE)</f>
        <v>439.2</v>
      </c>
      <c r="F13" s="359">
        <f>VLOOKUP($C13,'Raw - 20th Percentile Earnings'!$A:$Q,12,FALSE)</f>
        <v>452.4</v>
      </c>
      <c r="G13" s="359">
        <f>VLOOKUP($C13,'Raw - 20th Percentile Earnings'!$A:$Q,16,FALSE)</f>
        <v>525.20000000000005</v>
      </c>
      <c r="H13" s="320">
        <f t="shared" si="2"/>
        <v>0.22767648433847601</v>
      </c>
      <c r="I13" s="360">
        <f t="shared" si="3"/>
        <v>97.400000000000034</v>
      </c>
      <c r="J13" s="322">
        <f t="shared" si="0"/>
        <v>0.20944402132520942</v>
      </c>
      <c r="K13" s="361">
        <f t="shared" si="1"/>
        <v>110</v>
      </c>
    </row>
    <row r="14" spans="2:12" ht="19.5" customHeight="1">
      <c r="B14" s="296" t="s">
        <v>249</v>
      </c>
      <c r="C14" s="296" t="s">
        <v>43</v>
      </c>
      <c r="D14" s="359">
        <f>VLOOKUP($C14,'Raw - 20th Percentile Earnings'!$A:$Q,4,FALSE)</f>
        <v>402.3</v>
      </c>
      <c r="E14" s="359">
        <f>VLOOKUP($C14,'Raw - 20th Percentile Earnings'!$A:$Q,8,FALSE)</f>
        <v>435.6</v>
      </c>
      <c r="F14" s="359">
        <f>VLOOKUP($C14,'Raw - 20th Percentile Earnings'!$A:$Q,12,FALSE)</f>
        <v>451.2</v>
      </c>
      <c r="G14" s="359">
        <f>VLOOKUP($C14,'Raw - 20th Percentile Earnings'!$A:$Q,16,FALSE)</f>
        <v>488.1</v>
      </c>
      <c r="H14" s="320">
        <f t="shared" si="2"/>
        <v>0.2132736763609247</v>
      </c>
      <c r="I14" s="360">
        <f t="shared" si="3"/>
        <v>85.800000000000011</v>
      </c>
      <c r="J14" s="322">
        <f t="shared" si="0"/>
        <v>0.30137266953493141</v>
      </c>
      <c r="K14" s="361">
        <f t="shared" si="1"/>
        <v>147.10000000000002</v>
      </c>
    </row>
    <row r="15" spans="2:12" ht="19.5" customHeight="1">
      <c r="B15" s="303"/>
      <c r="C15" s="303"/>
      <c r="D15" s="304"/>
      <c r="E15" s="304"/>
      <c r="F15" s="304"/>
      <c r="G15" s="304"/>
      <c r="H15" s="306"/>
      <c r="I15" s="306"/>
      <c r="J15" s="306"/>
      <c r="K15" s="306"/>
      <c r="L15" s="306"/>
    </row>
    <row r="16" spans="2:12" ht="19.5" customHeight="1">
      <c r="B16" s="307" t="s">
        <v>51</v>
      </c>
      <c r="C16" s="296" t="str">
        <f>INDEX('Raw - 20th Percentile Earnings'!$A$9:$A$446,MATCH(MAX('Raw - 20th Percentile Earnings'!P9:P40),'Raw - 20th Percentile Earnings'!P9:P40,0))</f>
        <v>Shetland Islands</v>
      </c>
      <c r="D16" s="359">
        <f>VLOOKUP($C16,'Raw - 20th Percentile Earnings'!$A:$Q,4,FALSE)</f>
        <v>448.6</v>
      </c>
      <c r="E16" s="359">
        <f>VLOOKUP($C16,'Raw - 20th Percentile Earnings'!$A:$Q,8,FALSE)</f>
        <v>488.3</v>
      </c>
      <c r="F16" s="359">
        <f>VLOOKUP($C16,'Raw - 20th Percentile Earnings'!$A:$Q,12,FALSE)</f>
        <v>534.4</v>
      </c>
      <c r="G16" s="359">
        <f>VLOOKUP($C16,'Raw - 20th Percentile Earnings'!$A:$Q,16,FALSE)</f>
        <v>635.20000000000005</v>
      </c>
      <c r="H16" s="320">
        <f>SUM(G16-D16)/D16</f>
        <v>0.41596076683013822</v>
      </c>
      <c r="I16" s="360">
        <f>G16-D16</f>
        <v>186.60000000000002</v>
      </c>
      <c r="J16" s="305"/>
    </row>
    <row r="17" spans="2:12" ht="19.5" customHeight="1">
      <c r="B17" s="307" t="s">
        <v>542</v>
      </c>
      <c r="C17" s="308" t="s">
        <v>546</v>
      </c>
      <c r="D17" s="359">
        <f>VLOOKUP($C17,'Raw - 20th Percentile Earnings'!$A:$Q,4,FALSE)</f>
        <v>417.71250000000003</v>
      </c>
      <c r="E17" s="359">
        <f>VLOOKUP($C17,'Raw - 20th Percentile Earnings'!$A:$Q,8,FALSE)</f>
        <v>435.75</v>
      </c>
      <c r="F17" s="359">
        <f>VLOOKUP($C17,'Raw - 20th Percentile Earnings'!$A:$Q,12,FALSE)</f>
        <v>461.625</v>
      </c>
      <c r="G17" s="359">
        <f>VLOOKUP($C17,'Raw - 20th Percentile Earnings'!$A:$Q,16,FALSE)</f>
        <v>507.20000000000005</v>
      </c>
      <c r="H17" s="320">
        <f>SUM(G17-D17)/D17</f>
        <v>0.21423227698476824</v>
      </c>
      <c r="I17" s="360">
        <f>G17-D17</f>
        <v>89.487500000000011</v>
      </c>
      <c r="J17" s="305"/>
    </row>
    <row r="18" spans="2:12" ht="19.5" customHeight="1">
      <c r="B18" s="307" t="s">
        <v>250</v>
      </c>
      <c r="C18" s="296" t="s">
        <v>47</v>
      </c>
      <c r="D18" s="359">
        <f>VLOOKUP($C18,'Raw - 20th Percentile Earnings'!$A:$Q,4,FALSE)</f>
        <v>426.28750000000002</v>
      </c>
      <c r="E18" s="359">
        <f>VLOOKUP($C18,'Raw - 20th Percentile Earnings'!$A:$Q,8,FALSE)</f>
        <v>449.83749999999998</v>
      </c>
      <c r="F18" s="359">
        <f>VLOOKUP($C18,'Raw - 20th Percentile Earnings'!$A:$Q,12,FALSE)</f>
        <v>474.66250000000002</v>
      </c>
      <c r="G18" s="359">
        <f>VLOOKUP($C18,'Raw - 20th Percentile Earnings'!$A:$Q,16,FALSE)</f>
        <v>525.27500000000009</v>
      </c>
      <c r="H18" s="320">
        <f>SUM(G18-D18)/D18</f>
        <v>0.23220831011934448</v>
      </c>
      <c r="I18" s="360">
        <f>G18-D18</f>
        <v>98.987500000000068</v>
      </c>
      <c r="J18" s="305"/>
    </row>
    <row r="19" spans="2:12" ht="19.5" customHeight="1">
      <c r="B19" s="307" t="s">
        <v>251</v>
      </c>
      <c r="C19" s="296" t="s">
        <v>45</v>
      </c>
      <c r="D19" s="359">
        <f>VLOOKUP($C19,'Raw - 20th Percentile Earnings'!$A:$Q,4,FALSE)</f>
        <v>409</v>
      </c>
      <c r="E19" s="359">
        <f>VLOOKUP($C19,'Raw - 20th Percentile Earnings'!$A:$Q,8,FALSE)</f>
        <v>429.6</v>
      </c>
      <c r="F19" s="359">
        <f>VLOOKUP($C19,'Raw - 20th Percentile Earnings'!$A:$Q,12,FALSE)</f>
        <v>455.7</v>
      </c>
      <c r="G19" s="359">
        <f>VLOOKUP($C19,'Raw - 20th Percentile Earnings'!$A:$Q,16,FALSE)</f>
        <v>499.7</v>
      </c>
      <c r="H19" s="320">
        <f>SUM(G19-D19)/D19</f>
        <v>0.22176039119804397</v>
      </c>
      <c r="I19" s="360">
        <f>G19-D19</f>
        <v>90.699999999999989</v>
      </c>
      <c r="J19" s="305"/>
    </row>
    <row r="20" spans="2:12" ht="19.5" customHeight="1">
      <c r="B20" s="307" t="s">
        <v>251</v>
      </c>
      <c r="C20" s="296" t="s">
        <v>46</v>
      </c>
      <c r="D20" s="359">
        <f>VLOOKUP($C20,'Raw - 20th Percentile Earnings'!$A:$Q,4,FALSE)</f>
        <v>401.3</v>
      </c>
      <c r="E20" s="359">
        <f>VLOOKUP($C20,'Raw - 20th Percentile Earnings'!$A:$Q,8,FALSE)</f>
        <v>423.7</v>
      </c>
      <c r="F20" s="359">
        <f>VLOOKUP($C20,'Raw - 20th Percentile Earnings'!$A:$Q,12,FALSE)</f>
        <v>454.9</v>
      </c>
      <c r="G20" s="359">
        <f>VLOOKUP($C20,'Raw - 20th Percentile Earnings'!$A:$Q,16,FALSE)</f>
        <v>490.5</v>
      </c>
      <c r="H20" s="320">
        <f>SUM(G20-D20)/D20</f>
        <v>0.2222775978071268</v>
      </c>
      <c r="I20" s="360">
        <f>G20-D20</f>
        <v>89.199999999999989</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MxgG9cymLWvpKSmP8r6zUKbsWUlt2MiOoVpX8W7PY25RMa9juz8ezD9uzESHv35WF1c+NkL1wimCoUpAzJhdEQ==" saltValue="sxcBGbmjXH/mXpGGa2saYw==" spinCount="100000" sheet="1" objects="1" scenarios="1"/>
  <autoFilter ref="B6:K14" xr:uid="{00000000-0009-0000-0000-000016000000}"/>
  <mergeCells count="4">
    <mergeCell ref="J4:K4"/>
    <mergeCell ref="H5:I5"/>
    <mergeCell ref="J5:K5"/>
    <mergeCell ref="F2:G2"/>
  </mergeCells>
  <dataValidations count="1">
    <dataValidation type="list" allowBlank="1" showInputMessage="1" showErrorMessage="1" sqref="C17" xr:uid="{00000000-0002-0000-1600-000000000000}">
      <formula1>IF(B17="LGBF Family Group 1",LGBF_5,IF(B17="LGBF Family Group 3",LGBF_7,IF(B17="LGBF Family Group 4",LGBF_8,LGBF_6)))</formula1>
    </dataValidation>
  </dataValidations>
  <hyperlinks>
    <hyperlink ref="C3" r:id="rId1" xr:uid="{00000000-0004-0000-1600-000000000000}"/>
    <hyperlink ref="F2:G2" location="'Index RAG'!A1" display="Return to Index RAG" xr:uid="{00000000-0004-0000-16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Lookups!$L$8:$O$8</xm:f>
          </x14:formula1>
          <xm:sqref>B17</xm:sqref>
        </x14:dataValidation>
        <x14:dataValidation type="list" allowBlank="1" showInputMessage="1" showErrorMessage="1" xr:uid="{00000000-0002-0000-1600-000002000000}">
          <x14:formula1>
            <xm:f>Lookups!$B$3:$B$7</xm:f>
          </x14:formula1>
          <xm:sqref>J5:K5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195</v>
      </c>
      <c r="F2" s="595" t="s">
        <v>507</v>
      </c>
      <c r="G2" s="596"/>
    </row>
    <row r="3" spans="2:12" ht="13">
      <c r="B3" s="286" t="s">
        <v>49</v>
      </c>
      <c r="C3" s="288" t="s">
        <v>592</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2017</v>
      </c>
      <c r="E6" s="294">
        <v>2018</v>
      </c>
      <c r="F6" s="294">
        <v>2019</v>
      </c>
      <c r="G6" s="294">
        <v>2020</v>
      </c>
      <c r="H6" s="294" t="s">
        <v>200</v>
      </c>
      <c r="I6" s="295" t="s">
        <v>53</v>
      </c>
      <c r="J6" s="295" t="s">
        <v>54</v>
      </c>
      <c r="K6" s="295" t="s">
        <v>56</v>
      </c>
      <c r="L6" s="295" t="s">
        <v>57</v>
      </c>
    </row>
    <row r="7" spans="2:12" ht="19.5" customHeight="1">
      <c r="B7" s="296" t="s">
        <v>249</v>
      </c>
      <c r="C7" s="296" t="s">
        <v>22</v>
      </c>
      <c r="D7" s="297">
        <f>VLOOKUP($C7,'Raw - Underemployment'!$A:$Q,4,FALSE)</f>
        <v>7.7</v>
      </c>
      <c r="E7" s="297">
        <f>VLOOKUP($C7,'Raw - Underemployment'!$A:$Q,8,FALSE)</f>
        <v>5.0999999999999996</v>
      </c>
      <c r="F7" s="297">
        <f>VLOOKUP($C7,'Raw - Underemployment'!$A:$Q,12,FALSE)</f>
        <v>4.5999999999999996</v>
      </c>
      <c r="G7" s="297">
        <f>VLOOKUP($C7,'Raw - Underemployment'!$A:$Q,16,FALSE)</f>
        <v>5.9</v>
      </c>
      <c r="H7" s="318">
        <f>VLOOKUP(C7,'Raw - Underemployment'!A:Q,14,FALSE)</f>
        <v>3000</v>
      </c>
      <c r="I7" s="299">
        <f>SUM(G7-D7)</f>
        <v>-1.7999999999999998</v>
      </c>
      <c r="J7" s="300">
        <f>SUM(VLOOKUP(C7,'Raw - Underemployment'!A:Q,14,FALSE)-VLOOKUP(C7,'Raw - Underemployment'!A:Q,2,FALSE))</f>
        <v>-900</v>
      </c>
      <c r="K7" s="301">
        <f t="shared" ref="K7:K14" si="0">IF(IF($K$5="lgbf family group",SUM(G$17-G7),IF($K$5="Glasgow City Region",SUM(G$18-G7),IF($K$5="Scotland",SUM(G$19-G7),IF($K$5="United Kingdom",SUM(G$20-G7),SUM(G$16-G7)))))&gt;0,"",IF($K$5="lgbf family group",SUM(G$17-G7),IF($K$5="Glasgow City Region",SUM(G$18-G7),IF($K$5="Scotland",SUM(G$19-G7),IF($K$5="United Kingdom",SUM(G$20-G7),SUM(G$16-G7))))))</f>
        <v>-2.5000000000000004</v>
      </c>
      <c r="L7" s="302">
        <f>IF(K7="","",IF($K$5="lgbf family group",SUM(MROUND(SUM(SUM(VLOOKUP(C$17,'Raw - Underemployment'!A:Q,16,FALSE)*VLOOKUP(C7,'Raw - Underemployment'!A:Q,15,FALSE))/100),100)-MROUND(SUM(SUM(VLOOKUP(C7,'Raw - Underemployment'!A:Q,16,FALSE)*VLOOKUP(C7,'Raw - Underemployment'!A:Q,15,FALSE))/100),100)),IF($K$5="Glasgow City Region",SUM(MROUND(SUM(SUM(VLOOKUP(C$18,'Raw - Underemployment'!A:Q,16,FALSE)*VLOOKUP(C7,'Raw - Underemployment'!A:Q,15,FALSE))/100),100)-MROUND(SUM(SUM(VLOOKUP(C7,'Raw - Underemployment'!A:Q,16,FALSE)*VLOOKUP(C7,'Raw - Underemployment'!A:Q,15,FALSE))/100),100)),IF($K$5="Scotland",SUM(MROUND(SUM(SUM(VLOOKUP(C$19,'Raw - Underemployment'!A:Q,16,FALSE)*VLOOKUP(C7,'Raw - Underemployment'!A:Q,15,FALSE))/100),100)-MROUND(SUM(SUM(VLOOKUP(C7,'Raw - Underemployment'!A:Q,16,FALSE)*VLOOKUP(C7,'Raw - Underemployment'!A:Q,15,FALSE))/100),100)),IF($K$5="United Kingdom",SUM(MROUND(SUM(SUM(VLOOKUP(C$20,'Raw - Underemployment'!A:Q,16,FALSE)*VLOOKUP(C7,'Raw - Underemployment'!A:Q,15,FALSE))/100),100)-MROUND(SUM(SUM(VLOOKUP(C7,'Raw - Underemployment'!A:Q,16,FALSE)*VLOOKUP(C7,'Raw - Underemployment'!A:Q,15,FALSE))/100),100)),SUM(MROUND(SUM(SUM(VLOOKUP(C$16,'Raw - Underemployment'!A:Q,16,FALSE)*VLOOKUP(C7,'Raw - Underemployment'!A:Q,15,FALSE))/100),100)-MROUND(SUM(SUM(VLOOKUP(C7,'Raw - Underemployment'!A:Q,16,FALSE)*VLOOKUP(C7,'Raw - Underemployment'!A:Q,15,FALSE))/100),100)))))))</f>
        <v>-1300</v>
      </c>
    </row>
    <row r="8" spans="2:12" ht="19.5" customHeight="1">
      <c r="B8" s="296" t="s">
        <v>249</v>
      </c>
      <c r="C8" s="296" t="s">
        <v>24</v>
      </c>
      <c r="D8" s="297">
        <f>VLOOKUP($C8,'Raw - Underemployment'!$A:$Q,4,FALSE)</f>
        <v>10.199999999999999</v>
      </c>
      <c r="E8" s="297">
        <f>VLOOKUP($C8,'Raw - Underemployment'!$A:$Q,8,FALSE)</f>
        <v>5.3</v>
      </c>
      <c r="F8" s="297">
        <f>VLOOKUP($C8,'Raw - Underemployment'!$A:$Q,12,FALSE)</f>
        <v>6.4</v>
      </c>
      <c r="G8" s="297">
        <f>VLOOKUP($C8,'Raw - Underemployment'!$A:$Q,16,FALSE)</f>
        <v>8.3000000000000007</v>
      </c>
      <c r="H8" s="318">
        <f>VLOOKUP(C8,'Raw - Underemployment'!A:Q,14,FALSE)</f>
        <v>3600</v>
      </c>
      <c r="I8" s="299">
        <f t="shared" ref="I8:I19" si="1">SUM(G8-D8)</f>
        <v>-1.8999999999999986</v>
      </c>
      <c r="J8" s="300">
        <f>SUM(VLOOKUP(C8,'Raw - Underemployment'!A:Q,14,FALSE)-VLOOKUP(C8,'Raw - Underemployment'!A:Q,2,FALSE))</f>
        <v>-900</v>
      </c>
      <c r="K8" s="301">
        <f t="shared" si="0"/>
        <v>-4.9000000000000004</v>
      </c>
      <c r="L8" s="302">
        <f>IF(K8="","",IF($K$5="lgbf family group",SUM(MROUND(SUM(SUM(VLOOKUP(C$17,'Raw - Underemployment'!A:Q,16,FALSE)*VLOOKUP(C8,'Raw - Underemployment'!A:Q,15,FALSE))/100),100)-MROUND(SUM(SUM(VLOOKUP(C8,'Raw - Underemployment'!A:Q,16,FALSE)*VLOOKUP(C8,'Raw - Underemployment'!A:Q,15,FALSE))/100),100)),IF($K$5="Glasgow City Region",SUM(MROUND(SUM(SUM(VLOOKUP(C$18,'Raw - Underemployment'!A:Q,16,FALSE)*VLOOKUP(C8,'Raw - Underemployment'!A:Q,15,FALSE))/100),100)-MROUND(SUM(SUM(VLOOKUP(C8,'Raw - Underemployment'!A:Q,16,FALSE)*VLOOKUP(C8,'Raw - Underemployment'!A:Q,15,FALSE))/100),100)),IF($K$5="Scotland",SUM(MROUND(SUM(SUM(VLOOKUP(C$19,'Raw - Underemployment'!A:Q,16,FALSE)*VLOOKUP(C8,'Raw - Underemployment'!A:Q,15,FALSE))/100),100)-MROUND(SUM(SUM(VLOOKUP(C8,'Raw - Underemployment'!A:Q,16,FALSE)*VLOOKUP(C8,'Raw - Underemployment'!A:Q,15,FALSE))/100),100)),IF($K$5="United Kingdom",SUM(MROUND(SUM(SUM(VLOOKUP(C$20,'Raw - Underemployment'!A:Q,16,FALSE)*VLOOKUP(C8,'Raw - Underemployment'!A:Q,15,FALSE))/100),100)-MROUND(SUM(SUM(VLOOKUP(C8,'Raw - Underemployment'!A:Q,16,FALSE)*VLOOKUP(C8,'Raw - Underemployment'!A:Q,15,FALSE))/100),100)),SUM(MROUND(SUM(SUM(VLOOKUP(C$16,'Raw - Underemployment'!A:Q,16,FALSE)*VLOOKUP(C8,'Raw - Underemployment'!A:Q,15,FALSE))/100),100)-MROUND(SUM(SUM(VLOOKUP(C8,'Raw - Underemployment'!A:Q,16,FALSE)*VLOOKUP(C8,'Raw - Underemployment'!A:Q,15,FALSE))/100),100)))))))</f>
        <v>-2100</v>
      </c>
    </row>
    <row r="9" spans="2:12" ht="19.5" customHeight="1">
      <c r="B9" s="296" t="s">
        <v>249</v>
      </c>
      <c r="C9" s="296" t="s">
        <v>27</v>
      </c>
      <c r="D9" s="297">
        <f>VLOOKUP($C9,'Raw - Underemployment'!$A:$Q,4,FALSE)</f>
        <v>7.6</v>
      </c>
      <c r="E9" s="297">
        <f>VLOOKUP($C9,'Raw - Underemployment'!$A:$Q,8,FALSE)</f>
        <v>8.6</v>
      </c>
      <c r="F9" s="297">
        <f>VLOOKUP($C9,'Raw - Underemployment'!$A:$Q,12,FALSE)</f>
        <v>8.6</v>
      </c>
      <c r="G9" s="297">
        <f>VLOOKUP($C9,'Raw - Underemployment'!$A:$Q,16,FALSE)</f>
        <v>6.3</v>
      </c>
      <c r="H9" s="318">
        <f>VLOOKUP(C9,'Raw - Underemployment'!A:Q,14,FALSE)</f>
        <v>19300</v>
      </c>
      <c r="I9" s="299">
        <f t="shared" si="1"/>
        <v>-1.2999999999999998</v>
      </c>
      <c r="J9" s="300">
        <f>SUM(VLOOKUP(C9,'Raw - Underemployment'!A:Q,14,FALSE)-VLOOKUP(C9,'Raw - Underemployment'!A:Q,2,FALSE))</f>
        <v>-2500</v>
      </c>
      <c r="K9" s="301">
        <f t="shared" si="0"/>
        <v>-2.9</v>
      </c>
      <c r="L9" s="302">
        <f>IF(K9="","",IF($K$5="lgbf family group",SUM(MROUND(SUM(SUM(VLOOKUP(C$17,'Raw - Underemployment'!A:Q,16,FALSE)*VLOOKUP(C9,'Raw - Underemployment'!A:Q,15,FALSE))/100),100)-MROUND(SUM(SUM(VLOOKUP(C9,'Raw - Underemployment'!A:Q,16,FALSE)*VLOOKUP(C9,'Raw - Underemployment'!A:Q,15,FALSE))/100),100)),IF($K$5="Glasgow City Region",SUM(MROUND(SUM(SUM(VLOOKUP(C$18,'Raw - Underemployment'!A:Q,16,FALSE)*VLOOKUP(C9,'Raw - Underemployment'!A:Q,15,FALSE))/100),100)-MROUND(SUM(SUM(VLOOKUP(C9,'Raw - Underemployment'!A:Q,16,FALSE)*VLOOKUP(C9,'Raw - Underemployment'!A:Q,15,FALSE))/100),100)),IF($K$5="Scotland",SUM(MROUND(SUM(SUM(VLOOKUP(C$19,'Raw - Underemployment'!A:Q,16,FALSE)*VLOOKUP(C9,'Raw - Underemployment'!A:Q,15,FALSE))/100),100)-MROUND(SUM(SUM(VLOOKUP(C9,'Raw - Underemployment'!A:Q,16,FALSE)*VLOOKUP(C9,'Raw - Underemployment'!A:Q,15,FALSE))/100),100)),IF($K$5="United Kingdom",SUM(MROUND(SUM(SUM(VLOOKUP(C$20,'Raw - Underemployment'!A:Q,16,FALSE)*VLOOKUP(C9,'Raw - Underemployment'!A:Q,15,FALSE))/100),100)-MROUND(SUM(SUM(VLOOKUP(C9,'Raw - Underemployment'!A:Q,16,FALSE)*VLOOKUP(C9,'Raw - Underemployment'!A:Q,15,FALSE))/100),100)),SUM(MROUND(SUM(SUM(VLOOKUP(C$16,'Raw - Underemployment'!A:Q,16,FALSE)*VLOOKUP(C9,'Raw - Underemployment'!A:Q,15,FALSE))/100),100)-MROUND(SUM(SUM(VLOOKUP(C9,'Raw - Underemployment'!A:Q,16,FALSE)*VLOOKUP(C9,'Raw - Underemployment'!A:Q,15,FALSE))/100),100)))))))</f>
        <v>-8900</v>
      </c>
    </row>
    <row r="10" spans="2:12" ht="19.5" customHeight="1">
      <c r="B10" s="296" t="s">
        <v>249</v>
      </c>
      <c r="C10" s="296" t="s">
        <v>29</v>
      </c>
      <c r="D10" s="297">
        <f>VLOOKUP($C10,'Raw - Underemployment'!$A:$Q,4,FALSE)</f>
        <v>8</v>
      </c>
      <c r="E10" s="297">
        <f>VLOOKUP($C10,'Raw - Underemployment'!$A:$Q,8,FALSE)</f>
        <v>9.5</v>
      </c>
      <c r="F10" s="297">
        <f>VLOOKUP($C10,'Raw - Underemployment'!$A:$Q,12,FALSE)</f>
        <v>7.5</v>
      </c>
      <c r="G10" s="297">
        <f>VLOOKUP($C10,'Raw - Underemployment'!$A:$Q,16,FALSE)</f>
        <v>7.2</v>
      </c>
      <c r="H10" s="318">
        <f>VLOOKUP(C10,'Raw - Underemployment'!A:Q,14,FALSE)</f>
        <v>2400</v>
      </c>
      <c r="I10" s="299">
        <f t="shared" si="1"/>
        <v>-0.79999999999999982</v>
      </c>
      <c r="J10" s="300">
        <f>SUM(VLOOKUP(C10,'Raw - Underemployment'!A:Q,14,FALSE)-VLOOKUP(C10,'Raw - Underemployment'!A:Q,2,FALSE))</f>
        <v>-500</v>
      </c>
      <c r="K10" s="301">
        <f t="shared" si="0"/>
        <v>-3.8000000000000003</v>
      </c>
      <c r="L10" s="302">
        <f>IF(K10="","",IF($K$5="lgbf family group",SUM(MROUND(SUM(SUM(VLOOKUP(C$17,'Raw - Underemployment'!A:Q,16,FALSE)*VLOOKUP(C10,'Raw - Underemployment'!A:Q,15,FALSE))/100),100)-MROUND(SUM(SUM(VLOOKUP(C10,'Raw - Underemployment'!A:Q,16,FALSE)*VLOOKUP(C10,'Raw - Underemployment'!A:Q,15,FALSE))/100),100)),IF($K$5="Glasgow City Region",SUM(MROUND(SUM(SUM(VLOOKUP(C$18,'Raw - Underemployment'!A:Q,16,FALSE)*VLOOKUP(C10,'Raw - Underemployment'!A:Q,15,FALSE))/100),100)-MROUND(SUM(SUM(VLOOKUP(C10,'Raw - Underemployment'!A:Q,16,FALSE)*VLOOKUP(C10,'Raw - Underemployment'!A:Q,15,FALSE))/100),100)),IF($K$5="Scotland",SUM(MROUND(SUM(SUM(VLOOKUP(C$19,'Raw - Underemployment'!A:Q,16,FALSE)*VLOOKUP(C10,'Raw - Underemployment'!A:Q,15,FALSE))/100),100)-MROUND(SUM(SUM(VLOOKUP(C10,'Raw - Underemployment'!A:Q,16,FALSE)*VLOOKUP(C10,'Raw - Underemployment'!A:Q,15,FALSE))/100),100)),IF($K$5="United Kingdom",SUM(MROUND(SUM(SUM(VLOOKUP(C$20,'Raw - Underemployment'!A:Q,16,FALSE)*VLOOKUP(C10,'Raw - Underemployment'!A:Q,15,FALSE))/100),100)-MROUND(SUM(SUM(VLOOKUP(C10,'Raw - Underemployment'!A:Q,16,FALSE)*VLOOKUP(C10,'Raw - Underemployment'!A:Q,15,FALSE))/100),100)),SUM(MROUND(SUM(SUM(VLOOKUP(C$16,'Raw - Underemployment'!A:Q,16,FALSE)*VLOOKUP(C10,'Raw - Underemployment'!A:Q,15,FALSE))/100),100)-MROUND(SUM(SUM(VLOOKUP(C10,'Raw - Underemployment'!A:Q,16,FALSE)*VLOOKUP(C10,'Raw - Underemployment'!A:Q,15,FALSE))/100),100)))))))</f>
        <v>-1300</v>
      </c>
    </row>
    <row r="11" spans="2:12" ht="19.5" customHeight="1">
      <c r="B11" s="296" t="s">
        <v>249</v>
      </c>
      <c r="C11" s="296" t="s">
        <v>34</v>
      </c>
      <c r="D11" s="297">
        <f>VLOOKUP($C11,'Raw - Underemployment'!$A:$Q,4,FALSE)</f>
        <v>5.4</v>
      </c>
      <c r="E11" s="297">
        <f>VLOOKUP($C11,'Raw - Underemployment'!$A:$Q,8,FALSE)</f>
        <v>5.6</v>
      </c>
      <c r="F11" s="297">
        <f>VLOOKUP($C11,'Raw - Underemployment'!$A:$Q,12,FALSE)</f>
        <v>4.4000000000000004</v>
      </c>
      <c r="G11" s="297">
        <f>VLOOKUP($C11,'Raw - Underemployment'!$A:$Q,16,FALSE)</f>
        <v>9.1</v>
      </c>
      <c r="H11" s="318">
        <f>VLOOKUP(C11,'Raw - Underemployment'!A:Q,14,FALSE)</f>
        <v>13900</v>
      </c>
      <c r="I11" s="299">
        <f t="shared" si="1"/>
        <v>3.6999999999999993</v>
      </c>
      <c r="J11" s="300">
        <f>SUM(VLOOKUP(C11,'Raw - Underemployment'!A:Q,14,FALSE)-VLOOKUP(C11,'Raw - Underemployment'!A:Q,2,FALSE))</f>
        <v>5200</v>
      </c>
      <c r="K11" s="301">
        <f t="shared" si="0"/>
        <v>-5.6999999999999993</v>
      </c>
      <c r="L11" s="302">
        <f>IF(K11="","",IF($K$5="lgbf family group",SUM(MROUND(SUM(SUM(VLOOKUP(C$17,'Raw - Underemployment'!A:Q,16,FALSE)*VLOOKUP(C11,'Raw - Underemployment'!A:Q,15,FALSE))/100),100)-MROUND(SUM(SUM(VLOOKUP(C11,'Raw - Underemployment'!A:Q,16,FALSE)*VLOOKUP(C11,'Raw - Underemployment'!A:Q,15,FALSE))/100),100)),IF($K$5="Glasgow City Region",SUM(MROUND(SUM(SUM(VLOOKUP(C$18,'Raw - Underemployment'!A:Q,16,FALSE)*VLOOKUP(C11,'Raw - Underemployment'!A:Q,15,FALSE))/100),100)-MROUND(SUM(SUM(VLOOKUP(C11,'Raw - Underemployment'!A:Q,16,FALSE)*VLOOKUP(C11,'Raw - Underemployment'!A:Q,15,FALSE))/100),100)),IF($K$5="Scotland",SUM(MROUND(SUM(SUM(VLOOKUP(C$19,'Raw - Underemployment'!A:Q,16,FALSE)*VLOOKUP(C11,'Raw - Underemployment'!A:Q,15,FALSE))/100),100)-MROUND(SUM(SUM(VLOOKUP(C11,'Raw - Underemployment'!A:Q,16,FALSE)*VLOOKUP(C11,'Raw - Underemployment'!A:Q,15,FALSE))/100),100)),IF($K$5="United Kingdom",SUM(MROUND(SUM(SUM(VLOOKUP(C$20,'Raw - Underemployment'!A:Q,16,FALSE)*VLOOKUP(C11,'Raw - Underemployment'!A:Q,15,FALSE))/100),100)-MROUND(SUM(SUM(VLOOKUP(C11,'Raw - Underemployment'!A:Q,16,FALSE)*VLOOKUP(C11,'Raw - Underemployment'!A:Q,15,FALSE))/100),100)),SUM(MROUND(SUM(SUM(VLOOKUP(C$16,'Raw - Underemployment'!A:Q,16,FALSE)*VLOOKUP(C11,'Raw - Underemployment'!A:Q,15,FALSE))/100),100)-MROUND(SUM(SUM(VLOOKUP(C11,'Raw - Underemployment'!A:Q,16,FALSE)*VLOOKUP(C11,'Raw - Underemployment'!A:Q,15,FALSE))/100),100)))))))</f>
        <v>-8700</v>
      </c>
    </row>
    <row r="12" spans="2:12" ht="19.5" customHeight="1">
      <c r="B12" s="296" t="s">
        <v>249</v>
      </c>
      <c r="C12" s="296" t="s">
        <v>37</v>
      </c>
      <c r="D12" s="297">
        <f>VLOOKUP($C12,'Raw - Underemployment'!$A:$Q,4,FALSE)</f>
        <v>9.5</v>
      </c>
      <c r="E12" s="297">
        <f>VLOOKUP($C12,'Raw - Underemployment'!$A:$Q,8,FALSE)</f>
        <v>6.9</v>
      </c>
      <c r="F12" s="297">
        <f>VLOOKUP($C12,'Raw - Underemployment'!$A:$Q,12,FALSE)</f>
        <v>8.1999999999999993</v>
      </c>
      <c r="G12" s="297">
        <f>VLOOKUP($C12,'Raw - Underemployment'!$A:$Q,16,FALSE)</f>
        <v>9.5</v>
      </c>
      <c r="H12" s="318">
        <f>VLOOKUP(C12,'Raw - Underemployment'!A:Q,14,FALSE)</f>
        <v>8500</v>
      </c>
      <c r="I12" s="299">
        <f t="shared" si="1"/>
        <v>0</v>
      </c>
      <c r="J12" s="300">
        <f>SUM(VLOOKUP(C12,'Raw - Underemployment'!A:Q,14,FALSE)-VLOOKUP(C12,'Raw - Underemployment'!A:Q,2,FALSE))</f>
        <v>300</v>
      </c>
      <c r="K12" s="301">
        <f t="shared" si="0"/>
        <v>-6.1</v>
      </c>
      <c r="L12" s="302">
        <f>IF(K12="","",IF($K$5="lgbf family group",SUM(MROUND(SUM(SUM(VLOOKUP(C$17,'Raw - Underemployment'!A:Q,16,FALSE)*VLOOKUP(C12,'Raw - Underemployment'!A:Q,15,FALSE))/100),100)-MROUND(SUM(SUM(VLOOKUP(C12,'Raw - Underemployment'!A:Q,16,FALSE)*VLOOKUP(C12,'Raw - Underemployment'!A:Q,15,FALSE))/100),100)),IF($K$5="Glasgow City Region",SUM(MROUND(SUM(SUM(VLOOKUP(C$18,'Raw - Underemployment'!A:Q,16,FALSE)*VLOOKUP(C12,'Raw - Underemployment'!A:Q,15,FALSE))/100),100)-MROUND(SUM(SUM(VLOOKUP(C12,'Raw - Underemployment'!A:Q,16,FALSE)*VLOOKUP(C12,'Raw - Underemployment'!A:Q,15,FALSE))/100),100)),IF($K$5="Scotland",SUM(MROUND(SUM(SUM(VLOOKUP(C$19,'Raw - Underemployment'!A:Q,16,FALSE)*VLOOKUP(C12,'Raw - Underemployment'!A:Q,15,FALSE))/100),100)-MROUND(SUM(SUM(VLOOKUP(C12,'Raw - Underemployment'!A:Q,16,FALSE)*VLOOKUP(C12,'Raw - Underemployment'!A:Q,15,FALSE))/100),100)),IF($K$5="United Kingdom",SUM(MROUND(SUM(SUM(VLOOKUP(C$20,'Raw - Underemployment'!A:Q,16,FALSE)*VLOOKUP(C12,'Raw - Underemployment'!A:Q,15,FALSE))/100),100)-MROUND(SUM(SUM(VLOOKUP(C12,'Raw - Underemployment'!A:Q,16,FALSE)*VLOOKUP(C12,'Raw - Underemployment'!A:Q,15,FALSE))/100),100)),SUM(MROUND(SUM(SUM(VLOOKUP(C$16,'Raw - Underemployment'!A:Q,16,FALSE)*VLOOKUP(C12,'Raw - Underemployment'!A:Q,15,FALSE))/100),100)-MROUND(SUM(SUM(VLOOKUP(C12,'Raw - Underemployment'!A:Q,16,FALSE)*VLOOKUP(C12,'Raw - Underemployment'!A:Q,15,FALSE))/100),100)))))))</f>
        <v>-5500</v>
      </c>
    </row>
    <row r="13" spans="2:12" ht="19.5" customHeight="1">
      <c r="B13" s="296" t="s">
        <v>249</v>
      </c>
      <c r="C13" s="296" t="s">
        <v>41</v>
      </c>
      <c r="D13" s="297">
        <f>VLOOKUP($C13,'Raw - Underemployment'!$A:$Q,4,FALSE)</f>
        <v>6.2</v>
      </c>
      <c r="E13" s="297">
        <f>VLOOKUP($C13,'Raw - Underemployment'!$A:$Q,8,FALSE)</f>
        <v>3.8</v>
      </c>
      <c r="F13" s="297">
        <f>VLOOKUP($C13,'Raw - Underemployment'!$A:$Q,12,FALSE)</f>
        <v>4.4000000000000004</v>
      </c>
      <c r="G13" s="297">
        <f>VLOOKUP($C13,'Raw - Underemployment'!$A:$Q,16,FALSE)</f>
        <v>7.3</v>
      </c>
      <c r="H13" s="318">
        <f>VLOOKUP(C13,'Raw - Underemployment'!A:Q,14,FALSE)</f>
        <v>11300</v>
      </c>
      <c r="I13" s="299">
        <f>SUM(G13-D13)</f>
        <v>1.0999999999999996</v>
      </c>
      <c r="J13" s="300">
        <f>SUM(VLOOKUP(C13,'Raw - Underemployment'!A:Q,14,FALSE)-VLOOKUP(C13,'Raw - Underemployment'!A:Q,2,FALSE))</f>
        <v>1800</v>
      </c>
      <c r="K13" s="301">
        <f t="shared" si="0"/>
        <v>-3.9</v>
      </c>
      <c r="L13" s="302">
        <f>IF(K13="","",IF($K$5="lgbf family group",SUM(MROUND(SUM(SUM(VLOOKUP(C$17,'Raw - Underemployment'!A:Q,16,FALSE)*VLOOKUP(C13,'Raw - Underemployment'!A:Q,15,FALSE))/100),100)-MROUND(SUM(SUM(VLOOKUP(C13,'Raw - Underemployment'!A:Q,16,FALSE)*VLOOKUP(C13,'Raw - Underemployment'!A:Q,15,FALSE))/100),100)),IF($K$5="Glasgow City Region",SUM(MROUND(SUM(SUM(VLOOKUP(C$18,'Raw - Underemployment'!A:Q,16,FALSE)*VLOOKUP(C13,'Raw - Underemployment'!A:Q,15,FALSE))/100),100)-MROUND(SUM(SUM(VLOOKUP(C13,'Raw - Underemployment'!A:Q,16,FALSE)*VLOOKUP(C13,'Raw - Underemployment'!A:Q,15,FALSE))/100),100)),IF($K$5="Scotland",SUM(MROUND(SUM(SUM(VLOOKUP(C$19,'Raw - Underemployment'!A:Q,16,FALSE)*VLOOKUP(C13,'Raw - Underemployment'!A:Q,15,FALSE))/100),100)-MROUND(SUM(SUM(VLOOKUP(C13,'Raw - Underemployment'!A:Q,16,FALSE)*VLOOKUP(C13,'Raw - Underemployment'!A:Q,15,FALSE))/100),100)),IF($K$5="United Kingdom",SUM(MROUND(SUM(SUM(VLOOKUP(C$20,'Raw - Underemployment'!A:Q,16,FALSE)*VLOOKUP(C13,'Raw - Underemployment'!A:Q,15,FALSE))/100),100)-MROUND(SUM(SUM(VLOOKUP(C13,'Raw - Underemployment'!A:Q,16,FALSE)*VLOOKUP(C13,'Raw - Underemployment'!A:Q,15,FALSE))/100),100)),SUM(MROUND(SUM(SUM(VLOOKUP(C$16,'Raw - Underemployment'!A:Q,16,FALSE)*VLOOKUP(C13,'Raw - Underemployment'!A:Q,15,FALSE))/100),100)-MROUND(SUM(SUM(VLOOKUP(C13,'Raw - Underemployment'!A:Q,16,FALSE)*VLOOKUP(C13,'Raw - Underemployment'!A:Q,15,FALSE))/100),100)))))))</f>
        <v>-6000</v>
      </c>
    </row>
    <row r="14" spans="2:12" ht="19.5" customHeight="1">
      <c r="B14" s="296" t="s">
        <v>249</v>
      </c>
      <c r="C14" s="296" t="s">
        <v>43</v>
      </c>
      <c r="D14" s="297">
        <f>VLOOKUP($C14,'Raw - Underemployment'!$A:$Q,4,FALSE)</f>
        <v>7.8</v>
      </c>
      <c r="E14" s="297">
        <f>VLOOKUP($C14,'Raw - Underemployment'!$A:$Q,8,FALSE)</f>
        <v>7.1</v>
      </c>
      <c r="F14" s="297">
        <f>VLOOKUP($C14,'Raw - Underemployment'!$A:$Q,12,FALSE)</f>
        <v>8.1</v>
      </c>
      <c r="G14" s="297">
        <f>VLOOKUP($C14,'Raw - Underemployment'!$A:$Q,16,FALSE)</f>
        <v>6</v>
      </c>
      <c r="H14" s="318">
        <f>VLOOKUP(C14,'Raw - Underemployment'!A:Q,14,FALSE)</f>
        <v>2500</v>
      </c>
      <c r="I14" s="299">
        <f t="shared" si="1"/>
        <v>-1.7999999999999998</v>
      </c>
      <c r="J14" s="300">
        <f>SUM(VLOOKUP(C14,'Raw - Underemployment'!A:Q,14,FALSE)-VLOOKUP(C14,'Raw - Underemployment'!A:Q,2,FALSE))</f>
        <v>-700</v>
      </c>
      <c r="K14" s="301">
        <f t="shared" si="0"/>
        <v>-2.6</v>
      </c>
      <c r="L14" s="302">
        <f>IF(K14="","",IF($K$5="lgbf family group",SUM(MROUND(SUM(SUM(VLOOKUP(C$17,'Raw - Underemployment'!A:Q,16,FALSE)*VLOOKUP(C14,'Raw - Underemployment'!A:Q,15,FALSE))/100),100)-MROUND(SUM(SUM(VLOOKUP(C14,'Raw - Underemployment'!A:Q,16,FALSE)*VLOOKUP(C14,'Raw - Underemployment'!A:Q,15,FALSE))/100),100)),IF($K$5="Glasgow City Region",SUM(MROUND(SUM(SUM(VLOOKUP(C$18,'Raw - Underemployment'!A:Q,16,FALSE)*VLOOKUP(C14,'Raw - Underemployment'!A:Q,15,FALSE))/100),100)-MROUND(SUM(SUM(VLOOKUP(C14,'Raw - Underemployment'!A:Q,16,FALSE)*VLOOKUP(C14,'Raw - Underemployment'!A:Q,15,FALSE))/100),100)),IF($K$5="Scotland",SUM(MROUND(SUM(SUM(VLOOKUP(C$19,'Raw - Underemployment'!A:Q,16,FALSE)*VLOOKUP(C14,'Raw - Underemployment'!A:Q,15,FALSE))/100),100)-MROUND(SUM(SUM(VLOOKUP(C14,'Raw - Underemployment'!A:Q,16,FALSE)*VLOOKUP(C14,'Raw - Underemployment'!A:Q,15,FALSE))/100),100)),IF($K$5="United Kingdom",SUM(MROUND(SUM(SUM(VLOOKUP(C$20,'Raw - Underemployment'!A:Q,16,FALSE)*VLOOKUP(C14,'Raw - Underemployment'!A:Q,15,FALSE))/100),100)-MROUND(SUM(SUM(VLOOKUP(C14,'Raw - Underemployment'!A:Q,16,FALSE)*VLOOKUP(C14,'Raw - Underemployment'!A:Q,15,FALSE))/100),100)),SUM(MROUND(SUM(SUM(VLOOKUP(C$16,'Raw - Underemployment'!A:Q,16,FALSE)*VLOOKUP(C14,'Raw - Underemployment'!A:Q,15,FALSE))/100),100)-MROUND(SUM(SUM(VLOOKUP(C14,'Raw - Underemployment'!A:Q,16,FALSE)*VLOOKUP(C14,'Raw - Underemployment'!A:Q,15,FALSE))/100),100)))))))</f>
        <v>-1100</v>
      </c>
    </row>
    <row r="15" spans="2:12" ht="19.5" customHeight="1">
      <c r="B15" s="303"/>
      <c r="C15" s="303"/>
      <c r="D15" s="304"/>
      <c r="E15" s="304"/>
      <c r="F15" s="304"/>
      <c r="G15" s="304"/>
      <c r="H15" s="304"/>
      <c r="I15" s="306"/>
      <c r="J15" s="306"/>
      <c r="K15" s="306"/>
      <c r="L15" s="306"/>
    </row>
    <row r="16" spans="2:12" ht="19.5" customHeight="1">
      <c r="B16" s="307" t="s">
        <v>51</v>
      </c>
      <c r="C16" s="296" t="str">
        <f>INDEX('Raw - Underemployment'!$A$8:$A$39,MATCH(MIN('Raw - Underemployment'!P8:P39),'Raw - Underemployment'!P8:P39,0))</f>
        <v>Falkirk</v>
      </c>
      <c r="D16" s="297">
        <f>VLOOKUP($C16,'Raw - Underemployment'!$A:$Q,4,FALSE)</f>
        <v>6.4</v>
      </c>
      <c r="E16" s="297">
        <f>VLOOKUP($C16,'Raw - Underemployment'!$A:$Q,8,FALSE)</f>
        <v>6.7</v>
      </c>
      <c r="F16" s="297">
        <f>VLOOKUP($C16,'Raw - Underemployment'!$A:$Q,12,FALSE)</f>
        <v>6.7</v>
      </c>
      <c r="G16" s="297">
        <f>VLOOKUP($C16,'Raw - Underemployment'!$A:$Q,16,FALSE)</f>
        <v>3.4</v>
      </c>
      <c r="H16" s="318">
        <f>VLOOKUP(C16,'Raw - Underemployment'!A:Q,14,FALSE)</f>
        <v>2700</v>
      </c>
      <c r="I16" s="299">
        <f>SUM(G16-D16)</f>
        <v>-3.0000000000000004</v>
      </c>
      <c r="J16" s="300">
        <f>SUM(VLOOKUP(C16,'Raw - Underemployment'!A:Q,14,FALSE)-VLOOKUP(C16,'Raw - Underemployment'!A:Q,2,FALSE))</f>
        <v>-2200</v>
      </c>
    </row>
    <row r="17" spans="2:12" ht="19.5" customHeight="1">
      <c r="B17" s="307" t="s">
        <v>541</v>
      </c>
      <c r="C17" s="308" t="s">
        <v>545</v>
      </c>
      <c r="D17" s="297">
        <f>VLOOKUP($C17,'Raw - Underemployment'!$A:$Q,4,FALSE)</f>
        <v>8.2002090570116408</v>
      </c>
      <c r="E17" s="297">
        <f>VLOOKUP($C17,'Raw - Underemployment'!$A:$Q,8,FALSE)</f>
        <v>6.2868470911249998</v>
      </c>
      <c r="F17" s="297">
        <f>VLOOKUP($C17,'Raw - Underemployment'!$A:$Q,12,FALSE)</f>
        <v>6.060244411040884</v>
      </c>
      <c r="G17" s="297">
        <f>VLOOKUP($C17,'Raw - Underemployment'!$A:$Q,16,FALSE)</f>
        <v>8.1982519670906342</v>
      </c>
      <c r="H17" s="318">
        <f>VLOOKUP(C17,'Raw - Underemployment'!A:Q,14,FALSE)</f>
        <v>43300</v>
      </c>
      <c r="I17" s="299">
        <f>SUM(G17-D17)</f>
        <v>-1.9570899210066273E-3</v>
      </c>
      <c r="J17" s="300">
        <f>SUM(VLOOKUP(C17,'Raw - Underemployment'!A:Q,14,FALSE)-VLOOKUP(C17,'Raw - Underemployment'!A:Q,2,FALSE))</f>
        <v>-300</v>
      </c>
    </row>
    <row r="18" spans="2:12" ht="19.5" customHeight="1">
      <c r="B18" s="307" t="s">
        <v>250</v>
      </c>
      <c r="C18" s="296" t="s">
        <v>47</v>
      </c>
      <c r="D18" s="297">
        <f>VLOOKUP($C18,'Raw - Underemployment'!$A:$Q,4,FALSE)</f>
        <v>7.2946210691132478</v>
      </c>
      <c r="E18" s="297">
        <f>VLOOKUP($C18,'Raw - Underemployment'!$A:$Q,8,FALSE)</f>
        <v>6.5727711834043507</v>
      </c>
      <c r="F18" s="297">
        <f>VLOOKUP($C18,'Raw - Underemployment'!$A:$Q,12,FALSE)</f>
        <v>6.6188741079822577</v>
      </c>
      <c r="G18" s="297">
        <f>VLOOKUP($C18,'Raw - Underemployment'!$A:$Q,16,FALSE)</f>
        <v>7.391824808634845</v>
      </c>
      <c r="H18" s="318">
        <f>VLOOKUP(C18,'Raw - Underemployment'!A:Q,14,FALSE)</f>
        <v>64500</v>
      </c>
      <c r="I18" s="299">
        <f t="shared" si="1"/>
        <v>9.7203739521597221E-2</v>
      </c>
      <c r="J18" s="300">
        <f>SUM(VLOOKUP(C18,'Raw - Underemployment'!A:Q,14,FALSE)-VLOOKUP(C18,'Raw - Underemployment'!A:Q,2,FALSE))</f>
        <v>1800</v>
      </c>
    </row>
    <row r="19" spans="2:12" ht="19.5" customHeight="1">
      <c r="B19" s="307" t="s">
        <v>251</v>
      </c>
      <c r="C19" s="296" t="s">
        <v>45</v>
      </c>
      <c r="D19" s="297">
        <f>VLOOKUP($C19,'Raw - Underemployment'!$A:$Q,4,FALSE)</f>
        <v>8</v>
      </c>
      <c r="E19" s="297">
        <f>VLOOKUP($C19,'Raw - Underemployment'!$A:$Q,8,FALSE)</f>
        <v>7.4</v>
      </c>
      <c r="F19" s="297">
        <f>VLOOKUP($C19,'Raw - Underemployment'!$A:$Q,12,FALSE)</f>
        <v>7.1</v>
      </c>
      <c r="G19" s="297">
        <f>VLOOKUP($C19,'Raw - Underemployment'!$A:$Q,16,FALSE)</f>
        <v>8.1</v>
      </c>
      <c r="H19" s="318">
        <f>VLOOKUP(C19,'Raw - Underemployment'!A:Q,14,FALSE)</f>
        <v>210200</v>
      </c>
      <c r="I19" s="299">
        <f t="shared" si="1"/>
        <v>9.9999999999999645E-2</v>
      </c>
      <c r="J19" s="300">
        <f>SUM(VLOOKUP(C19,'Raw - Underemployment'!A:Q,14,FALSE)-VLOOKUP(C19,'Raw - Underemployment'!A:Q,2,FALSE))</f>
        <v>1600</v>
      </c>
    </row>
    <row r="20" spans="2:12" ht="19.5" customHeight="1">
      <c r="B20" s="307" t="s">
        <v>251</v>
      </c>
      <c r="C20" s="296" t="s">
        <v>46</v>
      </c>
      <c r="D20" s="297" t="s">
        <v>69</v>
      </c>
      <c r="E20" s="297" t="s">
        <v>69</v>
      </c>
      <c r="F20" s="297" t="s">
        <v>69</v>
      </c>
      <c r="G20" s="297" t="s">
        <v>69</v>
      </c>
      <c r="H20" s="297" t="s">
        <v>69</v>
      </c>
      <c r="I20" s="299"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wwpsTOoOlZp5235kERxY50CMYas4kAdG5wJ0w+7Apvc3eqd1EFAWQnegP4hDQoN1NH0YCGFGg4Ez3g+6UL3kFQ==" saltValue="4FHLfOQ47E0c9waXFp+tWQ==" spinCount="100000" sheet="1" objects="1" scenarios="1"/>
  <autoFilter ref="C6:L14" xr:uid="{00000000-0009-0000-0000-000017000000}"/>
  <mergeCells count="4">
    <mergeCell ref="K4:L4"/>
    <mergeCell ref="I5:J5"/>
    <mergeCell ref="K5:L5"/>
    <mergeCell ref="F2:G2"/>
  </mergeCells>
  <dataValidations count="1">
    <dataValidation type="list" allowBlank="1" showInputMessage="1" showErrorMessage="1" sqref="C17" xr:uid="{00000000-0002-0000-1700-000000000000}">
      <formula1>IF(B17="LGBF Family Group 1",LGBF_5,IF(B17="LGBF Family Group 3",LGBF_7,IF(B17="LGBF Family Group 4",LGBF_8,LGBF_6)))</formula1>
    </dataValidation>
  </dataValidations>
  <hyperlinks>
    <hyperlink ref="C3" r:id="rId1" xr:uid="{00000000-0004-0000-1700-000000000000}"/>
    <hyperlink ref="F2:G2" location="'Index RAG'!A1" display="Return to Index RAG" xr:uid="{00000000-0004-0000-17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1000000}">
          <x14:formula1>
            <xm:f>Lookups!$B$9:$B$12</xm:f>
          </x14:formula1>
          <xm:sqref>K5:L5</xm:sqref>
        </x14:dataValidation>
        <x14:dataValidation type="list" allowBlank="1" showInputMessage="1" showErrorMessage="1" xr:uid="{00000000-0002-0000-1700-000002000000}">
          <x14:formula1>
            <xm:f>Lookups!$L$8:$O$8</xm:f>
          </x14:formula1>
          <xm:sqref>B17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B2:L24"/>
  <sheetViews>
    <sheetView zoomScale="90" zoomScaleNormal="90" workbookViewId="0">
      <selection activeCell="B6" sqref="B6:J6"/>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174</v>
      </c>
      <c r="F2" s="595" t="s">
        <v>507</v>
      </c>
      <c r="G2" s="596"/>
    </row>
    <row r="3" spans="2:12" ht="13">
      <c r="B3" s="286" t="s">
        <v>49</v>
      </c>
      <c r="C3" s="288" t="s">
        <v>756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t="str">
        <f>VLOOKUP($C7,'Raw - SOC1'!$A:$Q,4,FALSE)</f>
        <v>-</v>
      </c>
      <c r="E7" s="297">
        <f>VLOOKUP($C7,'Raw - SOC1'!$A:$Q,8,FALSE)</f>
        <v>9.1999999999999993</v>
      </c>
      <c r="F7" s="297">
        <f>VLOOKUP($C7,'Raw - SOC1'!$A:$Q,12,FALSE)</f>
        <v>10.4</v>
      </c>
      <c r="G7" s="297">
        <f>VLOOKUP($C7,'Raw - SOC1'!$A:$Q,16,FALSE)</f>
        <v>8.9</v>
      </c>
      <c r="H7" s="318">
        <f>VLOOKUP(C7,'Raw - SOC1'!A:Q,14,FALSE)</f>
        <v>4300</v>
      </c>
      <c r="I7" s="299">
        <f>G7-E7</f>
        <v>-0.29999999999999893</v>
      </c>
      <c r="J7" s="300">
        <f>SUM($H7-VLOOKUP(C7,'Raw - SOC1'!$A:$Q,6,FALSE))</f>
        <v>-200</v>
      </c>
      <c r="K7" s="301">
        <f t="shared" ref="K7:K14" si="0">IF(IF($K$5="LGBF FAMILY GROUP",SUM(G$17-G7),IF($K$5="Glasgow City Region",SUM(G$18-G7),IF($K$5="Scotland",SUM(G$19-G7),IF($K$5="United Kingdom",SUM(G$20-G7),SUM(G$16-G7)))))&lt;0,"",IF($K$5="LGBF FAMILY GROUP",SUM(G$17-G7),IF($K$5="Glasgow City Region",SUM(G$18-G7),IF($K$5="Scotland",SUM(G$19-G7),IF($K$5="United Kingdom",SUM(G$20-G7),SUM(G$16-G7))))))</f>
        <v>3.9000000000000004</v>
      </c>
      <c r="L7" s="302">
        <f>IF(K7="","",IF($K$5="lgbf family group",SUM(MROUND(SUM(SUM(VLOOKUP(C$17,'Raw - SOC1'!A:Q,16,FALSE)*VLOOKUP(C7,'Raw - SOC1'!A:Q,15,FALSE))/100),100)-MROUND(SUM(SUM(VLOOKUP(C7,'Raw - SOC1'!A:Q,16,FALSE)*VLOOKUP(C7,'Raw - SOC1'!A:Q,15,FALSE))/100),100)),IF($K$5="Glasgow City Region",SUM(MROUND(SUM(SUM(VLOOKUP(C$18,'Raw - SOC1'!A:Q,16,FALSE)*VLOOKUP(C7,'Raw - SOC1'!A:Q,15,FALSE))/100),100)-MROUND(SUM(SUM(VLOOKUP(C7,'Raw - SOC1'!A:Q,16,FALSE)*VLOOKUP(C7,'Raw - SOC1'!A:Q,15,FALSE))/100),100)),IF($K$5="Scotland",SUM(MROUND(SUM(SUM(VLOOKUP(C$19,'Raw - SOC1'!A:Q,16,FALSE)*VLOOKUP(C7,'Raw - SOC1'!A:Q,15,FALSE))/100),100)-MROUND(SUM(SUM(VLOOKUP(C7,'Raw - SOC1'!A:Q,16,FALSE)*VLOOKUP(C7,'Raw - SOC1'!A:Q,15,FALSE))/100),100)),IF($K$5="United Kingdom",SUM(MROUND(SUM(SUM(VLOOKUP(C$20,'Raw - SOC1'!A:Q,16,FALSE)*VLOOKUP(C7,'Raw - SOC1'!A:Q,15,FALSE))/100),100)-MROUND(SUM(SUM(VLOOKUP(C7,'Raw - SOC1'!A:Q,16,FALSE)*VLOOKUP(C7,'Raw - SOC1'!A:Q,15,FALSE))/100),100)),SUM(MROUND(SUM(SUM(VLOOKUP(C$16,'Raw - SOC1'!A:Q,16,FALSE)*VLOOKUP(C7,'Raw - SOC1'!A:Q,15,FALSE))/100),100)-MROUND(SUM(SUM(VLOOKUP(C7,'Raw - SOC1'!A:Q,16,FALSE)*VLOOKUP(C7,'Raw - SOC1'!A:Q,15,FALSE))/100),100)))))))</f>
        <v>1800</v>
      </c>
    </row>
    <row r="8" spans="2:12" ht="19.5" customHeight="1">
      <c r="B8" s="296" t="s">
        <v>249</v>
      </c>
      <c r="C8" s="296" t="s">
        <v>24</v>
      </c>
      <c r="D8" s="297" t="str">
        <f>VLOOKUP($C8,'Raw - SOC1'!$A:$Q,4,FALSE)</f>
        <v>-</v>
      </c>
      <c r="E8" s="297">
        <f>VLOOKUP($C8,'Raw - SOC1'!$A:$Q,8,FALSE)</f>
        <v>14.9</v>
      </c>
      <c r="F8" s="297">
        <f>VLOOKUP($C8,'Raw - SOC1'!$A:$Q,12,FALSE)</f>
        <v>15.5</v>
      </c>
      <c r="G8" s="297">
        <f>VLOOKUP($C8,'Raw - SOC1'!$A:$Q,16,FALSE)</f>
        <v>12.8</v>
      </c>
      <c r="H8" s="318">
        <f>VLOOKUP(C8,'Raw - SOC1'!A:Q,14,FALSE)</f>
        <v>5600</v>
      </c>
      <c r="I8" s="299">
        <f t="shared" ref="I8:I20" si="1">G8-E8</f>
        <v>-2.0999999999999996</v>
      </c>
      <c r="J8" s="300">
        <f>SUM($H8-VLOOKUP(C8,'Raw - SOC1'!$A:$Q,6,FALSE))</f>
        <v>-400</v>
      </c>
      <c r="K8" s="301">
        <f t="shared" si="0"/>
        <v>0</v>
      </c>
      <c r="L8" s="302">
        <f>IF(K8="","",IF($K$5="lgbf family group",SUM(MROUND(SUM(SUM(VLOOKUP(C$17,'Raw - SOC1'!A:Q,16,FALSE)*VLOOKUP(C8,'Raw - SOC1'!A:Q,15,FALSE))/100),100)-MROUND(SUM(SUM(VLOOKUP(C8,'Raw - SOC1'!A:Q,16,FALSE)*VLOOKUP(C8,'Raw - SOC1'!A:Q,15,FALSE))/100),100)),IF($K$5="Glasgow City Region",SUM(MROUND(SUM(SUM(VLOOKUP(C$18,'Raw - SOC1'!A:Q,16,FALSE)*VLOOKUP(C8,'Raw - SOC1'!A:Q,15,FALSE))/100),100)-MROUND(SUM(SUM(VLOOKUP(C8,'Raw - SOC1'!A:Q,16,FALSE)*VLOOKUP(C8,'Raw - SOC1'!A:Q,15,FALSE))/100),100)),IF($K$5="Scotland",SUM(MROUND(SUM(SUM(VLOOKUP(C$19,'Raw - SOC1'!A:Q,16,FALSE)*VLOOKUP(C8,'Raw - SOC1'!A:Q,15,FALSE))/100),100)-MROUND(SUM(SUM(VLOOKUP(C8,'Raw - SOC1'!A:Q,16,FALSE)*VLOOKUP(C8,'Raw - SOC1'!A:Q,15,FALSE))/100),100)),IF($K$5="United Kingdom",SUM(MROUND(SUM(SUM(VLOOKUP(C$20,'Raw - SOC1'!A:Q,16,FALSE)*VLOOKUP(C8,'Raw - SOC1'!A:Q,15,FALSE))/100),100)-MROUND(SUM(SUM(VLOOKUP(C8,'Raw - SOC1'!A:Q,16,FALSE)*VLOOKUP(C8,'Raw - SOC1'!A:Q,15,FALSE))/100),100)),SUM(MROUND(SUM(SUM(VLOOKUP(C$16,'Raw - SOC1'!A:Q,16,FALSE)*VLOOKUP(C8,'Raw - SOC1'!A:Q,15,FALSE))/100),100)-MROUND(SUM(SUM(VLOOKUP(C8,'Raw - SOC1'!A:Q,16,FALSE)*VLOOKUP(C8,'Raw - SOC1'!A:Q,15,FALSE))/100),100)))))))</f>
        <v>0</v>
      </c>
    </row>
    <row r="9" spans="2:12" ht="19.5" customHeight="1">
      <c r="B9" s="296" t="s">
        <v>249</v>
      </c>
      <c r="C9" s="296" t="s">
        <v>27</v>
      </c>
      <c r="D9" s="297" t="str">
        <f>VLOOKUP($C9,'Raw - SOC1'!$A:$Q,4,FALSE)</f>
        <v>-</v>
      </c>
      <c r="E9" s="297">
        <f>VLOOKUP($C9,'Raw - SOC1'!$A:$Q,8,FALSE)</f>
        <v>8</v>
      </c>
      <c r="F9" s="297">
        <f>VLOOKUP($C9,'Raw - SOC1'!$A:$Q,12,FALSE)</f>
        <v>6.9</v>
      </c>
      <c r="G9" s="297">
        <f>VLOOKUP($C9,'Raw - SOC1'!$A:$Q,16,FALSE)</f>
        <v>3.4</v>
      </c>
      <c r="H9" s="318">
        <f>VLOOKUP(C9,'Raw - SOC1'!A:Q,14,FALSE)</f>
        <v>10500</v>
      </c>
      <c r="I9" s="299">
        <f t="shared" si="1"/>
        <v>-4.5999999999999996</v>
      </c>
      <c r="J9" s="300">
        <f>SUM($H9-VLOOKUP(C9,'Raw - SOC1'!$A:$Q,6,FALSE))</f>
        <v>-14500</v>
      </c>
      <c r="K9" s="301">
        <f t="shared" si="0"/>
        <v>9.4</v>
      </c>
      <c r="L9" s="302">
        <f>IF(K9="","",IF($K$5="lgbf family group",SUM(MROUND(SUM(SUM(VLOOKUP(C$17,'Raw - SOC1'!A:Q,16,FALSE)*VLOOKUP(C9,'Raw - SOC1'!A:Q,15,FALSE))/100),100)-MROUND(SUM(SUM(VLOOKUP(C9,'Raw - SOC1'!A:Q,16,FALSE)*VLOOKUP(C9,'Raw - SOC1'!A:Q,15,FALSE))/100),100)),IF($K$5="Glasgow City Region",SUM(MROUND(SUM(SUM(VLOOKUP(C$18,'Raw - SOC1'!A:Q,16,FALSE)*VLOOKUP(C9,'Raw - SOC1'!A:Q,15,FALSE))/100),100)-MROUND(SUM(SUM(VLOOKUP(C9,'Raw - SOC1'!A:Q,16,FALSE)*VLOOKUP(C9,'Raw - SOC1'!A:Q,15,FALSE))/100),100)),IF($K$5="Scotland",SUM(MROUND(SUM(SUM(VLOOKUP(C$19,'Raw - SOC1'!A:Q,16,FALSE)*VLOOKUP(C9,'Raw - SOC1'!A:Q,15,FALSE))/100),100)-MROUND(SUM(SUM(VLOOKUP(C9,'Raw - SOC1'!A:Q,16,FALSE)*VLOOKUP(C9,'Raw - SOC1'!A:Q,15,FALSE))/100),100)),IF($K$5="United Kingdom",SUM(MROUND(SUM(SUM(VLOOKUP(C$20,'Raw - SOC1'!A:Q,16,FALSE)*VLOOKUP(C9,'Raw - SOC1'!A:Q,15,FALSE))/100),100)-MROUND(SUM(SUM(VLOOKUP(C9,'Raw - SOC1'!A:Q,16,FALSE)*VLOOKUP(C9,'Raw - SOC1'!A:Q,15,FALSE))/100),100)),SUM(MROUND(SUM(SUM(VLOOKUP(C$16,'Raw - SOC1'!A:Q,16,FALSE)*VLOOKUP(C9,'Raw - SOC1'!A:Q,15,FALSE))/100),100)-MROUND(SUM(SUM(VLOOKUP(C9,'Raw - SOC1'!A:Q,16,FALSE)*VLOOKUP(C9,'Raw - SOC1'!A:Q,15,FALSE))/100),100)))))))</f>
        <v>29500</v>
      </c>
    </row>
    <row r="10" spans="2:12" ht="19.5" customHeight="1">
      <c r="B10" s="296" t="s">
        <v>249</v>
      </c>
      <c r="C10" s="296" t="s">
        <v>29</v>
      </c>
      <c r="D10" s="297" t="str">
        <f>VLOOKUP($C10,'Raw - SOC1'!$A:$Q,4,FALSE)</f>
        <v>-</v>
      </c>
      <c r="E10" s="297">
        <f>VLOOKUP($C10,'Raw - SOC1'!$A:$Q,8,FALSE)</f>
        <v>5.3</v>
      </c>
      <c r="F10" s="297">
        <f>VLOOKUP($C10,'Raw - SOC1'!$A:$Q,12,FALSE)</f>
        <v>6.1</v>
      </c>
      <c r="G10" s="297">
        <f>VLOOKUP($C10,'Raw - SOC1'!$A:$Q,16,FALSE)</f>
        <v>7</v>
      </c>
      <c r="H10" s="318">
        <f>VLOOKUP(C10,'Raw - SOC1'!A:Q,14,FALSE)</f>
        <v>2400</v>
      </c>
      <c r="I10" s="299">
        <f t="shared" si="1"/>
        <v>1.7000000000000002</v>
      </c>
      <c r="J10" s="300">
        <f>SUM($H10-VLOOKUP(C10,'Raw - SOC1'!$A:$Q,6,FALSE))</f>
        <v>400</v>
      </c>
      <c r="K10" s="301">
        <f t="shared" si="0"/>
        <v>5.8000000000000007</v>
      </c>
      <c r="L10" s="302">
        <f>IF(K10="","",IF($K$5="lgbf family group",SUM(MROUND(SUM(SUM(VLOOKUP(C$17,'Raw - SOC1'!A:Q,16,FALSE)*VLOOKUP(C10,'Raw - SOC1'!A:Q,15,FALSE))/100),100)-MROUND(SUM(SUM(VLOOKUP(C10,'Raw - SOC1'!A:Q,16,FALSE)*VLOOKUP(C10,'Raw - SOC1'!A:Q,15,FALSE))/100),100)),IF($K$5="Glasgow City Region",SUM(MROUND(SUM(SUM(VLOOKUP(C$18,'Raw - SOC1'!A:Q,16,FALSE)*VLOOKUP(C10,'Raw - SOC1'!A:Q,15,FALSE))/100),100)-MROUND(SUM(SUM(VLOOKUP(C10,'Raw - SOC1'!A:Q,16,FALSE)*VLOOKUP(C10,'Raw - SOC1'!A:Q,15,FALSE))/100),100)),IF($K$5="Scotland",SUM(MROUND(SUM(SUM(VLOOKUP(C$19,'Raw - SOC1'!A:Q,16,FALSE)*VLOOKUP(C10,'Raw - SOC1'!A:Q,15,FALSE))/100),100)-MROUND(SUM(SUM(VLOOKUP(C10,'Raw - SOC1'!A:Q,16,FALSE)*VLOOKUP(C10,'Raw - SOC1'!A:Q,15,FALSE))/100),100)),IF($K$5="United Kingdom",SUM(MROUND(SUM(SUM(VLOOKUP(C$20,'Raw - SOC1'!A:Q,16,FALSE)*VLOOKUP(C10,'Raw - SOC1'!A:Q,15,FALSE))/100),100)-MROUND(SUM(SUM(VLOOKUP(C10,'Raw - SOC1'!A:Q,16,FALSE)*VLOOKUP(C10,'Raw - SOC1'!A:Q,15,FALSE))/100),100)),SUM(MROUND(SUM(SUM(VLOOKUP(C$16,'Raw - SOC1'!A:Q,16,FALSE)*VLOOKUP(C10,'Raw - SOC1'!A:Q,15,FALSE))/100),100)-MROUND(SUM(SUM(VLOOKUP(C10,'Raw - SOC1'!A:Q,16,FALSE)*VLOOKUP(C10,'Raw - SOC1'!A:Q,15,FALSE))/100),100)))))))</f>
        <v>1900</v>
      </c>
    </row>
    <row r="11" spans="2:12" ht="19.5" customHeight="1">
      <c r="B11" s="296" t="s">
        <v>249</v>
      </c>
      <c r="C11" s="296" t="s">
        <v>34</v>
      </c>
      <c r="D11" s="297" t="str">
        <f>VLOOKUP($C11,'Raw - SOC1'!$A:$Q,4,FALSE)</f>
        <v>-</v>
      </c>
      <c r="E11" s="297">
        <f>VLOOKUP($C11,'Raw - SOC1'!$A:$Q,8,FALSE)</f>
        <v>5.6</v>
      </c>
      <c r="F11" s="297">
        <f>VLOOKUP($C11,'Raw - SOC1'!$A:$Q,12,FALSE)</f>
        <v>6.3</v>
      </c>
      <c r="G11" s="297">
        <f>VLOOKUP($C11,'Raw - SOC1'!$A:$Q,16,FALSE)</f>
        <v>7</v>
      </c>
      <c r="H11" s="318">
        <f>VLOOKUP(C11,'Raw - SOC1'!A:Q,14,FALSE)</f>
        <v>11300</v>
      </c>
      <c r="I11" s="299">
        <f t="shared" si="1"/>
        <v>1.4000000000000004</v>
      </c>
      <c r="J11" s="300">
        <f>SUM($H11-VLOOKUP(C11,'Raw - SOC1'!$A:$Q,6,FALSE))</f>
        <v>2700</v>
      </c>
      <c r="K11" s="301">
        <f t="shared" si="0"/>
        <v>5.8000000000000007</v>
      </c>
      <c r="L11" s="302">
        <f>IF(K11="","",IF($K$5="lgbf family group",SUM(MROUND(SUM(SUM(VLOOKUP(C$17,'Raw - SOC1'!A:Q,16,FALSE)*VLOOKUP(C11,'Raw - SOC1'!A:Q,15,FALSE))/100),100)-MROUND(SUM(SUM(VLOOKUP(C11,'Raw - SOC1'!A:Q,16,FALSE)*VLOOKUP(C11,'Raw - SOC1'!A:Q,15,FALSE))/100),100)),IF($K$5="Glasgow City Region",SUM(MROUND(SUM(SUM(VLOOKUP(C$18,'Raw - SOC1'!A:Q,16,FALSE)*VLOOKUP(C11,'Raw - SOC1'!A:Q,15,FALSE))/100),100)-MROUND(SUM(SUM(VLOOKUP(C11,'Raw - SOC1'!A:Q,16,FALSE)*VLOOKUP(C11,'Raw - SOC1'!A:Q,15,FALSE))/100),100)),IF($K$5="Scotland",SUM(MROUND(SUM(SUM(VLOOKUP(C$19,'Raw - SOC1'!A:Q,16,FALSE)*VLOOKUP(C11,'Raw - SOC1'!A:Q,15,FALSE))/100),100)-MROUND(SUM(SUM(VLOOKUP(C11,'Raw - SOC1'!A:Q,16,FALSE)*VLOOKUP(C11,'Raw - SOC1'!A:Q,15,FALSE))/100),100)),IF($K$5="United Kingdom",SUM(MROUND(SUM(SUM(VLOOKUP(C$20,'Raw - SOC1'!A:Q,16,FALSE)*VLOOKUP(C11,'Raw - SOC1'!A:Q,15,FALSE))/100),100)-MROUND(SUM(SUM(VLOOKUP(C11,'Raw - SOC1'!A:Q,16,FALSE)*VLOOKUP(C11,'Raw - SOC1'!A:Q,15,FALSE))/100),100)),SUM(MROUND(SUM(SUM(VLOOKUP(C$16,'Raw - SOC1'!A:Q,16,FALSE)*VLOOKUP(C11,'Raw - SOC1'!A:Q,15,FALSE))/100),100)-MROUND(SUM(SUM(VLOOKUP(C11,'Raw - SOC1'!A:Q,16,FALSE)*VLOOKUP(C11,'Raw - SOC1'!A:Q,15,FALSE))/100),100)))))))</f>
        <v>9300</v>
      </c>
    </row>
    <row r="12" spans="2:12" ht="19.5" customHeight="1">
      <c r="B12" s="296" t="s">
        <v>249</v>
      </c>
      <c r="C12" s="296" t="s">
        <v>37</v>
      </c>
      <c r="D12" s="297" t="str">
        <f>VLOOKUP($C12,'Raw - SOC1'!$A:$Q,4,FALSE)</f>
        <v>-</v>
      </c>
      <c r="E12" s="297">
        <f>VLOOKUP($C12,'Raw - SOC1'!$A:$Q,8,FALSE)</f>
        <v>10.8</v>
      </c>
      <c r="F12" s="297">
        <f>VLOOKUP($C12,'Raw - SOC1'!$A:$Q,12,FALSE)</f>
        <v>7.6</v>
      </c>
      <c r="G12" s="297">
        <f>VLOOKUP($C12,'Raw - SOC1'!$A:$Q,16,FALSE)</f>
        <v>6.6</v>
      </c>
      <c r="H12" s="318">
        <f>VLOOKUP(C12,'Raw - SOC1'!A:Q,14,FALSE)</f>
        <v>5900</v>
      </c>
      <c r="I12" s="299">
        <f t="shared" si="1"/>
        <v>-4.2000000000000011</v>
      </c>
      <c r="J12" s="300">
        <f>SUM($H12-VLOOKUP(C12,'Raw - SOC1'!$A:$Q,6,FALSE))</f>
        <v>-3400</v>
      </c>
      <c r="K12" s="301">
        <f t="shared" si="0"/>
        <v>6.2000000000000011</v>
      </c>
      <c r="L12" s="302">
        <f>IF(K12="","",IF($K$5="lgbf family group",SUM(MROUND(SUM(SUM(VLOOKUP(C$17,'Raw - SOC1'!A:Q,16,FALSE)*VLOOKUP(C12,'Raw - SOC1'!A:Q,15,FALSE))/100),100)-MROUND(SUM(SUM(VLOOKUP(C12,'Raw - SOC1'!A:Q,16,FALSE)*VLOOKUP(C12,'Raw - SOC1'!A:Q,15,FALSE))/100),100)),IF($K$5="Glasgow City Region",SUM(MROUND(SUM(SUM(VLOOKUP(C$18,'Raw - SOC1'!A:Q,16,FALSE)*VLOOKUP(C12,'Raw - SOC1'!A:Q,15,FALSE))/100),100)-MROUND(SUM(SUM(VLOOKUP(C12,'Raw - SOC1'!A:Q,16,FALSE)*VLOOKUP(C12,'Raw - SOC1'!A:Q,15,FALSE))/100),100)),IF($K$5="Scotland",SUM(MROUND(SUM(SUM(VLOOKUP(C$19,'Raw - SOC1'!A:Q,16,FALSE)*VLOOKUP(C12,'Raw - SOC1'!A:Q,15,FALSE))/100),100)-MROUND(SUM(SUM(VLOOKUP(C12,'Raw - SOC1'!A:Q,16,FALSE)*VLOOKUP(C12,'Raw - SOC1'!A:Q,15,FALSE))/100),100)),IF($K$5="United Kingdom",SUM(MROUND(SUM(SUM(VLOOKUP(C$20,'Raw - SOC1'!A:Q,16,FALSE)*VLOOKUP(C12,'Raw - SOC1'!A:Q,15,FALSE))/100),100)-MROUND(SUM(SUM(VLOOKUP(C12,'Raw - SOC1'!A:Q,16,FALSE)*VLOOKUP(C12,'Raw - SOC1'!A:Q,15,FALSE))/100),100)),SUM(MROUND(SUM(SUM(VLOOKUP(C$16,'Raw - SOC1'!A:Q,16,FALSE)*VLOOKUP(C12,'Raw - SOC1'!A:Q,15,FALSE))/100),100)-MROUND(SUM(SUM(VLOOKUP(C12,'Raw - SOC1'!A:Q,16,FALSE)*VLOOKUP(C12,'Raw - SOC1'!A:Q,15,FALSE))/100),100)))))))</f>
        <v>5500</v>
      </c>
    </row>
    <row r="13" spans="2:12" ht="19.5" customHeight="1">
      <c r="B13" s="296" t="s">
        <v>249</v>
      </c>
      <c r="C13" s="296" t="s">
        <v>41</v>
      </c>
      <c r="D13" s="297" t="str">
        <f>VLOOKUP($C13,'Raw - SOC1'!$A:$Q,4,FALSE)</f>
        <v>-</v>
      </c>
      <c r="E13" s="297">
        <f>VLOOKUP($C13,'Raw - SOC1'!$A:$Q,8,FALSE)</f>
        <v>7.7</v>
      </c>
      <c r="F13" s="297">
        <f>VLOOKUP($C13,'Raw - SOC1'!$A:$Q,12,FALSE)</f>
        <v>9.9</v>
      </c>
      <c r="G13" s="297">
        <f>VLOOKUP($C13,'Raw - SOC1'!$A:$Q,16,FALSE)</f>
        <v>8.1</v>
      </c>
      <c r="H13" s="318">
        <f>VLOOKUP(C13,'Raw - SOC1'!A:Q,14,FALSE)</f>
        <v>12600</v>
      </c>
      <c r="I13" s="299">
        <f t="shared" si="1"/>
        <v>0.39999999999999947</v>
      </c>
      <c r="J13" s="300">
        <f>SUM($H13-VLOOKUP(C13,'Raw - SOC1'!$A:$Q,6,FALSE))</f>
        <v>300</v>
      </c>
      <c r="K13" s="301">
        <f t="shared" si="0"/>
        <v>4.7000000000000011</v>
      </c>
      <c r="L13" s="302">
        <f>IF(K13="","",IF($K$5="lgbf family group",SUM(MROUND(SUM(SUM(VLOOKUP(C$17,'Raw - SOC1'!A:Q,16,FALSE)*VLOOKUP(C13,'Raw - SOC1'!A:Q,15,FALSE))/100),100)-MROUND(SUM(SUM(VLOOKUP(C13,'Raw - SOC1'!A:Q,16,FALSE)*VLOOKUP(C13,'Raw - SOC1'!A:Q,15,FALSE))/100),100)),IF($K$5="Glasgow City Region",SUM(MROUND(SUM(SUM(VLOOKUP(C$18,'Raw - SOC1'!A:Q,16,FALSE)*VLOOKUP(C13,'Raw - SOC1'!A:Q,15,FALSE))/100),100)-MROUND(SUM(SUM(VLOOKUP(C13,'Raw - SOC1'!A:Q,16,FALSE)*VLOOKUP(C13,'Raw - SOC1'!A:Q,15,FALSE))/100),100)),IF($K$5="Scotland",SUM(MROUND(SUM(SUM(VLOOKUP(C$19,'Raw - SOC1'!A:Q,16,FALSE)*VLOOKUP(C13,'Raw - SOC1'!A:Q,15,FALSE))/100),100)-MROUND(SUM(SUM(VLOOKUP(C13,'Raw - SOC1'!A:Q,16,FALSE)*VLOOKUP(C13,'Raw - SOC1'!A:Q,15,FALSE))/100),100)),IF($K$5="United Kingdom",SUM(MROUND(SUM(SUM(VLOOKUP(C$20,'Raw - SOC1'!A:Q,16,FALSE)*VLOOKUP(C13,'Raw - SOC1'!A:Q,15,FALSE))/100),100)-MROUND(SUM(SUM(VLOOKUP(C13,'Raw - SOC1'!A:Q,16,FALSE)*VLOOKUP(C13,'Raw - SOC1'!A:Q,15,FALSE))/100),100)),SUM(MROUND(SUM(SUM(VLOOKUP(C$16,'Raw - SOC1'!A:Q,16,FALSE)*VLOOKUP(C13,'Raw - SOC1'!A:Q,15,FALSE))/100),100)-MROUND(SUM(SUM(VLOOKUP(C13,'Raw - SOC1'!A:Q,16,FALSE)*VLOOKUP(C13,'Raw - SOC1'!A:Q,15,FALSE))/100),100)))))))</f>
        <v>7400</v>
      </c>
    </row>
    <row r="14" spans="2:12" ht="19.5" customHeight="1">
      <c r="B14" s="296" t="s">
        <v>249</v>
      </c>
      <c r="C14" s="296" t="s">
        <v>43</v>
      </c>
      <c r="D14" s="297" t="str">
        <f>VLOOKUP($C14,'Raw - SOC1'!$A:$Q,4,FALSE)</f>
        <v>-</v>
      </c>
      <c r="E14" s="297">
        <f>VLOOKUP($C14,'Raw - SOC1'!$A:$Q,8,FALSE)</f>
        <v>8.1</v>
      </c>
      <c r="F14" s="297">
        <f>VLOOKUP($C14,'Raw - SOC1'!$A:$Q,12,FALSE)</f>
        <v>8</v>
      </c>
      <c r="G14" s="297">
        <f>VLOOKUP($C14,'Raw - SOC1'!$A:$Q,16,FALSE)</f>
        <v>10.6</v>
      </c>
      <c r="H14" s="318">
        <f>VLOOKUP(C14,'Raw - SOC1'!A:Q,14,FALSE)</f>
        <v>4400</v>
      </c>
      <c r="I14" s="299">
        <f t="shared" si="1"/>
        <v>2.5</v>
      </c>
      <c r="J14" s="300">
        <f>SUM($H14-VLOOKUP(C14,'Raw - SOC1'!$A:$Q,6,FALSE))</f>
        <v>1100</v>
      </c>
      <c r="K14" s="301">
        <f t="shared" si="0"/>
        <v>2.2000000000000011</v>
      </c>
      <c r="L14" s="302">
        <f>IF(K14="","",IF($K$5="lgbf family group",SUM(MROUND(SUM(SUM(VLOOKUP(C$17,'Raw - SOC1'!A:Q,16,FALSE)*VLOOKUP(C14,'Raw - SOC1'!A:Q,15,FALSE))/100),100)-MROUND(SUM(SUM(VLOOKUP(C14,'Raw - SOC1'!A:Q,16,FALSE)*VLOOKUP(C14,'Raw - SOC1'!A:Q,15,FALSE))/100),100)),IF($K$5="Glasgow City Region",SUM(MROUND(SUM(SUM(VLOOKUP(C$18,'Raw - SOC1'!A:Q,16,FALSE)*VLOOKUP(C14,'Raw - SOC1'!A:Q,15,FALSE))/100),100)-MROUND(SUM(SUM(VLOOKUP(C14,'Raw - SOC1'!A:Q,16,FALSE)*VLOOKUP(C14,'Raw - SOC1'!A:Q,15,FALSE))/100),100)),IF($K$5="Scotland",SUM(MROUND(SUM(SUM(VLOOKUP(C$19,'Raw - SOC1'!A:Q,16,FALSE)*VLOOKUP(C14,'Raw - SOC1'!A:Q,15,FALSE))/100),100)-MROUND(SUM(SUM(VLOOKUP(C14,'Raw - SOC1'!A:Q,16,FALSE)*VLOOKUP(C14,'Raw - SOC1'!A:Q,15,FALSE))/100),100)),IF($K$5="United Kingdom",SUM(MROUND(SUM(SUM(VLOOKUP(C$20,'Raw - SOC1'!A:Q,16,FALSE)*VLOOKUP(C14,'Raw - SOC1'!A:Q,15,FALSE))/100),100)-MROUND(SUM(SUM(VLOOKUP(C14,'Raw - SOC1'!A:Q,16,FALSE)*VLOOKUP(C14,'Raw - SOC1'!A:Q,15,FALSE))/100),100)),SUM(MROUND(SUM(SUM(VLOOKUP(C$16,'Raw - SOC1'!A:Q,16,FALSE)*VLOOKUP(C14,'Raw - SOC1'!A:Q,15,FALSE))/100),100)-MROUND(SUM(SUM(VLOOKUP(C14,'Raw - SOC1'!A:Q,16,FALSE)*VLOOKUP(C14,'Raw - SOC1'!A:Q,15,FALSE))/100),100)))))))</f>
        <v>900</v>
      </c>
    </row>
    <row r="15" spans="2:12" ht="19.5" customHeight="1">
      <c r="B15" s="303"/>
      <c r="C15" s="303"/>
      <c r="D15" s="304"/>
      <c r="E15" s="304"/>
      <c r="F15" s="304"/>
      <c r="G15" s="304"/>
      <c r="H15" s="304"/>
      <c r="I15" s="306"/>
      <c r="J15" s="306"/>
      <c r="K15" s="306"/>
      <c r="L15" s="306"/>
    </row>
    <row r="16" spans="2:12" ht="19.5" customHeight="1">
      <c r="B16" s="307" t="s">
        <v>51</v>
      </c>
      <c r="C16" s="296" t="str">
        <f>INDEX('Raw - SOC1'!$A$9:$A$40,MATCH(MAX('Raw - SOC1'!P9:P40),'Raw - SOC1'!P9:P40,0))</f>
        <v>East Renfrewshire</v>
      </c>
      <c r="D16" s="297" t="str">
        <f>VLOOKUP($C16,'Raw - SOC1'!$A:$Q,4,FALSE)</f>
        <v>-</v>
      </c>
      <c r="E16" s="297">
        <f>VLOOKUP($C16,'Raw - SOC1'!$A:$Q,8,FALSE)</f>
        <v>14.9</v>
      </c>
      <c r="F16" s="297">
        <f>VLOOKUP($C16,'Raw - SOC1'!$A:$Q,12,FALSE)</f>
        <v>15.5</v>
      </c>
      <c r="G16" s="297">
        <f>MAX('Raw - SOC1'!P9:P40)</f>
        <v>12.8</v>
      </c>
      <c r="H16" s="318">
        <f>VLOOKUP(C16,'Raw - SOC1'!A:Q,14,FALSE)</f>
        <v>5600</v>
      </c>
      <c r="I16" s="299">
        <f t="shared" si="1"/>
        <v>-2.0999999999999996</v>
      </c>
      <c r="J16" s="300">
        <f>SUM($H16-VLOOKUP(C16,'Raw - SOC1'!$A:$Q,6,FALSE))</f>
        <v>-400</v>
      </c>
    </row>
    <row r="17" spans="2:12" ht="19.5" customHeight="1">
      <c r="B17" s="307" t="s">
        <v>541</v>
      </c>
      <c r="C17" s="308" t="s">
        <v>545</v>
      </c>
      <c r="D17" s="297" t="str">
        <f>VLOOKUP($C17,'Raw - SOC1'!$A:$Q,4,FALSE)</f>
        <v>-</v>
      </c>
      <c r="E17" s="297">
        <f>VLOOKUP($C17,'Raw - SOC1'!$A:$Q,8,FALSE)</f>
        <v>9.5264727815063388</v>
      </c>
      <c r="F17" s="297">
        <f>VLOOKUP($C17,'Raw - SOC1'!$A:$Q,12,FALSE)</f>
        <v>8.9698538931015364</v>
      </c>
      <c r="G17" s="297">
        <f>VLOOKUP($C17,'Raw - SOC1'!$A:$Q,16,FALSE)</f>
        <v>7.9933234421364991</v>
      </c>
      <c r="H17" s="318">
        <f>VLOOKUP(C17,'Raw - SOC1'!A:Q,14,FALSE)</f>
        <v>43100</v>
      </c>
      <c r="I17" s="299">
        <f t="shared" si="1"/>
        <v>-1.5331493393698397</v>
      </c>
      <c r="J17" s="300">
        <f>SUM($H17-VLOOKUP(C17,'Raw - SOC1'!$A:$Q,6,FALSE))</f>
        <v>-8000</v>
      </c>
    </row>
    <row r="18" spans="2:12" ht="19.5" customHeight="1">
      <c r="B18" s="307" t="s">
        <v>250</v>
      </c>
      <c r="C18" s="296" t="s">
        <v>47</v>
      </c>
      <c r="D18" s="297" t="str">
        <f>VLOOKUP($C18,'Raw - SOC1'!$A:$Q,4,FALSE)</f>
        <v>-</v>
      </c>
      <c r="E18" s="297">
        <f>VLOOKUP($C18,'Raw - SOC1'!$A:$Q,8,FALSE)</f>
        <v>8.1</v>
      </c>
      <c r="F18" s="297">
        <f>VLOOKUP($C18,'Raw - SOC1'!$A:$Q,12,FALSE)</f>
        <v>8.1</v>
      </c>
      <c r="G18" s="297">
        <f>VLOOKUP($C18,'Raw - SOC1'!$A:$Q,16,FALSE)</f>
        <v>6.4</v>
      </c>
      <c r="H18" s="318">
        <f>VLOOKUP(C18,'Raw - SOC1'!A:Q,14,FALSE)</f>
        <v>57000</v>
      </c>
      <c r="I18" s="299">
        <f t="shared" si="1"/>
        <v>-1.6999999999999993</v>
      </c>
      <c r="J18" s="300">
        <f>SUM($H18-VLOOKUP(C18,'Raw - SOC1'!$A:$Q,6,FALSE))</f>
        <v>-13900</v>
      </c>
    </row>
    <row r="19" spans="2:12" ht="19.5" customHeight="1">
      <c r="B19" s="307" t="s">
        <v>251</v>
      </c>
      <c r="C19" s="296" t="s">
        <v>45</v>
      </c>
      <c r="D19" s="297" t="str">
        <f>VLOOKUP($C19,'Raw - SOC1'!$A:$Q,4,FALSE)</f>
        <v>-</v>
      </c>
      <c r="E19" s="297">
        <f>VLOOKUP($C19,'Raw - SOC1'!$A:$Q,8,FALSE)</f>
        <v>8.9</v>
      </c>
      <c r="F19" s="297">
        <f>VLOOKUP($C19,'Raw - SOC1'!$A:$Q,12,FALSE)</f>
        <v>8.8000000000000007</v>
      </c>
      <c r="G19" s="297">
        <f>VLOOKUP($C19,'Raw - SOC1'!$A:$Q,16,FALSE)</f>
        <v>7.7</v>
      </c>
      <c r="H19" s="318">
        <f>VLOOKUP(C19,'Raw - SOC1'!A:Q,14,FALSE)</f>
        <v>204500</v>
      </c>
      <c r="I19" s="299">
        <f t="shared" si="1"/>
        <v>-1.2000000000000002</v>
      </c>
      <c r="J19" s="300">
        <f>SUM($H19-VLOOKUP(C19,'Raw - SOC1'!$A:$Q,6,FALSE))</f>
        <v>-26600</v>
      </c>
    </row>
    <row r="20" spans="2:12" ht="19.5" customHeight="1">
      <c r="B20" s="307" t="s">
        <v>251</v>
      </c>
      <c r="C20" s="296" t="s">
        <v>46</v>
      </c>
      <c r="D20" s="297" t="str">
        <f>VLOOKUP($C20,'Raw - SOC1'!$A:$Q,4,FALSE)</f>
        <v>-</v>
      </c>
      <c r="E20" s="297">
        <f>VLOOKUP($C20,'Raw - SOC1'!$A:$Q,8,FALSE)</f>
        <v>11.1</v>
      </c>
      <c r="F20" s="297">
        <f>VLOOKUP($C20,'Raw - SOC1'!$A:$Q,12,FALSE)</f>
        <v>10.9</v>
      </c>
      <c r="G20" s="297">
        <f>VLOOKUP($C20,'Raw - SOC1'!$A:$Q,16,FALSE)</f>
        <v>10.7</v>
      </c>
      <c r="H20" s="318">
        <f>VLOOKUP(C20,'Raw - SOC1'!A:Q,14,FALSE)</f>
        <v>3518900</v>
      </c>
      <c r="I20" s="299">
        <f t="shared" si="1"/>
        <v>-0.40000000000000036</v>
      </c>
      <c r="J20" s="300">
        <f>SUM($H20-VLOOKUP(C20,'Raw - SOC1'!$A:$Q,6,FALSE))</f>
        <v>-67800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SZ8WsVTCS2BtWGdo08L8xFC0sRgcFEctDp3krWcjYLfK+upROWM0qm1OEiFL+d63loc4GCqjZ/9ZE0DHKP+b5A==" saltValue="HzP+qVdfRhrDI4+cxpQdrA==" spinCount="100000" sheet="1" objects="1" scenarios="1"/>
  <autoFilter ref="C6:L14" xr:uid="{00000000-0009-0000-0000-000018000000}">
    <sortState xmlns:xlrd2="http://schemas.microsoft.com/office/spreadsheetml/2017/richdata2" ref="B7:I14">
      <sortCondition descending="1" ref="H6"/>
    </sortState>
  </autoFilter>
  <mergeCells count="4">
    <mergeCell ref="K4:L4"/>
    <mergeCell ref="I5:J5"/>
    <mergeCell ref="K5:L5"/>
    <mergeCell ref="F2:G2"/>
  </mergeCells>
  <dataValidations disablePrompts="1" count="1">
    <dataValidation type="list" allowBlank="1" showInputMessage="1" showErrorMessage="1" sqref="C17" xr:uid="{00000000-0002-0000-1800-000000000000}">
      <formula1>IF(B17="LGBF Family Group 1",LGBF_5,IF(B17="LGBF Family Group 3",LGBF_7,IF(B17="LGBF Family Group 4",LGBF_8,LGBF_6)))</formula1>
    </dataValidation>
  </dataValidations>
  <hyperlinks>
    <hyperlink ref="F2:G2" location="'Index RAG'!A1" display="Return to Index RAG" xr:uid="{00000000-0004-0000-1800-000001000000}"/>
    <hyperlink ref="C3" r:id="rId1" xr:uid="{F05F4A41-DA83-4045-A6CF-BF384854D4D5}"/>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800-000001000000}">
          <x14:formula1>
            <xm:f>Lookups!$L$8:$O$8</xm:f>
          </x14:formula1>
          <xm:sqref>B17</xm:sqref>
        </x14:dataValidation>
        <x14:dataValidation type="list" allowBlank="1" showInputMessage="1" showErrorMessage="1" xr:uid="{00000000-0002-0000-1800-000002000000}">
          <x14:formula1>
            <xm:f>Lookups!$B$3:$B$7</xm:f>
          </x14:formula1>
          <xm:sqref>K5:L5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D971D-2E10-47BC-AF25-240213844992}">
  <sheetPr>
    <pageSetUpPr autoPageBreaks="0" fitToPage="1"/>
  </sheetPr>
  <dimension ref="B2:G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4" width="14" style="251" customWidth="1" collapsed="1"/>
    <col min="5" max="7" width="14" style="251" customWidth="1"/>
    <col min="8" max="16384" width="9.1796875" style="251"/>
  </cols>
  <sheetData>
    <row r="2" spans="2:7" ht="13">
      <c r="B2" s="286" t="s">
        <v>48</v>
      </c>
      <c r="C2" s="372" t="s">
        <v>632</v>
      </c>
      <c r="E2" s="595" t="s">
        <v>507</v>
      </c>
      <c r="F2" s="596"/>
    </row>
    <row r="3" spans="2:7" ht="13">
      <c r="B3" s="286" t="s">
        <v>49</v>
      </c>
      <c r="C3" s="371" t="s">
        <v>631</v>
      </c>
    </row>
    <row r="4" spans="2:7" ht="13">
      <c r="B4" s="287"/>
      <c r="C4" s="289" t="s">
        <v>478</v>
      </c>
      <c r="F4" s="591" t="s">
        <v>52</v>
      </c>
      <c r="G4" s="591"/>
    </row>
    <row r="5" spans="2:7" ht="22" customHeight="1">
      <c r="C5" s="291"/>
      <c r="D5" s="292"/>
      <c r="E5" s="292"/>
      <c r="F5" s="594" t="s">
        <v>51</v>
      </c>
      <c r="G5" s="594"/>
    </row>
    <row r="6" spans="2:7" ht="26.15" customHeight="1">
      <c r="B6" s="293" t="s">
        <v>271</v>
      </c>
      <c r="C6" s="293" t="s">
        <v>5</v>
      </c>
      <c r="D6" s="294">
        <v>2021</v>
      </c>
      <c r="E6" s="294" t="s">
        <v>587</v>
      </c>
      <c r="F6" s="295" t="s">
        <v>56</v>
      </c>
      <c r="G6" s="295" t="s">
        <v>57</v>
      </c>
    </row>
    <row r="7" spans="2:7" ht="19.5" customHeight="1">
      <c r="B7" s="296" t="s">
        <v>249</v>
      </c>
      <c r="C7" s="296" t="s">
        <v>22</v>
      </c>
      <c r="D7" s="297">
        <f>VLOOKUP($C7,'Raw - Satisfactory hours'!$A:$Q,4,FALSE)</f>
        <v>87.1</v>
      </c>
      <c r="E7" s="318">
        <f>VLOOKUP(C7,'Raw - Satisfactory hours'!A:Q,2,FALSE)</f>
        <v>22646</v>
      </c>
      <c r="F7" s="301">
        <f t="shared" ref="F7:F14" si="0">IF(IF($F$5="LGBF FAMILY GROUP",SUM(D$17-D7),IF($F$5="Glasgow City Region",SUM(D$18-D7),IF($F$5="Scotland",SUM(D$19-D7),IF($F$5="United Kingdom",SUM(D$20-D7),SUM(D$16-D7)))))&lt;0,"",IF($F$5="LGBF FAMILY GROUP",SUM(D$17-D7),IF($F$5="Glasgow City Region",SUM(D$18-D7),IF($F$5="Scotland",SUM(D$19-D7),IF($F$5="United Kingdom",SUM(D$20-D7),SUM(D$16-D7))))))</f>
        <v>5.6000000000000085</v>
      </c>
      <c r="G7" s="302">
        <f>IF(F7="","",IF($F$5="lgbf family group",SUM(MROUND(SUM(SUM(VLOOKUP(C$17,'Raw - Satisfactory hours'!A:Q,4,FALSE)*VLOOKUP(C7,'Raw - Satisfactory hours'!A:Q,3,FALSE))/100),100)-MROUND(SUM(SUM(VLOOKUP(C7,'Raw - Satisfactory hours'!A:Q,4,FALSE)*VLOOKUP(C7,'Raw - Satisfactory hours'!A:Q,3,FALSE))/100),100)),IF($F$5="Glasgow City Region",SUM(MROUND(SUM(SUM(VLOOKUP(C$18,'Raw - Satisfactory hours'!A:Q,4,FALSE)*VLOOKUP(C7,'Raw - Satisfactory hours'!A:Q,3,FALSE))/100),100)-MROUND(SUM(SUM(VLOOKUP(C7,'Raw - Satisfactory hours'!A:Q,4,FALSE)*VLOOKUP(C7,'Raw - Satisfactory hours'!A:Q,3,FALSE))/100),100)),IF($F$5="Scotland",SUM(MROUND(SUM(SUM(VLOOKUP(C$19,'Raw - Satisfactory hours'!A:Q,4,FALSE)*VLOOKUP(C7,'Raw - Satisfactory hours'!A:Q,3,FALSE))/100),100)-MROUND(SUM(SUM(VLOOKUP(C7,'Raw - Satisfactory hours'!A:Q,4,FALSE)*VLOOKUP(C7,'Raw - Satisfactory hours'!A:Q,3,FALSE))/100),100)),IF($F$5="United Kingdom",SUM(MROUND(SUM(SUM(VLOOKUP(C$20,'Raw - Satisfactory hours'!A:Q,4,FALSE)*VLOOKUP(C7,'Raw - Satisfactory hours'!A:Q,3,FALSE))/100),100)-MROUND(SUM(SUM(VLOOKUP(C7,'Raw - Satisfactory hours'!A:Q,4,FALSE)*VLOOKUP(C7,'Raw - Satisfactory hours'!A:Q,3,FALSE))/100),100)),SUM(MROUND(SUM(SUM(VLOOKUP(C$16,'Raw - Satisfactory hours'!A:Q,4,FALSE)*VLOOKUP(C7,'Raw - Satisfactory hours'!A:Q,3,FALSE))/100),100)-MROUND(SUM(SUM(VLOOKUP(C7,'Raw - Satisfactory hours'!A:Q,4,FALSE)*VLOOKUP(C7,'Raw - Satisfactory hours'!A:Q,3,FALSE))/100),100)))))))</f>
        <v>1500</v>
      </c>
    </row>
    <row r="8" spans="2:7" ht="19.5" customHeight="1">
      <c r="B8" s="296" t="s">
        <v>249</v>
      </c>
      <c r="C8" s="296" t="s">
        <v>24</v>
      </c>
      <c r="D8" s="297">
        <f>VLOOKUP($C8,'Raw - Satisfactory hours'!$A:$Q,4,FALSE)</f>
        <v>84.1</v>
      </c>
      <c r="E8" s="318">
        <f>VLOOKUP(C8,'Raw - Satisfactory hours'!A:Q,2,FALSE)</f>
        <v>18502</v>
      </c>
      <c r="F8" s="301">
        <f t="shared" si="0"/>
        <v>8.6000000000000085</v>
      </c>
      <c r="G8" s="302">
        <f>IF(F8="","",IF($F$5="lgbf family group",SUM(MROUND(SUM(SUM(VLOOKUP(C$17,'Raw - Satisfactory hours'!A:Q,4,FALSE)*VLOOKUP(C8,'Raw - Satisfactory hours'!A:Q,3,FALSE))/100),100)-MROUND(SUM(SUM(VLOOKUP(C8,'Raw - Satisfactory hours'!A:Q,4,FALSE)*VLOOKUP(C8,'Raw - Satisfactory hours'!A:Q,3,FALSE))/100),100)),IF($F$5="Glasgow City Region",SUM(MROUND(SUM(SUM(VLOOKUP(C$18,'Raw - Satisfactory hours'!A:Q,4,FALSE)*VLOOKUP(C8,'Raw - Satisfactory hours'!A:Q,3,FALSE))/100),100)-MROUND(SUM(SUM(VLOOKUP(C8,'Raw - Satisfactory hours'!A:Q,4,FALSE)*VLOOKUP(C8,'Raw - Satisfactory hours'!A:Q,3,FALSE))/100),100)),IF($F$5="Scotland",SUM(MROUND(SUM(SUM(VLOOKUP(C$19,'Raw - Satisfactory hours'!A:Q,4,FALSE)*VLOOKUP(C8,'Raw - Satisfactory hours'!A:Q,3,FALSE))/100),100)-MROUND(SUM(SUM(VLOOKUP(C8,'Raw - Satisfactory hours'!A:Q,4,FALSE)*VLOOKUP(C8,'Raw - Satisfactory hours'!A:Q,3,FALSE))/100),100)),IF($F$5="United Kingdom",SUM(MROUND(SUM(SUM(VLOOKUP(C$20,'Raw - Satisfactory hours'!A:Q,4,FALSE)*VLOOKUP(C8,'Raw - Satisfactory hours'!A:Q,3,FALSE))/100),100)-MROUND(SUM(SUM(VLOOKUP(C8,'Raw - Satisfactory hours'!A:Q,4,FALSE)*VLOOKUP(C8,'Raw - Satisfactory hours'!A:Q,3,FALSE))/100),100)),SUM(MROUND(SUM(SUM(VLOOKUP(C$16,'Raw - Satisfactory hours'!A:Q,4,FALSE)*VLOOKUP(C8,'Raw - Satisfactory hours'!A:Q,3,FALSE))/100),100)-MROUND(SUM(SUM(VLOOKUP(C8,'Raw - Satisfactory hours'!A:Q,4,FALSE)*VLOOKUP(C8,'Raw - Satisfactory hours'!A:Q,3,FALSE))/100),100)))))))</f>
        <v>1900</v>
      </c>
    </row>
    <row r="9" spans="2:7" ht="19.5" customHeight="1">
      <c r="B9" s="296" t="s">
        <v>249</v>
      </c>
      <c r="C9" s="296" t="s">
        <v>27</v>
      </c>
      <c r="D9" s="297">
        <f>VLOOKUP($C9,'Raw - Satisfactory hours'!$A:$Q,4,FALSE)</f>
        <v>81.5</v>
      </c>
      <c r="E9" s="318">
        <f>VLOOKUP(C9,'Raw - Satisfactory hours'!A:Q,2,FALSE)</f>
        <v>344745</v>
      </c>
      <c r="F9" s="301">
        <f t="shared" si="0"/>
        <v>11.200000000000003</v>
      </c>
      <c r="G9" s="302">
        <f>IF(F9="","",IF($F$5="lgbf family group",SUM(MROUND(SUM(SUM(VLOOKUP(C$17,'Raw - Satisfactory hours'!A:Q,4,FALSE)*VLOOKUP(C9,'Raw - Satisfactory hours'!A:Q,3,FALSE))/100),100)-MROUND(SUM(SUM(VLOOKUP(C9,'Raw - Satisfactory hours'!A:Q,4,FALSE)*VLOOKUP(C9,'Raw - Satisfactory hours'!A:Q,3,FALSE))/100),100)),IF($F$5="Glasgow City Region",SUM(MROUND(SUM(SUM(VLOOKUP(C$18,'Raw - Satisfactory hours'!A:Q,4,FALSE)*VLOOKUP(C9,'Raw - Satisfactory hours'!A:Q,3,FALSE))/100),100)-MROUND(SUM(SUM(VLOOKUP(C9,'Raw - Satisfactory hours'!A:Q,4,FALSE)*VLOOKUP(C9,'Raw - Satisfactory hours'!A:Q,3,FALSE))/100),100)),IF($F$5="Scotland",SUM(MROUND(SUM(SUM(VLOOKUP(C$19,'Raw - Satisfactory hours'!A:Q,4,FALSE)*VLOOKUP(C9,'Raw - Satisfactory hours'!A:Q,3,FALSE))/100),100)-MROUND(SUM(SUM(VLOOKUP(C9,'Raw - Satisfactory hours'!A:Q,4,FALSE)*VLOOKUP(C9,'Raw - Satisfactory hours'!A:Q,3,FALSE))/100),100)),IF($F$5="United Kingdom",SUM(MROUND(SUM(SUM(VLOOKUP(C$20,'Raw - Satisfactory hours'!A:Q,4,FALSE)*VLOOKUP(C9,'Raw - Satisfactory hours'!A:Q,3,FALSE))/100),100)-MROUND(SUM(SUM(VLOOKUP(C9,'Raw - Satisfactory hours'!A:Q,4,FALSE)*VLOOKUP(C9,'Raw - Satisfactory hours'!A:Q,3,FALSE))/100),100)),SUM(MROUND(SUM(SUM(VLOOKUP(C$16,'Raw - Satisfactory hours'!A:Q,4,FALSE)*VLOOKUP(C9,'Raw - Satisfactory hours'!A:Q,3,FALSE))/100),100)-MROUND(SUM(SUM(VLOOKUP(C9,'Raw - Satisfactory hours'!A:Q,4,FALSE)*VLOOKUP(C9,'Raw - Satisfactory hours'!A:Q,3,FALSE))/100),100)))))))</f>
        <v>47400</v>
      </c>
    </row>
    <row r="10" spans="2:7" ht="19.5" customHeight="1">
      <c r="B10" s="296" t="s">
        <v>249</v>
      </c>
      <c r="C10" s="296" t="s">
        <v>29</v>
      </c>
      <c r="D10" s="297">
        <f>VLOOKUP($C10,'Raw - Satisfactory hours'!$A:$Q,4,FALSE)</f>
        <v>85.6</v>
      </c>
      <c r="E10" s="318">
        <f>VLOOKUP(C10,'Raw - Satisfactory hours'!A:Q,2,FALSE)</f>
        <v>22256</v>
      </c>
      <c r="F10" s="301">
        <f t="shared" si="0"/>
        <v>7.1000000000000085</v>
      </c>
      <c r="G10" s="302">
        <f>IF(F10="","",IF($F$5="lgbf family group",SUM(MROUND(SUM(SUM(VLOOKUP(C$17,'Raw - Satisfactory hours'!A:Q,4,FALSE)*VLOOKUP(C10,'Raw - Satisfactory hours'!A:Q,3,FALSE))/100),100)-MROUND(SUM(SUM(VLOOKUP(C10,'Raw - Satisfactory hours'!A:Q,4,FALSE)*VLOOKUP(C10,'Raw - Satisfactory hours'!A:Q,3,FALSE))/100),100)),IF($F$5="Glasgow City Region",SUM(MROUND(SUM(SUM(VLOOKUP(C$18,'Raw - Satisfactory hours'!A:Q,4,FALSE)*VLOOKUP(C10,'Raw - Satisfactory hours'!A:Q,3,FALSE))/100),100)-MROUND(SUM(SUM(VLOOKUP(C10,'Raw - Satisfactory hours'!A:Q,4,FALSE)*VLOOKUP(C10,'Raw - Satisfactory hours'!A:Q,3,FALSE))/100),100)),IF($F$5="Scotland",SUM(MROUND(SUM(SUM(VLOOKUP(C$19,'Raw - Satisfactory hours'!A:Q,4,FALSE)*VLOOKUP(C10,'Raw - Satisfactory hours'!A:Q,3,FALSE))/100),100)-MROUND(SUM(SUM(VLOOKUP(C10,'Raw - Satisfactory hours'!A:Q,4,FALSE)*VLOOKUP(C10,'Raw - Satisfactory hours'!A:Q,3,FALSE))/100),100)),IF($F$5="United Kingdom",SUM(MROUND(SUM(SUM(VLOOKUP(C$20,'Raw - Satisfactory hours'!A:Q,4,FALSE)*VLOOKUP(C10,'Raw - Satisfactory hours'!A:Q,3,FALSE))/100),100)-MROUND(SUM(SUM(VLOOKUP(C10,'Raw - Satisfactory hours'!A:Q,4,FALSE)*VLOOKUP(C10,'Raw - Satisfactory hours'!A:Q,3,FALSE))/100),100)),SUM(MROUND(SUM(SUM(VLOOKUP(C$16,'Raw - Satisfactory hours'!A:Q,4,FALSE)*VLOOKUP(C10,'Raw - Satisfactory hours'!A:Q,3,FALSE))/100),100)-MROUND(SUM(SUM(VLOOKUP(C10,'Raw - Satisfactory hours'!A:Q,4,FALSE)*VLOOKUP(C10,'Raw - Satisfactory hours'!A:Q,3,FALSE))/100),100)))))))</f>
        <v>1800</v>
      </c>
    </row>
    <row r="11" spans="2:7" ht="19.5" customHeight="1">
      <c r="B11" s="296" t="s">
        <v>249</v>
      </c>
      <c r="C11" s="296" t="s">
        <v>34</v>
      </c>
      <c r="D11" s="297">
        <f>VLOOKUP($C11,'Raw - Satisfactory hours'!$A:$Q,4,FALSE)</f>
        <v>87.2</v>
      </c>
      <c r="E11" s="318">
        <f>VLOOKUP(C11,'Raw - Satisfactory hours'!A:Q,2,FALSE)</f>
        <v>116848</v>
      </c>
      <c r="F11" s="301">
        <f t="shared" si="0"/>
        <v>5.5</v>
      </c>
      <c r="G11" s="302">
        <f>IF(F11="","",IF($F$5="lgbf family group",SUM(MROUND(SUM(SUM(VLOOKUP(C$17,'Raw - Satisfactory hours'!A:Q,4,FALSE)*VLOOKUP(C11,'Raw - Satisfactory hours'!A:Q,3,FALSE))/100),100)-MROUND(SUM(SUM(VLOOKUP(C11,'Raw - Satisfactory hours'!A:Q,4,FALSE)*VLOOKUP(C11,'Raw - Satisfactory hours'!A:Q,3,FALSE))/100),100)),IF($F$5="Glasgow City Region",SUM(MROUND(SUM(SUM(VLOOKUP(C$18,'Raw - Satisfactory hours'!A:Q,4,FALSE)*VLOOKUP(C11,'Raw - Satisfactory hours'!A:Q,3,FALSE))/100),100)-MROUND(SUM(SUM(VLOOKUP(C11,'Raw - Satisfactory hours'!A:Q,4,FALSE)*VLOOKUP(C11,'Raw - Satisfactory hours'!A:Q,3,FALSE))/100),100)),IF($F$5="Scotland",SUM(MROUND(SUM(SUM(VLOOKUP(C$19,'Raw - Satisfactory hours'!A:Q,4,FALSE)*VLOOKUP(C11,'Raw - Satisfactory hours'!A:Q,3,FALSE))/100),100)-MROUND(SUM(SUM(VLOOKUP(C11,'Raw - Satisfactory hours'!A:Q,4,FALSE)*VLOOKUP(C11,'Raw - Satisfactory hours'!A:Q,3,FALSE))/100),100)),IF($F$5="United Kingdom",SUM(MROUND(SUM(SUM(VLOOKUP(C$20,'Raw - Satisfactory hours'!A:Q,4,FALSE)*VLOOKUP(C11,'Raw - Satisfactory hours'!A:Q,3,FALSE))/100),100)-MROUND(SUM(SUM(VLOOKUP(C11,'Raw - Satisfactory hours'!A:Q,4,FALSE)*VLOOKUP(C11,'Raw - Satisfactory hours'!A:Q,3,FALSE))/100),100)),SUM(MROUND(SUM(SUM(VLOOKUP(C$16,'Raw - Satisfactory hours'!A:Q,4,FALSE)*VLOOKUP(C11,'Raw - Satisfactory hours'!A:Q,3,FALSE))/100),100)-MROUND(SUM(SUM(VLOOKUP(C11,'Raw - Satisfactory hours'!A:Q,4,FALSE)*VLOOKUP(C11,'Raw - Satisfactory hours'!A:Q,3,FALSE))/100),100)))))))</f>
        <v>7400</v>
      </c>
    </row>
    <row r="12" spans="2:7" ht="19.5" customHeight="1">
      <c r="B12" s="296" t="s">
        <v>249</v>
      </c>
      <c r="C12" s="296" t="s">
        <v>37</v>
      </c>
      <c r="D12" s="297">
        <f>VLOOKUP($C12,'Raw - Satisfactory hours'!$A:$Q,4,FALSE)</f>
        <v>83.6</v>
      </c>
      <c r="E12" s="318">
        <f>VLOOKUP(C12,'Raw - Satisfactory hours'!A:Q,2,FALSE)</f>
        <v>69388</v>
      </c>
      <c r="F12" s="301">
        <f t="shared" si="0"/>
        <v>9.1000000000000085</v>
      </c>
      <c r="G12" s="302">
        <f>IF(F12="","",IF($F$5="lgbf family group",SUM(MROUND(SUM(SUM(VLOOKUP(C$17,'Raw - Satisfactory hours'!A:Q,4,FALSE)*VLOOKUP(C12,'Raw - Satisfactory hours'!A:Q,3,FALSE))/100),100)-MROUND(SUM(SUM(VLOOKUP(C12,'Raw - Satisfactory hours'!A:Q,4,FALSE)*VLOOKUP(C12,'Raw - Satisfactory hours'!A:Q,3,FALSE))/100),100)),IF($F$5="Glasgow City Region",SUM(MROUND(SUM(SUM(VLOOKUP(C$18,'Raw - Satisfactory hours'!A:Q,4,FALSE)*VLOOKUP(C12,'Raw - Satisfactory hours'!A:Q,3,FALSE))/100),100)-MROUND(SUM(SUM(VLOOKUP(C12,'Raw - Satisfactory hours'!A:Q,4,FALSE)*VLOOKUP(C12,'Raw - Satisfactory hours'!A:Q,3,FALSE))/100),100)),IF($F$5="Scotland",SUM(MROUND(SUM(SUM(VLOOKUP(C$19,'Raw - Satisfactory hours'!A:Q,4,FALSE)*VLOOKUP(C12,'Raw - Satisfactory hours'!A:Q,3,FALSE))/100),100)-MROUND(SUM(SUM(VLOOKUP(C12,'Raw - Satisfactory hours'!A:Q,4,FALSE)*VLOOKUP(C12,'Raw - Satisfactory hours'!A:Q,3,FALSE))/100),100)),IF($F$5="United Kingdom",SUM(MROUND(SUM(SUM(VLOOKUP(C$20,'Raw - Satisfactory hours'!A:Q,4,FALSE)*VLOOKUP(C12,'Raw - Satisfactory hours'!A:Q,3,FALSE))/100),100)-MROUND(SUM(SUM(VLOOKUP(C12,'Raw - Satisfactory hours'!A:Q,4,FALSE)*VLOOKUP(C12,'Raw - Satisfactory hours'!A:Q,3,FALSE))/100),100)),SUM(MROUND(SUM(SUM(VLOOKUP(C$16,'Raw - Satisfactory hours'!A:Q,4,FALSE)*VLOOKUP(C12,'Raw - Satisfactory hours'!A:Q,3,FALSE))/100),100)-MROUND(SUM(SUM(VLOOKUP(C12,'Raw - Satisfactory hours'!A:Q,4,FALSE)*VLOOKUP(C12,'Raw - Satisfactory hours'!A:Q,3,FALSE))/100),100)))))))</f>
        <v>7500</v>
      </c>
    </row>
    <row r="13" spans="2:7" ht="19.5" customHeight="1">
      <c r="B13" s="296" t="s">
        <v>249</v>
      </c>
      <c r="C13" s="296" t="s">
        <v>41</v>
      </c>
      <c r="D13" s="297">
        <f>VLOOKUP($C13,'Raw - Satisfactory hours'!$A:$Q,4,FALSE)</f>
        <v>86.6</v>
      </c>
      <c r="E13" s="318">
        <f>VLOOKUP(C13,'Raw - Satisfactory hours'!A:Q,2,FALSE)</f>
        <v>103054</v>
      </c>
      <c r="F13" s="301">
        <f t="shared" si="0"/>
        <v>6.1000000000000085</v>
      </c>
      <c r="G13" s="302">
        <f>IF(F13="","",IF($F$5="lgbf family group",SUM(MROUND(SUM(SUM(VLOOKUP(C$17,'Raw - Satisfactory hours'!A:Q,4,FALSE)*VLOOKUP(C13,'Raw - Satisfactory hours'!A:Q,3,FALSE))/100),100)-MROUND(SUM(SUM(VLOOKUP(C13,'Raw - Satisfactory hours'!A:Q,4,FALSE)*VLOOKUP(C13,'Raw - Satisfactory hours'!A:Q,3,FALSE))/100),100)),IF($F$5="Glasgow City Region",SUM(MROUND(SUM(SUM(VLOOKUP(C$18,'Raw - Satisfactory hours'!A:Q,4,FALSE)*VLOOKUP(C13,'Raw - Satisfactory hours'!A:Q,3,FALSE))/100),100)-MROUND(SUM(SUM(VLOOKUP(C13,'Raw - Satisfactory hours'!A:Q,4,FALSE)*VLOOKUP(C13,'Raw - Satisfactory hours'!A:Q,3,FALSE))/100),100)),IF($F$5="Scotland",SUM(MROUND(SUM(SUM(VLOOKUP(C$19,'Raw - Satisfactory hours'!A:Q,4,FALSE)*VLOOKUP(C13,'Raw - Satisfactory hours'!A:Q,3,FALSE))/100),100)-MROUND(SUM(SUM(VLOOKUP(C13,'Raw - Satisfactory hours'!A:Q,4,FALSE)*VLOOKUP(C13,'Raw - Satisfactory hours'!A:Q,3,FALSE))/100),100)),IF($F$5="United Kingdom",SUM(MROUND(SUM(SUM(VLOOKUP(C$20,'Raw - Satisfactory hours'!A:Q,4,FALSE)*VLOOKUP(C13,'Raw - Satisfactory hours'!A:Q,3,FALSE))/100),100)-MROUND(SUM(SUM(VLOOKUP(C13,'Raw - Satisfactory hours'!A:Q,4,FALSE)*VLOOKUP(C13,'Raw - Satisfactory hours'!A:Q,3,FALSE))/100),100)),SUM(MROUND(SUM(SUM(VLOOKUP(C$16,'Raw - Satisfactory hours'!A:Q,4,FALSE)*VLOOKUP(C13,'Raw - Satisfactory hours'!A:Q,3,FALSE))/100),100)-MROUND(SUM(SUM(VLOOKUP(C13,'Raw - Satisfactory hours'!A:Q,4,FALSE)*VLOOKUP(C13,'Raw - Satisfactory hours'!A:Q,3,FALSE))/100),100)))))))</f>
        <v>7200</v>
      </c>
    </row>
    <row r="14" spans="2:7" ht="19.5" customHeight="1">
      <c r="B14" s="296" t="s">
        <v>249</v>
      </c>
      <c r="C14" s="296" t="s">
        <v>43</v>
      </c>
      <c r="D14" s="297">
        <f>VLOOKUP($C14,'Raw - Satisfactory hours'!$A:$Q,4,FALSE)</f>
        <v>84.7</v>
      </c>
      <c r="E14" s="318">
        <f>VLOOKUP(C14,'Raw - Satisfactory hours'!A:Q,2,FALSE)</f>
        <v>27951</v>
      </c>
      <c r="F14" s="301">
        <f t="shared" si="0"/>
        <v>8</v>
      </c>
      <c r="G14" s="302">
        <f>IF(F14="","",IF($F$5="lgbf family group",SUM(MROUND(SUM(SUM(VLOOKUP(C$17,'Raw - Satisfactory hours'!A:Q,4,FALSE)*VLOOKUP(C14,'Raw - Satisfactory hours'!A:Q,3,FALSE))/100),100)-MROUND(SUM(SUM(VLOOKUP(C14,'Raw - Satisfactory hours'!A:Q,4,FALSE)*VLOOKUP(C14,'Raw - Satisfactory hours'!A:Q,3,FALSE))/100),100)),IF($F$5="Glasgow City Region",SUM(MROUND(SUM(SUM(VLOOKUP(C$18,'Raw - Satisfactory hours'!A:Q,4,FALSE)*VLOOKUP(C14,'Raw - Satisfactory hours'!A:Q,3,FALSE))/100),100)-MROUND(SUM(SUM(VLOOKUP(C14,'Raw - Satisfactory hours'!A:Q,4,FALSE)*VLOOKUP(C14,'Raw - Satisfactory hours'!A:Q,3,FALSE))/100),100)),IF($F$5="Scotland",SUM(MROUND(SUM(SUM(VLOOKUP(C$19,'Raw - Satisfactory hours'!A:Q,4,FALSE)*VLOOKUP(C14,'Raw - Satisfactory hours'!A:Q,3,FALSE))/100),100)-MROUND(SUM(SUM(VLOOKUP(C14,'Raw - Satisfactory hours'!A:Q,4,FALSE)*VLOOKUP(C14,'Raw - Satisfactory hours'!A:Q,3,FALSE))/100),100)),IF($F$5="United Kingdom",SUM(MROUND(SUM(SUM(VLOOKUP(C$20,'Raw - Satisfactory hours'!A:Q,4,FALSE)*VLOOKUP(C14,'Raw - Satisfactory hours'!A:Q,3,FALSE))/100),100)-MROUND(SUM(SUM(VLOOKUP(C14,'Raw - Satisfactory hours'!A:Q,4,FALSE)*VLOOKUP(C14,'Raw - Satisfactory hours'!A:Q,3,FALSE))/100),100)),SUM(MROUND(SUM(SUM(VLOOKUP(C$16,'Raw - Satisfactory hours'!A:Q,4,FALSE)*VLOOKUP(C14,'Raw - Satisfactory hours'!A:Q,3,FALSE))/100),100)-MROUND(SUM(SUM(VLOOKUP(C14,'Raw - Satisfactory hours'!A:Q,4,FALSE)*VLOOKUP(C14,'Raw - Satisfactory hours'!A:Q,3,FALSE))/100),100)))))))</f>
        <v>2600</v>
      </c>
    </row>
    <row r="15" spans="2:7" ht="19.5" customHeight="1">
      <c r="B15" s="303"/>
      <c r="C15" s="303"/>
      <c r="D15" s="304"/>
      <c r="E15" s="304"/>
      <c r="F15" s="306"/>
      <c r="G15" s="306"/>
    </row>
    <row r="16" spans="2:7" ht="19.5" customHeight="1">
      <c r="B16" s="307" t="s">
        <v>51</v>
      </c>
      <c r="C16" s="296" t="str">
        <f>INDEX('Raw - Satisfactory hours'!$A$9:$A$41,MATCH(MAX('Raw - Satisfactory hours'!D9:D41),'Raw - Satisfactory hours'!D9:D41,0))</f>
        <v>West Lothian</v>
      </c>
      <c r="D16" s="297">
        <f>VLOOKUP($C16,'Raw - Satisfactory hours'!$A:$Q,4,FALSE)</f>
        <v>92.7</v>
      </c>
      <c r="E16" s="318">
        <f>VLOOKUP(C16,'Raw - Satisfactory hours'!A:Q,2,FALSE)</f>
        <v>71379</v>
      </c>
    </row>
    <row r="17" spans="2:7" ht="19.5" customHeight="1">
      <c r="B17" s="307" t="s">
        <v>541</v>
      </c>
      <c r="C17" s="308" t="s">
        <v>545</v>
      </c>
      <c r="D17" s="297">
        <f>VLOOKUP($C17,'Raw - Satisfactory hours'!$A:$Q,4,FALSE)</f>
        <v>86.060340632603399</v>
      </c>
      <c r="E17" s="318" t="s">
        <v>69</v>
      </c>
    </row>
    <row r="18" spans="2:7" ht="19.5" customHeight="1">
      <c r="B18" s="307" t="s">
        <v>250</v>
      </c>
      <c r="C18" s="296" t="s">
        <v>47</v>
      </c>
      <c r="D18" s="297">
        <f>VLOOKUP($C18,'Raw - Satisfactory hours'!$A:$Q,4,FALSE)</f>
        <v>83.763279445727477</v>
      </c>
      <c r="E18" s="318">
        <f>VLOOKUP(C18,'Raw - Satisfactory hours'!A:Q,2,FALSE)</f>
        <v>725390</v>
      </c>
    </row>
    <row r="19" spans="2:7" ht="19.5" customHeight="1">
      <c r="B19" s="307" t="s">
        <v>251</v>
      </c>
      <c r="C19" s="296" t="s">
        <v>45</v>
      </c>
      <c r="D19" s="297">
        <f>VLOOKUP($C19,'Raw - Satisfactory hours'!$A:$Q,4,FALSE)</f>
        <v>84.146330645161299</v>
      </c>
      <c r="E19" s="318">
        <f>VLOOKUP(C19,'Raw - Satisfactory hours'!A:Q,2,FALSE)</f>
        <v>2086829</v>
      </c>
    </row>
    <row r="20" spans="2:7" ht="19.5" customHeight="1">
      <c r="B20" s="307" t="s">
        <v>251</v>
      </c>
      <c r="C20" s="296" t="s">
        <v>46</v>
      </c>
      <c r="D20" s="297" t="s">
        <v>69</v>
      </c>
      <c r="E20" s="318" t="s">
        <v>69</v>
      </c>
    </row>
    <row r="21" spans="2:7" ht="19.5" customHeight="1">
      <c r="C21" s="309"/>
      <c r="D21" s="310"/>
      <c r="E21" s="310"/>
      <c r="F21" s="310"/>
      <c r="G21" s="310"/>
    </row>
    <row r="22" spans="2:7">
      <c r="C22" s="312" t="str">
        <f>CONCATENATE(D22,E22)</f>
        <v>Volume Change Required to match Geographic Area - Top Performing Scottish Local Authority</v>
      </c>
      <c r="D22" s="312" t="s">
        <v>519</v>
      </c>
      <c r="E22" s="312" t="str">
        <f>F5</f>
        <v>Top Performing Scottish Local Authority</v>
      </c>
    </row>
    <row r="23" spans="2:7">
      <c r="B23" s="313" t="s">
        <v>467</v>
      </c>
    </row>
    <row r="24" spans="2:7">
      <c r="F24" s="314"/>
      <c r="G24" s="311"/>
    </row>
  </sheetData>
  <sheetProtection algorithmName="SHA-512" hashValue="D6zfUNF7kcyxrzEJu5xYDJJJxOv7JLo8AcnfjDp1gGPVI2nWVNn/RUy7lDVRykjUjz2caAaLUwKjq7jEtcqmwA==" saltValue="meWqchB3gj3aVozTBrJdWQ==" spinCount="100000" sheet="1" objects="1" scenarios="1"/>
  <autoFilter ref="C6:G14" xr:uid="{00000000-0009-0000-0000-000018000000}">
    <sortState xmlns:xlrd2="http://schemas.microsoft.com/office/spreadsheetml/2017/richdata2" ref="B7:E14">
      <sortCondition descending="1" ref="E6"/>
    </sortState>
  </autoFilter>
  <mergeCells count="3">
    <mergeCell ref="E2:F2"/>
    <mergeCell ref="F4:G4"/>
    <mergeCell ref="F5:G5"/>
  </mergeCells>
  <dataValidations disablePrompts="1" count="1">
    <dataValidation type="list" allowBlank="1" showInputMessage="1" showErrorMessage="1" sqref="C17" xr:uid="{7C0AE376-4059-4093-B123-652944E2FCE4}">
      <formula1>IF(B17="LGBF Family Group 1",LGBF_5,IF(B17="LGBF Family Group 3",LGBF_7,IF(B17="LGBF Family Group 4",LGBF_8,LGBF_6)))</formula1>
    </dataValidation>
  </dataValidations>
  <hyperlinks>
    <hyperlink ref="F2" location="'Index RAG'!A1" display="Return to Index RAG" xr:uid="{7D1CE463-0CDD-450E-AA49-6D8DEA80A990}"/>
    <hyperlink ref="C3" r:id="rId1" display="UK Government" xr:uid="{32933EA5-4320-405A-826F-4926D5ED7B2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C1A5CE53-5572-4DDF-9C0C-8FBF6BF8F498}">
          <x14:formula1>
            <xm:f>Lookups!$B$3:$B$7</xm:f>
          </x14:formula1>
          <xm:sqref>F5:G5</xm:sqref>
        </x14:dataValidation>
        <x14:dataValidation type="list" allowBlank="1" showInputMessage="1" showErrorMessage="1" xr:uid="{8BEC7EC0-64D5-4212-B940-2B55920D80A5}">
          <x14:formula1>
            <xm:f>Lookups!$L$8:$O$8</xm:f>
          </x14:formula1>
          <xm:sqref>B17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DE92-8C5A-4D5D-984C-FE2832DE07BF}">
  <sheetPr>
    <pageSetUpPr autoPageBreaks="0" fitToPage="1"/>
  </sheetPr>
  <dimension ref="B2:G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4" width="14" style="251" customWidth="1" collapsed="1"/>
    <col min="5" max="7" width="14" style="251" customWidth="1"/>
    <col min="8" max="16384" width="9.1796875" style="251"/>
  </cols>
  <sheetData>
    <row r="2" spans="2:7" ht="13">
      <c r="B2" s="286" t="s">
        <v>48</v>
      </c>
      <c r="C2" s="372" t="s">
        <v>704</v>
      </c>
      <c r="E2" s="595" t="s">
        <v>507</v>
      </c>
      <c r="F2" s="596"/>
    </row>
    <row r="3" spans="2:7" ht="13">
      <c r="B3" s="286" t="s">
        <v>49</v>
      </c>
      <c r="C3" s="371" t="s">
        <v>631</v>
      </c>
    </row>
    <row r="4" spans="2:7" ht="13">
      <c r="B4" s="287"/>
      <c r="C4" s="289" t="s">
        <v>478</v>
      </c>
      <c r="F4" s="591" t="s">
        <v>52</v>
      </c>
      <c r="G4" s="591"/>
    </row>
    <row r="5" spans="2:7" ht="22" customHeight="1">
      <c r="C5" s="291"/>
      <c r="D5" s="292"/>
      <c r="E5" s="292"/>
      <c r="F5" s="594" t="s">
        <v>51</v>
      </c>
      <c r="G5" s="594"/>
    </row>
    <row r="6" spans="2:7" ht="26.15" customHeight="1">
      <c r="B6" s="293" t="s">
        <v>271</v>
      </c>
      <c r="C6" s="293" t="s">
        <v>5</v>
      </c>
      <c r="D6" s="294">
        <v>2021</v>
      </c>
      <c r="E6" s="294" t="s">
        <v>587</v>
      </c>
      <c r="F6" s="295" t="s">
        <v>56</v>
      </c>
      <c r="G6" s="295" t="s">
        <v>57</v>
      </c>
    </row>
    <row r="7" spans="2:7" ht="19.5" customHeight="1">
      <c r="B7" s="296" t="s">
        <v>249</v>
      </c>
      <c r="C7" s="296" t="s">
        <v>22</v>
      </c>
      <c r="D7" s="297">
        <f>VLOOKUP($C7,'Raw - Low pay'!$A:$Q,4,FALSE)</f>
        <v>9.1999999999999993</v>
      </c>
      <c r="E7" s="318">
        <f>VLOOKUP(C7,'Raw - Low pay'!A:Q,2,FALSE)</f>
        <v>2392</v>
      </c>
      <c r="F7" s="301">
        <f>IF(IF($F$5="LGBF FAMILY GROUP",SUM(D$17-D7),IF($F$5="Glasgow City Region",SUM(D$18-D7),IF($F$5="Scotland",SUM(D$19-D7),IF($F$5="United Kingdom",SUM(D$20-D7),SUM(D$16-D7)))))&gt;0,"",IF($F$5="LGBF FAMILY GROUP",SUM(D$17-D7),IF($F$5="Glasgow City Region",SUM(D$18-D7),IF($F$5="Scotland",SUM(D$19-D7),IF($F$5="United Kingdom",SUM(D$20-D7),SUM(D$16-D7))))))</f>
        <v>-2.8999999999999995</v>
      </c>
      <c r="G7" s="302">
        <f>IF(F7="","",IF($F$5="lgbf family group",SUM(MROUND(SUM(SUM(VLOOKUP(C$17,'Raw - Low pay'!A:Q,4,FALSE)*VLOOKUP(C7,'Raw - Low pay'!A:Q,3,FALSE))/100),100)-MROUND(SUM(SUM(VLOOKUP(C7,'Raw - Low pay'!A:Q,4,FALSE)*VLOOKUP(C7,'Raw - Low pay'!A:Q,3,FALSE))/100),100)),IF($F$5="Glasgow City Region",SUM(MROUND(SUM(SUM(VLOOKUP(C$18,'Raw - Low pay'!A:Q,4,FALSE)*VLOOKUP(C7,'Raw - Low pay'!A:Q,3,FALSE))/100),100)-MROUND(SUM(SUM(VLOOKUP(C7,'Raw - Low pay'!A:Q,4,FALSE)*VLOOKUP(C7,'Raw - Low pay'!A:Q,3,FALSE))/100),100)),IF($F$5="Scotland",SUM(MROUND(SUM(SUM(VLOOKUP(C$19,'Raw - Low pay'!A:Q,4,FALSE)*VLOOKUP(C7,'Raw - Low pay'!A:Q,3,FALSE))/100),100)-MROUND(SUM(SUM(VLOOKUP(C7,'Raw - Low pay'!A:Q,4,FALSE)*VLOOKUP(C7,'Raw - Low pay'!A:Q,3,FALSE))/100),100)),IF($F$5="United Kingdom",SUM(MROUND(SUM(SUM(VLOOKUP(C$20,'Raw - Low pay'!A:Q,4,FALSE)*VLOOKUP(C7,'Raw - Low pay'!A:Q,3,FALSE))/100),100)-MROUND(SUM(SUM(VLOOKUP(C7,'Raw - Low pay'!A:Q,4,FALSE)*VLOOKUP(C7,'Raw - Low pay'!A:Q,3,FALSE))/100),100)),SUM(MROUND(SUM(SUM(VLOOKUP(C$16,'Raw - Low pay'!A:Q,4,FALSE)*VLOOKUP(C7,'Raw - Low pay'!A:Q,3,FALSE))/100),100)-MROUND(SUM(SUM(VLOOKUP(C7,'Raw - Low pay'!A:Q,4,FALSE)*VLOOKUP(C7,'Raw - Low pay'!A:Q,3,FALSE))/100),100)))))))</f>
        <v>-800</v>
      </c>
    </row>
    <row r="8" spans="2:7" ht="19.5" customHeight="1">
      <c r="B8" s="296" t="s">
        <v>249</v>
      </c>
      <c r="C8" s="296" t="s">
        <v>24</v>
      </c>
      <c r="D8" s="297">
        <f>VLOOKUP($C8,'Raw - Low pay'!$A:$Q,4,FALSE)</f>
        <v>6.3</v>
      </c>
      <c r="E8" s="318">
        <f>VLOOKUP(C8,'Raw - Low pay'!A:Q,2,FALSE)</f>
        <v>1386</v>
      </c>
      <c r="F8" s="301">
        <f t="shared" ref="F8:F14" si="0">IF(IF($F$5="LGBF FAMILY GROUP",SUM(D$17-D8),IF($F$5="Glasgow City Region",SUM(D$18-D8),IF($F$5="Scotland",SUM(D$19-D8),IF($F$5="United Kingdom",SUM(D$20-D8),SUM(D$16-D8)))))&gt;0,"",IF($F$5="LGBF FAMILY GROUP",SUM(D$17-D8),IF($F$5="Glasgow City Region",SUM(D$18-D8),IF($F$5="Scotland",SUM(D$19-D8),IF($F$5="United Kingdom",SUM(D$20-D8),SUM(D$16-D8))))))</f>
        <v>0</v>
      </c>
      <c r="G8" s="302">
        <f>IF(F8="","",IF($F$5="lgbf family group",SUM(MROUND(SUM(SUM(VLOOKUP(C$17,'Raw - Low pay'!A:Q,4,FALSE)*VLOOKUP(C8,'Raw - Low pay'!A:Q,3,FALSE))/100),100)-MROUND(SUM(SUM(VLOOKUP(C8,'Raw - Low pay'!A:Q,4,FALSE)*VLOOKUP(C8,'Raw - Low pay'!A:Q,3,FALSE))/100),100)),IF($F$5="Glasgow City Region",SUM(MROUND(SUM(SUM(VLOOKUP(C$18,'Raw - Low pay'!A:Q,4,FALSE)*VLOOKUP(C8,'Raw - Low pay'!A:Q,3,FALSE))/100),100)-MROUND(SUM(SUM(VLOOKUP(C8,'Raw - Low pay'!A:Q,4,FALSE)*VLOOKUP(C8,'Raw - Low pay'!A:Q,3,FALSE))/100),100)),IF($F$5="Scotland",SUM(MROUND(SUM(SUM(VLOOKUP(C$19,'Raw - Low pay'!A:Q,4,FALSE)*VLOOKUP(C8,'Raw - Low pay'!A:Q,3,FALSE))/100),100)-MROUND(SUM(SUM(VLOOKUP(C8,'Raw - Low pay'!A:Q,4,FALSE)*VLOOKUP(C8,'Raw - Low pay'!A:Q,3,FALSE))/100),100)),IF($F$5="United Kingdom",SUM(MROUND(SUM(SUM(VLOOKUP(C$20,'Raw - Low pay'!A:Q,4,FALSE)*VLOOKUP(C8,'Raw - Low pay'!A:Q,3,FALSE))/100),100)-MROUND(SUM(SUM(VLOOKUP(C8,'Raw - Low pay'!A:Q,4,FALSE)*VLOOKUP(C8,'Raw - Low pay'!A:Q,3,FALSE))/100),100)),SUM(MROUND(SUM(SUM(VLOOKUP(C$16,'Raw - Low pay'!A:Q,4,FALSE)*VLOOKUP(C8,'Raw - Low pay'!A:Q,3,FALSE))/100),100)-MROUND(SUM(SUM(VLOOKUP(C8,'Raw - Low pay'!A:Q,4,FALSE)*VLOOKUP(C8,'Raw - Low pay'!A:Q,3,FALSE))/100),100)))))))</f>
        <v>0</v>
      </c>
    </row>
    <row r="9" spans="2:7" ht="19.5" customHeight="1">
      <c r="B9" s="296" t="s">
        <v>249</v>
      </c>
      <c r="C9" s="296" t="s">
        <v>27</v>
      </c>
      <c r="D9" s="297">
        <f>VLOOKUP($C9,'Raw - Low pay'!$A:$Q,4,FALSE)</f>
        <v>7.4</v>
      </c>
      <c r="E9" s="318">
        <f>VLOOKUP(C9,'Raw - Low pay'!A:Q,2,FALSE)</f>
        <v>31302.000000000004</v>
      </c>
      <c r="F9" s="301">
        <f t="shared" si="0"/>
        <v>-1.1000000000000005</v>
      </c>
      <c r="G9" s="302">
        <f>IF(F9="","",IF($F$5="lgbf family group",SUM(MROUND(SUM(SUM(VLOOKUP(C$17,'Raw - Low pay'!A:Q,4,FALSE)*VLOOKUP(C9,'Raw - Low pay'!A:Q,3,FALSE))/100),100)-MROUND(SUM(SUM(VLOOKUP(C9,'Raw - Low pay'!A:Q,4,FALSE)*VLOOKUP(C9,'Raw - Low pay'!A:Q,3,FALSE))/100),100)),IF($F$5="Glasgow City Region",SUM(MROUND(SUM(SUM(VLOOKUP(C$18,'Raw - Low pay'!A:Q,4,FALSE)*VLOOKUP(C9,'Raw - Low pay'!A:Q,3,FALSE))/100),100)-MROUND(SUM(SUM(VLOOKUP(C9,'Raw - Low pay'!A:Q,4,FALSE)*VLOOKUP(C9,'Raw - Low pay'!A:Q,3,FALSE))/100),100)),IF($F$5="Scotland",SUM(MROUND(SUM(SUM(VLOOKUP(C$19,'Raw - Low pay'!A:Q,4,FALSE)*VLOOKUP(C9,'Raw - Low pay'!A:Q,3,FALSE))/100),100)-MROUND(SUM(SUM(VLOOKUP(C9,'Raw - Low pay'!A:Q,4,FALSE)*VLOOKUP(C9,'Raw - Low pay'!A:Q,3,FALSE))/100),100)),IF($F$5="United Kingdom",SUM(MROUND(SUM(SUM(VLOOKUP(C$20,'Raw - Low pay'!A:Q,4,FALSE)*VLOOKUP(C9,'Raw - Low pay'!A:Q,3,FALSE))/100),100)-MROUND(SUM(SUM(VLOOKUP(C9,'Raw - Low pay'!A:Q,4,FALSE)*VLOOKUP(C9,'Raw - Low pay'!A:Q,3,FALSE))/100),100)),SUM(MROUND(SUM(SUM(VLOOKUP(C$16,'Raw - Low pay'!A:Q,4,FALSE)*VLOOKUP(C9,'Raw - Low pay'!A:Q,3,FALSE))/100),100)-MROUND(SUM(SUM(VLOOKUP(C9,'Raw - Low pay'!A:Q,4,FALSE)*VLOOKUP(C9,'Raw - Low pay'!A:Q,3,FALSE))/100),100)))))))</f>
        <v>-4700</v>
      </c>
    </row>
    <row r="10" spans="2:7" ht="19.5" customHeight="1">
      <c r="B10" s="296" t="s">
        <v>249</v>
      </c>
      <c r="C10" s="296" t="s">
        <v>29</v>
      </c>
      <c r="D10" s="297">
        <f>VLOOKUP($C10,'Raw - Low pay'!$A:$Q,4,FALSE)</f>
        <v>13.5</v>
      </c>
      <c r="E10" s="318">
        <f>VLOOKUP(C10,'Raw - Low pay'!A:Q,2,FALSE)</f>
        <v>3510.0000000000005</v>
      </c>
      <c r="F10" s="301">
        <f t="shared" si="0"/>
        <v>-7.2</v>
      </c>
      <c r="G10" s="302">
        <f>IF(F10="","",IF($F$5="lgbf family group",SUM(MROUND(SUM(SUM(VLOOKUP(C$17,'Raw - Low pay'!A:Q,4,FALSE)*VLOOKUP(C10,'Raw - Low pay'!A:Q,3,FALSE))/100),100)-MROUND(SUM(SUM(VLOOKUP(C10,'Raw - Low pay'!A:Q,4,FALSE)*VLOOKUP(C10,'Raw - Low pay'!A:Q,3,FALSE))/100),100)),IF($F$5="Glasgow City Region",SUM(MROUND(SUM(SUM(VLOOKUP(C$18,'Raw - Low pay'!A:Q,4,FALSE)*VLOOKUP(C10,'Raw - Low pay'!A:Q,3,FALSE))/100),100)-MROUND(SUM(SUM(VLOOKUP(C10,'Raw - Low pay'!A:Q,4,FALSE)*VLOOKUP(C10,'Raw - Low pay'!A:Q,3,FALSE))/100),100)),IF($F$5="Scotland",SUM(MROUND(SUM(SUM(VLOOKUP(C$19,'Raw - Low pay'!A:Q,4,FALSE)*VLOOKUP(C10,'Raw - Low pay'!A:Q,3,FALSE))/100),100)-MROUND(SUM(SUM(VLOOKUP(C10,'Raw - Low pay'!A:Q,4,FALSE)*VLOOKUP(C10,'Raw - Low pay'!A:Q,3,FALSE))/100),100)),IF($F$5="United Kingdom",SUM(MROUND(SUM(SUM(VLOOKUP(C$20,'Raw - Low pay'!A:Q,4,FALSE)*VLOOKUP(C10,'Raw - Low pay'!A:Q,3,FALSE))/100),100)-MROUND(SUM(SUM(VLOOKUP(C10,'Raw - Low pay'!A:Q,4,FALSE)*VLOOKUP(C10,'Raw - Low pay'!A:Q,3,FALSE))/100),100)),SUM(MROUND(SUM(SUM(VLOOKUP(C$16,'Raw - Low pay'!A:Q,4,FALSE)*VLOOKUP(C10,'Raw - Low pay'!A:Q,3,FALSE))/100),100)-MROUND(SUM(SUM(VLOOKUP(C10,'Raw - Low pay'!A:Q,4,FALSE)*VLOOKUP(C10,'Raw - Low pay'!A:Q,3,FALSE))/100),100)))))))</f>
        <v>-1900</v>
      </c>
    </row>
    <row r="11" spans="2:7" ht="19.5" customHeight="1">
      <c r="B11" s="296" t="s">
        <v>249</v>
      </c>
      <c r="C11" s="296" t="s">
        <v>34</v>
      </c>
      <c r="D11" s="297">
        <f>VLOOKUP($C11,'Raw - Low pay'!$A:$Q,4,FALSE)</f>
        <v>12.2</v>
      </c>
      <c r="E11" s="318">
        <f>VLOOKUP(C11,'Raw - Low pay'!A:Q,2,FALSE)</f>
        <v>16348</v>
      </c>
      <c r="F11" s="301">
        <f t="shared" si="0"/>
        <v>-5.8999999999999995</v>
      </c>
      <c r="G11" s="302">
        <f>IF(F11="","",IF($F$5="lgbf family group",SUM(MROUND(SUM(SUM(VLOOKUP(C$17,'Raw - Low pay'!A:Q,4,FALSE)*VLOOKUP(C11,'Raw - Low pay'!A:Q,3,FALSE))/100),100)-MROUND(SUM(SUM(VLOOKUP(C11,'Raw - Low pay'!A:Q,4,FALSE)*VLOOKUP(C11,'Raw - Low pay'!A:Q,3,FALSE))/100),100)),IF($F$5="Glasgow City Region",SUM(MROUND(SUM(SUM(VLOOKUP(C$18,'Raw - Low pay'!A:Q,4,FALSE)*VLOOKUP(C11,'Raw - Low pay'!A:Q,3,FALSE))/100),100)-MROUND(SUM(SUM(VLOOKUP(C11,'Raw - Low pay'!A:Q,4,FALSE)*VLOOKUP(C11,'Raw - Low pay'!A:Q,3,FALSE))/100),100)),IF($F$5="Scotland",SUM(MROUND(SUM(SUM(VLOOKUP(C$19,'Raw - Low pay'!A:Q,4,FALSE)*VLOOKUP(C11,'Raw - Low pay'!A:Q,3,FALSE))/100),100)-MROUND(SUM(SUM(VLOOKUP(C11,'Raw - Low pay'!A:Q,4,FALSE)*VLOOKUP(C11,'Raw - Low pay'!A:Q,3,FALSE))/100),100)),IF($F$5="United Kingdom",SUM(MROUND(SUM(SUM(VLOOKUP(C$20,'Raw - Low pay'!A:Q,4,FALSE)*VLOOKUP(C11,'Raw - Low pay'!A:Q,3,FALSE))/100),100)-MROUND(SUM(SUM(VLOOKUP(C11,'Raw - Low pay'!A:Q,4,FALSE)*VLOOKUP(C11,'Raw - Low pay'!A:Q,3,FALSE))/100),100)),SUM(MROUND(SUM(SUM(VLOOKUP(C$16,'Raw - Low pay'!A:Q,4,FALSE)*VLOOKUP(C11,'Raw - Low pay'!A:Q,3,FALSE))/100),100)-MROUND(SUM(SUM(VLOOKUP(C11,'Raw - Low pay'!A:Q,4,FALSE)*VLOOKUP(C11,'Raw - Low pay'!A:Q,3,FALSE))/100),100)))))))</f>
        <v>-7900</v>
      </c>
    </row>
    <row r="12" spans="2:7" ht="19.5" customHeight="1">
      <c r="B12" s="296" t="s">
        <v>249</v>
      </c>
      <c r="C12" s="296" t="s">
        <v>37</v>
      </c>
      <c r="D12" s="297">
        <f>VLOOKUP($C12,'Raw - Low pay'!$A:$Q,4,FALSE)</f>
        <v>9.8000000000000007</v>
      </c>
      <c r="E12" s="318">
        <f>VLOOKUP(C12,'Raw - Low pay'!A:Q,2,FALSE)</f>
        <v>8134</v>
      </c>
      <c r="F12" s="301">
        <f t="shared" si="0"/>
        <v>-3.5000000000000009</v>
      </c>
      <c r="G12" s="302">
        <f>IF(F12="","",IF($F$5="lgbf family group",SUM(MROUND(SUM(SUM(VLOOKUP(C$17,'Raw - Low pay'!A:Q,4,FALSE)*VLOOKUP(C12,'Raw - Low pay'!A:Q,3,FALSE))/100),100)-MROUND(SUM(SUM(VLOOKUP(C12,'Raw - Low pay'!A:Q,4,FALSE)*VLOOKUP(C12,'Raw - Low pay'!A:Q,3,FALSE))/100),100)),IF($F$5="Glasgow City Region",SUM(MROUND(SUM(SUM(VLOOKUP(C$18,'Raw - Low pay'!A:Q,4,FALSE)*VLOOKUP(C12,'Raw - Low pay'!A:Q,3,FALSE))/100),100)-MROUND(SUM(SUM(VLOOKUP(C12,'Raw - Low pay'!A:Q,4,FALSE)*VLOOKUP(C12,'Raw - Low pay'!A:Q,3,FALSE))/100),100)),IF($F$5="Scotland",SUM(MROUND(SUM(SUM(VLOOKUP(C$19,'Raw - Low pay'!A:Q,4,FALSE)*VLOOKUP(C12,'Raw - Low pay'!A:Q,3,FALSE))/100),100)-MROUND(SUM(SUM(VLOOKUP(C12,'Raw - Low pay'!A:Q,4,FALSE)*VLOOKUP(C12,'Raw - Low pay'!A:Q,3,FALSE))/100),100)),IF($F$5="United Kingdom",SUM(MROUND(SUM(SUM(VLOOKUP(C$20,'Raw - Low pay'!A:Q,4,FALSE)*VLOOKUP(C12,'Raw - Low pay'!A:Q,3,FALSE))/100),100)-MROUND(SUM(SUM(VLOOKUP(C12,'Raw - Low pay'!A:Q,4,FALSE)*VLOOKUP(C12,'Raw - Low pay'!A:Q,3,FALSE))/100),100)),SUM(MROUND(SUM(SUM(VLOOKUP(C$16,'Raw - Low pay'!A:Q,4,FALSE)*VLOOKUP(C12,'Raw - Low pay'!A:Q,3,FALSE))/100),100)-MROUND(SUM(SUM(VLOOKUP(C12,'Raw - Low pay'!A:Q,4,FALSE)*VLOOKUP(C12,'Raw - Low pay'!A:Q,3,FALSE))/100),100)))))))</f>
        <v>-2900</v>
      </c>
    </row>
    <row r="13" spans="2:7" ht="19.5" customHeight="1">
      <c r="B13" s="296" t="s">
        <v>249</v>
      </c>
      <c r="C13" s="296" t="s">
        <v>41</v>
      </c>
      <c r="D13" s="297">
        <f>VLOOKUP($C13,'Raw - Low pay'!$A:$Q,4,FALSE)</f>
        <v>9.9</v>
      </c>
      <c r="E13" s="318">
        <f>VLOOKUP(C13,'Raw - Low pay'!A:Q,2,FALSE)</f>
        <v>11781</v>
      </c>
      <c r="F13" s="301">
        <f t="shared" si="0"/>
        <v>-3.6000000000000005</v>
      </c>
      <c r="G13" s="302">
        <f>IF(F13="","",IF($F$5="lgbf family group",SUM(MROUND(SUM(SUM(VLOOKUP(C$17,'Raw - Low pay'!A:Q,4,FALSE)*VLOOKUP(C13,'Raw - Low pay'!A:Q,3,FALSE))/100),100)-MROUND(SUM(SUM(VLOOKUP(C13,'Raw - Low pay'!A:Q,4,FALSE)*VLOOKUP(C13,'Raw - Low pay'!A:Q,3,FALSE))/100),100)),IF($F$5="Glasgow City Region",SUM(MROUND(SUM(SUM(VLOOKUP(C$18,'Raw - Low pay'!A:Q,4,FALSE)*VLOOKUP(C13,'Raw - Low pay'!A:Q,3,FALSE))/100),100)-MROUND(SUM(SUM(VLOOKUP(C13,'Raw - Low pay'!A:Q,4,FALSE)*VLOOKUP(C13,'Raw - Low pay'!A:Q,3,FALSE))/100),100)),IF($F$5="Scotland",SUM(MROUND(SUM(SUM(VLOOKUP(C$19,'Raw - Low pay'!A:Q,4,FALSE)*VLOOKUP(C13,'Raw - Low pay'!A:Q,3,FALSE))/100),100)-MROUND(SUM(SUM(VLOOKUP(C13,'Raw - Low pay'!A:Q,4,FALSE)*VLOOKUP(C13,'Raw - Low pay'!A:Q,3,FALSE))/100),100)),IF($F$5="United Kingdom",SUM(MROUND(SUM(SUM(VLOOKUP(C$20,'Raw - Low pay'!A:Q,4,FALSE)*VLOOKUP(C13,'Raw - Low pay'!A:Q,3,FALSE))/100),100)-MROUND(SUM(SUM(VLOOKUP(C13,'Raw - Low pay'!A:Q,4,FALSE)*VLOOKUP(C13,'Raw - Low pay'!A:Q,3,FALSE))/100),100)),SUM(MROUND(SUM(SUM(VLOOKUP(C$16,'Raw - Low pay'!A:Q,4,FALSE)*VLOOKUP(C13,'Raw - Low pay'!A:Q,3,FALSE))/100),100)-MROUND(SUM(SUM(VLOOKUP(C13,'Raw - Low pay'!A:Q,4,FALSE)*VLOOKUP(C13,'Raw - Low pay'!A:Q,3,FALSE))/100),100)))))))</f>
        <v>-4300</v>
      </c>
    </row>
    <row r="14" spans="2:7" ht="19.5" customHeight="1">
      <c r="B14" s="296" t="s">
        <v>249</v>
      </c>
      <c r="C14" s="296" t="s">
        <v>43</v>
      </c>
      <c r="D14" s="297">
        <f>VLOOKUP($C14,'Raw - Low pay'!$A:$Q,4,FALSE)</f>
        <v>13.3</v>
      </c>
      <c r="E14" s="318">
        <f>VLOOKUP(C14,'Raw - Low pay'!A:Q,2,FALSE)</f>
        <v>4389</v>
      </c>
      <c r="F14" s="301">
        <f t="shared" si="0"/>
        <v>-7.0000000000000009</v>
      </c>
      <c r="G14" s="302">
        <f>IF(F14="","",IF($F$5="lgbf family group",SUM(MROUND(SUM(SUM(VLOOKUP(C$17,'Raw - Low pay'!A:Q,4,FALSE)*VLOOKUP(C14,'Raw - Low pay'!A:Q,3,FALSE))/100),100)-MROUND(SUM(SUM(VLOOKUP(C14,'Raw - Low pay'!A:Q,4,FALSE)*VLOOKUP(C14,'Raw - Low pay'!A:Q,3,FALSE))/100),100)),IF($F$5="Glasgow City Region",SUM(MROUND(SUM(SUM(VLOOKUP(C$18,'Raw - Low pay'!A:Q,4,FALSE)*VLOOKUP(C14,'Raw - Low pay'!A:Q,3,FALSE))/100),100)-MROUND(SUM(SUM(VLOOKUP(C14,'Raw - Low pay'!A:Q,4,FALSE)*VLOOKUP(C14,'Raw - Low pay'!A:Q,3,FALSE))/100),100)),IF($F$5="Scotland",SUM(MROUND(SUM(SUM(VLOOKUP(C$19,'Raw - Low pay'!A:Q,4,FALSE)*VLOOKUP(C14,'Raw - Low pay'!A:Q,3,FALSE))/100),100)-MROUND(SUM(SUM(VLOOKUP(C14,'Raw - Low pay'!A:Q,4,FALSE)*VLOOKUP(C14,'Raw - Low pay'!A:Q,3,FALSE))/100),100)),IF($F$5="United Kingdom",SUM(MROUND(SUM(SUM(VLOOKUP(C$20,'Raw - Low pay'!A:Q,4,FALSE)*VLOOKUP(C14,'Raw - Low pay'!A:Q,3,FALSE))/100),100)-MROUND(SUM(SUM(VLOOKUP(C14,'Raw - Low pay'!A:Q,4,FALSE)*VLOOKUP(C14,'Raw - Low pay'!A:Q,3,FALSE))/100),100)),SUM(MROUND(SUM(SUM(VLOOKUP(C$16,'Raw - Low pay'!A:Q,4,FALSE)*VLOOKUP(C14,'Raw - Low pay'!A:Q,3,FALSE))/100),100)-MROUND(SUM(SUM(VLOOKUP(C14,'Raw - Low pay'!A:Q,4,FALSE)*VLOOKUP(C14,'Raw - Low pay'!A:Q,3,FALSE))/100),100)))))))</f>
        <v>-2300</v>
      </c>
    </row>
    <row r="15" spans="2:7" ht="19.5" customHeight="1">
      <c r="B15" s="303"/>
      <c r="C15" s="303"/>
      <c r="D15" s="304"/>
      <c r="E15" s="304"/>
      <c r="F15" s="306"/>
      <c r="G15" s="306"/>
    </row>
    <row r="16" spans="2:7" ht="19.5" customHeight="1">
      <c r="B16" s="307" t="s">
        <v>51</v>
      </c>
      <c r="C16" s="296" t="str">
        <f>INDEX('Raw - Low pay'!$A$9:$A$41,MATCH(MIN('Raw - Low pay'!D9:D41),'Raw - Low pay'!D9:D41,0))</f>
        <v>East Renfrewshire</v>
      </c>
      <c r="D16" s="297">
        <f>VLOOKUP($C16,'Raw - Low pay'!$A:$Q,4,FALSE)</f>
        <v>6.3</v>
      </c>
      <c r="E16" s="318">
        <f>VLOOKUP(C16,'Raw - Low pay'!A:Q,2,FALSE)</f>
        <v>1386</v>
      </c>
    </row>
    <row r="17" spans="2:7" ht="19.5" customHeight="1">
      <c r="B17" s="307" t="s">
        <v>541</v>
      </c>
      <c r="C17" s="308" t="s">
        <v>545</v>
      </c>
      <c r="D17" s="297">
        <f>VLOOKUP($C17,'Raw - Low pay'!$A:$Q,4,FALSE)</f>
        <v>10.905596107055961</v>
      </c>
      <c r="E17" s="318" t="s">
        <v>69</v>
      </c>
    </row>
    <row r="18" spans="2:7" ht="19.5" customHeight="1">
      <c r="B18" s="307" t="s">
        <v>250</v>
      </c>
      <c r="C18" s="296" t="s">
        <v>47</v>
      </c>
      <c r="D18" s="297">
        <f>VLOOKUP($C18,'Raw - Low pay'!$A:$Q,4,FALSE)</f>
        <v>9.1503464203233253</v>
      </c>
      <c r="E18" s="318">
        <f>VLOOKUP(C18,'Raw - Low pay'!A:Q,2,FALSE)</f>
        <v>79242</v>
      </c>
    </row>
    <row r="19" spans="2:7" ht="19.5" customHeight="1">
      <c r="B19" s="307" t="s">
        <v>251</v>
      </c>
      <c r="C19" s="296" t="s">
        <v>45</v>
      </c>
      <c r="D19" s="297">
        <f>VLOOKUP($C19,'Raw - Low pay'!$A:$Q,4,FALSE)</f>
        <v>11.056814516129032</v>
      </c>
      <c r="E19" s="318">
        <f>VLOOKUP(C19,'Raw - Low pay'!A:Q,2,FALSE)</f>
        <v>274209</v>
      </c>
    </row>
    <row r="20" spans="2:7" ht="19.5" customHeight="1">
      <c r="B20" s="307" t="s">
        <v>251</v>
      </c>
      <c r="C20" s="296" t="s">
        <v>46</v>
      </c>
      <c r="D20" s="297" t="s">
        <v>69</v>
      </c>
      <c r="E20" s="318" t="s">
        <v>69</v>
      </c>
    </row>
    <row r="21" spans="2:7" ht="19.5" customHeight="1">
      <c r="C21" s="309"/>
      <c r="D21" s="310"/>
      <c r="E21" s="310"/>
      <c r="F21" s="310"/>
      <c r="G21" s="310"/>
    </row>
    <row r="22" spans="2:7">
      <c r="C22" s="312" t="str">
        <f>CONCATENATE(D22,E22)</f>
        <v>Volume Change Required to match Geographic Area - Top Performing Scottish Local Authority</v>
      </c>
      <c r="D22" s="312" t="s">
        <v>519</v>
      </c>
      <c r="E22" s="312" t="str">
        <f>F5</f>
        <v>Top Performing Scottish Local Authority</v>
      </c>
    </row>
    <row r="23" spans="2:7">
      <c r="B23" s="313" t="s">
        <v>467</v>
      </c>
    </row>
    <row r="24" spans="2:7">
      <c r="F24" s="314"/>
      <c r="G24" s="311"/>
    </row>
  </sheetData>
  <sheetProtection algorithmName="SHA-512" hashValue="xzXFe5VfGtUkefVlMjK1JgnkVy1LubnDS5bUYGwWt9eiziItg2Hxg6K0uXblGNjBMHWSRvztaRcqQ9loF9aVsA==" saltValue="Ny5wM/HqQMLXITrh8LyT4A==" spinCount="100000" sheet="1" objects="1" scenarios="1"/>
  <autoFilter ref="C6:G14" xr:uid="{00000000-0009-0000-0000-000018000000}">
    <sortState xmlns:xlrd2="http://schemas.microsoft.com/office/spreadsheetml/2017/richdata2" ref="B7:E14">
      <sortCondition descending="1" ref="E6"/>
    </sortState>
  </autoFilter>
  <mergeCells count="3">
    <mergeCell ref="E2:F2"/>
    <mergeCell ref="F4:G4"/>
    <mergeCell ref="F5:G5"/>
  </mergeCells>
  <dataValidations disablePrompts="1" count="1">
    <dataValidation type="list" allowBlank="1" showInputMessage="1" showErrorMessage="1" sqref="C17" xr:uid="{BB0645F5-A732-4BB5-B3D6-6497BD66A2E8}">
      <formula1>IF(B17="LGBF Family Group 1",LGBF_5,IF(B17="LGBF Family Group 3",LGBF_7,IF(B17="LGBF Family Group 4",LGBF_8,LGBF_6)))</formula1>
    </dataValidation>
  </dataValidations>
  <hyperlinks>
    <hyperlink ref="F2" location="'Index RAG'!A1" display="Return to Index RAG" xr:uid="{91535A67-9642-4D66-912D-7CB2CFB27869}"/>
    <hyperlink ref="C3" r:id="rId1" display="UK Government" xr:uid="{C55E7CA7-F9E1-4A94-A79F-2B2704BBFE3B}"/>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ACA3139-7AA4-4D86-8F0F-68E6E3E7DE5F}">
          <x14:formula1>
            <xm:f>Lookups!$L$8:$O$8</xm:f>
          </x14:formula1>
          <xm:sqref>B17</xm:sqref>
        </x14:dataValidation>
        <x14:dataValidation type="list" allowBlank="1" showInputMessage="1" showErrorMessage="1" xr:uid="{8CB989DB-4A18-46AD-BDDA-081E270C8CE4}">
          <x14:formula1>
            <xm:f>Lookups!$B$3:$B$7</xm:f>
          </x14:formula1>
          <xm:sqref>F5:G5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94D0-E671-4BAA-96A6-4367527FD05D}">
  <sheetPr>
    <pageSetUpPr autoPageBreaks="0" fitToPage="1"/>
  </sheetPr>
  <dimension ref="B2:G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4" width="14" style="251" customWidth="1" collapsed="1"/>
    <col min="5" max="7" width="14" style="251" customWidth="1"/>
    <col min="8" max="16384" width="9.1796875" style="251"/>
  </cols>
  <sheetData>
    <row r="2" spans="2:7" ht="13">
      <c r="B2" s="286" t="s">
        <v>48</v>
      </c>
      <c r="C2" s="372" t="s">
        <v>633</v>
      </c>
      <c r="E2" s="595" t="s">
        <v>507</v>
      </c>
      <c r="F2" s="596"/>
    </row>
    <row r="3" spans="2:7" ht="13">
      <c r="B3" s="286" t="s">
        <v>49</v>
      </c>
      <c r="C3" s="371" t="s">
        <v>631</v>
      </c>
    </row>
    <row r="4" spans="2:7" ht="13">
      <c r="B4" s="287"/>
      <c r="C4" s="289" t="s">
        <v>478</v>
      </c>
      <c r="F4" s="591" t="s">
        <v>52</v>
      </c>
      <c r="G4" s="591"/>
    </row>
    <row r="5" spans="2:7" ht="22" customHeight="1">
      <c r="C5" s="291"/>
      <c r="D5" s="292"/>
      <c r="E5" s="292"/>
      <c r="F5" s="594" t="s">
        <v>51</v>
      </c>
      <c r="G5" s="594"/>
    </row>
    <row r="6" spans="2:7" ht="26.15" customHeight="1">
      <c r="B6" s="293" t="s">
        <v>271</v>
      </c>
      <c r="C6" s="293" t="s">
        <v>5</v>
      </c>
      <c r="D6" s="294">
        <v>2021</v>
      </c>
      <c r="E6" s="294" t="s">
        <v>587</v>
      </c>
      <c r="F6" s="295" t="s">
        <v>56</v>
      </c>
      <c r="G6" s="295" t="s">
        <v>57</v>
      </c>
    </row>
    <row r="7" spans="2:7" ht="19.5" customHeight="1">
      <c r="B7" s="296" t="s">
        <v>249</v>
      </c>
      <c r="C7" s="296" t="s">
        <v>22</v>
      </c>
      <c r="D7" s="297">
        <f>VLOOKUP($C7,'Raw - Zero-hour contracts'!$A:$Q,4,FALSE)</f>
        <v>4.4000000000000004</v>
      </c>
      <c r="E7" s="318">
        <f>VLOOKUP(C7,'Raw - Zero-hour contracts'!A:Q,2,FALSE)</f>
        <v>1144.0000000000002</v>
      </c>
      <c r="F7" s="301">
        <f>IF(IF($F$5="LGBF FAMILY GROUP",SUM(D$17-D7),IF($F$5="Glasgow City Region",SUM(D$18-D7),IF($F$5="Scotland",SUM(D$19-D7),IF($F$5="United Kingdom",SUM(D$20-D7),SUM(D$16-D7)))))&gt;0,"",IF($F$5="LGBF FAMILY GROUP",SUM(D$17-D7),IF($F$5="Glasgow City Region",SUM(D$18-D7),IF($F$5="Scotland",SUM(D$19-D7),IF($F$5="United Kingdom",SUM(D$20-D7),SUM(D$16-D7))))))</f>
        <v>-3.6000000000000005</v>
      </c>
      <c r="G7" s="302">
        <f>IF(F7="","",IF($F$5="lgbf family group",SUM(MROUND(SUM(SUM(VLOOKUP(C$17,'Raw - Zero-hour contracts'!A:Q,4,FALSE)*VLOOKUP(C7,'Raw - Zero-hour contracts'!A:Q,3,FALSE))/100),100)-MROUND(SUM(SUM(VLOOKUP(C7,'Raw - Zero-hour contracts'!A:Q,4,FALSE)*VLOOKUP(C7,'Raw - Zero-hour contracts'!A:Q,3,FALSE))/100),100)),IF($F$5="Glasgow City Region",SUM(MROUND(SUM(SUM(VLOOKUP(C$18,'Raw - Zero-hour contracts'!A:Q,4,FALSE)*VLOOKUP(C7,'Raw - Zero-hour contracts'!A:Q,3,FALSE))/100),100)-MROUND(SUM(SUM(VLOOKUP(C7,'Raw - Zero-hour contracts'!A:Q,4,FALSE)*VLOOKUP(C7,'Raw - Zero-hour contracts'!A:Q,3,FALSE))/100),100)),IF($F$5="Scotland",SUM(MROUND(SUM(SUM(VLOOKUP(C$19,'Raw - Zero-hour contracts'!A:Q,4,FALSE)*VLOOKUP(C7,'Raw - Zero-hour contracts'!A:Q,3,FALSE))/100),100)-MROUND(SUM(SUM(VLOOKUP(C7,'Raw - Zero-hour contracts'!A:Q,4,FALSE)*VLOOKUP(C7,'Raw - Zero-hour contracts'!A:Q,3,FALSE))/100),100)),IF($F$5="United Kingdom",SUM(MROUND(SUM(SUM(VLOOKUP(C$20,'Raw - Zero-hour contracts'!A:Q,4,FALSE)*VLOOKUP(C7,'Raw - Zero-hour contracts'!A:Q,3,FALSE))/100),100)-MROUND(SUM(SUM(VLOOKUP(C7,'Raw - Zero-hour contracts'!A:Q,4,FALSE)*VLOOKUP(C7,'Raw - Zero-hour contracts'!A:Q,3,FALSE))/100),100)),SUM(MROUND(SUM(SUM(VLOOKUP(C$16,'Raw - Zero-hour contracts'!A:Q,4,FALSE)*VLOOKUP(C7,'Raw - Zero-hour contracts'!A:Q,3,FALSE))/100),100)-MROUND(SUM(SUM(VLOOKUP(C7,'Raw - Zero-hour contracts'!A:Q,4,FALSE)*VLOOKUP(C7,'Raw - Zero-hour contracts'!A:Q,3,FALSE))/100),100)))))))</f>
        <v>-900</v>
      </c>
    </row>
    <row r="8" spans="2:7" ht="19.5" customHeight="1">
      <c r="B8" s="296" t="s">
        <v>249</v>
      </c>
      <c r="C8" s="296" t="s">
        <v>24</v>
      </c>
      <c r="D8" s="297">
        <f>VLOOKUP($C8,'Raw - Zero-hour contracts'!$A:$Q,4,FALSE)</f>
        <v>1.8</v>
      </c>
      <c r="E8" s="318">
        <f>VLOOKUP(C8,'Raw - Zero-hour contracts'!A:Q,2,FALSE)</f>
        <v>396.00000000000006</v>
      </c>
      <c r="F8" s="301">
        <f t="shared" ref="F8:F14" si="0">IF(IF($F$5="LGBF FAMILY GROUP",SUM(D$17-D8),IF($F$5="Glasgow City Region",SUM(D$18-D8),IF($F$5="Scotland",SUM(D$19-D8),IF($F$5="United Kingdom",SUM(D$20-D8),SUM(D$16-D8)))))&gt;0,"",IF($F$5="LGBF FAMILY GROUP",SUM(D$17-D8),IF($F$5="Glasgow City Region",SUM(D$18-D8),IF($F$5="Scotland",SUM(D$19-D8),IF($F$5="United Kingdom",SUM(D$20-D8),SUM(D$16-D8))))))</f>
        <v>-1</v>
      </c>
      <c r="G8" s="302">
        <f>IF(F8="","",IF($F$5="lgbf family group",SUM(MROUND(SUM(SUM(VLOOKUP(C$17,'Raw - Zero-hour contracts'!A:Q,4,FALSE)*VLOOKUP(C8,'Raw - Zero-hour contracts'!A:Q,3,FALSE))/100),100)-MROUND(SUM(SUM(VLOOKUP(C8,'Raw - Zero-hour contracts'!A:Q,4,FALSE)*VLOOKUP(C8,'Raw - Zero-hour contracts'!A:Q,3,FALSE))/100),100)),IF($F$5="Glasgow City Region",SUM(MROUND(SUM(SUM(VLOOKUP(C$18,'Raw - Zero-hour contracts'!A:Q,4,FALSE)*VLOOKUP(C8,'Raw - Zero-hour contracts'!A:Q,3,FALSE))/100),100)-MROUND(SUM(SUM(VLOOKUP(C8,'Raw - Zero-hour contracts'!A:Q,4,FALSE)*VLOOKUP(C8,'Raw - Zero-hour contracts'!A:Q,3,FALSE))/100),100)),IF($F$5="Scotland",SUM(MROUND(SUM(SUM(VLOOKUP(C$19,'Raw - Zero-hour contracts'!A:Q,4,FALSE)*VLOOKUP(C8,'Raw - Zero-hour contracts'!A:Q,3,FALSE))/100),100)-MROUND(SUM(SUM(VLOOKUP(C8,'Raw - Zero-hour contracts'!A:Q,4,FALSE)*VLOOKUP(C8,'Raw - Zero-hour contracts'!A:Q,3,FALSE))/100),100)),IF($F$5="United Kingdom",SUM(MROUND(SUM(SUM(VLOOKUP(C$20,'Raw - Zero-hour contracts'!A:Q,4,FALSE)*VLOOKUP(C8,'Raw - Zero-hour contracts'!A:Q,3,FALSE))/100),100)-MROUND(SUM(SUM(VLOOKUP(C8,'Raw - Zero-hour contracts'!A:Q,4,FALSE)*VLOOKUP(C8,'Raw - Zero-hour contracts'!A:Q,3,FALSE))/100),100)),SUM(MROUND(SUM(SUM(VLOOKUP(C$16,'Raw - Zero-hour contracts'!A:Q,4,FALSE)*VLOOKUP(C8,'Raw - Zero-hour contracts'!A:Q,3,FALSE))/100),100)-MROUND(SUM(SUM(VLOOKUP(C8,'Raw - Zero-hour contracts'!A:Q,4,FALSE)*VLOOKUP(C8,'Raw - Zero-hour contracts'!A:Q,3,FALSE))/100),100)))))))</f>
        <v>-200</v>
      </c>
    </row>
    <row r="9" spans="2:7" ht="19.5" customHeight="1">
      <c r="B9" s="296" t="s">
        <v>249</v>
      </c>
      <c r="C9" s="296" t="s">
        <v>27</v>
      </c>
      <c r="D9" s="297">
        <f>VLOOKUP($C9,'Raw - Zero-hour contracts'!$A:$Q,4,FALSE)</f>
        <v>1.4</v>
      </c>
      <c r="E9" s="318">
        <f>VLOOKUP(C9,'Raw - Zero-hour contracts'!A:Q,2,FALSE)</f>
        <v>5921.9999999999991</v>
      </c>
      <c r="F9" s="301">
        <f t="shared" si="0"/>
        <v>-0.59999999999999987</v>
      </c>
      <c r="G9" s="302">
        <f>IF(F9="","",IF($F$5="lgbf family group",SUM(MROUND(SUM(SUM(VLOOKUP(C$17,'Raw - Zero-hour contracts'!A:Q,4,FALSE)*VLOOKUP(C9,'Raw - Zero-hour contracts'!A:Q,3,FALSE))/100),100)-MROUND(SUM(SUM(VLOOKUP(C9,'Raw - Zero-hour contracts'!A:Q,4,FALSE)*VLOOKUP(C9,'Raw - Zero-hour contracts'!A:Q,3,FALSE))/100),100)),IF($F$5="Glasgow City Region",SUM(MROUND(SUM(SUM(VLOOKUP(C$18,'Raw - Zero-hour contracts'!A:Q,4,FALSE)*VLOOKUP(C9,'Raw - Zero-hour contracts'!A:Q,3,FALSE))/100),100)-MROUND(SUM(SUM(VLOOKUP(C9,'Raw - Zero-hour contracts'!A:Q,4,FALSE)*VLOOKUP(C9,'Raw - Zero-hour contracts'!A:Q,3,FALSE))/100),100)),IF($F$5="Scotland",SUM(MROUND(SUM(SUM(VLOOKUP(C$19,'Raw - Zero-hour contracts'!A:Q,4,FALSE)*VLOOKUP(C9,'Raw - Zero-hour contracts'!A:Q,3,FALSE))/100),100)-MROUND(SUM(SUM(VLOOKUP(C9,'Raw - Zero-hour contracts'!A:Q,4,FALSE)*VLOOKUP(C9,'Raw - Zero-hour contracts'!A:Q,3,FALSE))/100),100)),IF($F$5="United Kingdom",SUM(MROUND(SUM(SUM(VLOOKUP(C$20,'Raw - Zero-hour contracts'!A:Q,4,FALSE)*VLOOKUP(C9,'Raw - Zero-hour contracts'!A:Q,3,FALSE))/100),100)-MROUND(SUM(SUM(VLOOKUP(C9,'Raw - Zero-hour contracts'!A:Q,4,FALSE)*VLOOKUP(C9,'Raw - Zero-hour contracts'!A:Q,3,FALSE))/100),100)),SUM(MROUND(SUM(SUM(VLOOKUP(C$16,'Raw - Zero-hour contracts'!A:Q,4,FALSE)*VLOOKUP(C9,'Raw - Zero-hour contracts'!A:Q,3,FALSE))/100),100)-MROUND(SUM(SUM(VLOOKUP(C9,'Raw - Zero-hour contracts'!A:Q,4,FALSE)*VLOOKUP(C9,'Raw - Zero-hour contracts'!A:Q,3,FALSE))/100),100)))))))</f>
        <v>-2500</v>
      </c>
    </row>
    <row r="10" spans="2:7" ht="19.5" customHeight="1">
      <c r="B10" s="296" t="s">
        <v>249</v>
      </c>
      <c r="C10" s="296" t="s">
        <v>29</v>
      </c>
      <c r="D10" s="297">
        <f>VLOOKUP($C10,'Raw - Zero-hour contracts'!$A:$Q,4,FALSE)</f>
        <v>1</v>
      </c>
      <c r="E10" s="318">
        <f>VLOOKUP(C10,'Raw - Zero-hour contracts'!A:Q,2,FALSE)</f>
        <v>260</v>
      </c>
      <c r="F10" s="301">
        <f t="shared" si="0"/>
        <v>-0.19999999999999996</v>
      </c>
      <c r="G10" s="302">
        <f>IF(F10="","",IF($F$5="lgbf family group",SUM(MROUND(SUM(SUM(VLOOKUP(C$17,'Raw - Zero-hour contracts'!A:Q,4,FALSE)*VLOOKUP(C10,'Raw - Zero-hour contracts'!A:Q,3,FALSE))/100),100)-MROUND(SUM(SUM(VLOOKUP(C10,'Raw - Zero-hour contracts'!A:Q,4,FALSE)*VLOOKUP(C10,'Raw - Zero-hour contracts'!A:Q,3,FALSE))/100),100)),IF($F$5="Glasgow City Region",SUM(MROUND(SUM(SUM(VLOOKUP(C$18,'Raw - Zero-hour contracts'!A:Q,4,FALSE)*VLOOKUP(C10,'Raw - Zero-hour contracts'!A:Q,3,FALSE))/100),100)-MROUND(SUM(SUM(VLOOKUP(C10,'Raw - Zero-hour contracts'!A:Q,4,FALSE)*VLOOKUP(C10,'Raw - Zero-hour contracts'!A:Q,3,FALSE))/100),100)),IF($F$5="Scotland",SUM(MROUND(SUM(SUM(VLOOKUP(C$19,'Raw - Zero-hour contracts'!A:Q,4,FALSE)*VLOOKUP(C10,'Raw - Zero-hour contracts'!A:Q,3,FALSE))/100),100)-MROUND(SUM(SUM(VLOOKUP(C10,'Raw - Zero-hour contracts'!A:Q,4,FALSE)*VLOOKUP(C10,'Raw - Zero-hour contracts'!A:Q,3,FALSE))/100),100)),IF($F$5="United Kingdom",SUM(MROUND(SUM(SUM(VLOOKUP(C$20,'Raw - Zero-hour contracts'!A:Q,4,FALSE)*VLOOKUP(C10,'Raw - Zero-hour contracts'!A:Q,3,FALSE))/100),100)-MROUND(SUM(SUM(VLOOKUP(C10,'Raw - Zero-hour contracts'!A:Q,4,FALSE)*VLOOKUP(C10,'Raw - Zero-hour contracts'!A:Q,3,FALSE))/100),100)),SUM(MROUND(SUM(SUM(VLOOKUP(C$16,'Raw - Zero-hour contracts'!A:Q,4,FALSE)*VLOOKUP(C10,'Raw - Zero-hour contracts'!A:Q,3,FALSE))/100),100)-MROUND(SUM(SUM(VLOOKUP(C10,'Raw - Zero-hour contracts'!A:Q,4,FALSE)*VLOOKUP(C10,'Raw - Zero-hour contracts'!A:Q,3,FALSE))/100),100)))))))</f>
        <v>-100</v>
      </c>
    </row>
    <row r="11" spans="2:7" ht="19.5" customHeight="1">
      <c r="B11" s="296" t="s">
        <v>249</v>
      </c>
      <c r="C11" s="296" t="s">
        <v>34</v>
      </c>
      <c r="D11" s="297">
        <f>VLOOKUP($C11,'Raw - Zero-hour contracts'!$A:$Q,4,FALSE)</f>
        <v>1.4</v>
      </c>
      <c r="E11" s="318">
        <f>VLOOKUP(C11,'Raw - Zero-hour contracts'!A:Q,2,FALSE)</f>
        <v>1875.9999999999998</v>
      </c>
      <c r="F11" s="301">
        <f t="shared" si="0"/>
        <v>-0.59999999999999987</v>
      </c>
      <c r="G11" s="302">
        <f>IF(F11="","",IF($F$5="lgbf family group",SUM(MROUND(SUM(SUM(VLOOKUP(C$17,'Raw - Zero-hour contracts'!A:Q,4,FALSE)*VLOOKUP(C11,'Raw - Zero-hour contracts'!A:Q,3,FALSE))/100),100)-MROUND(SUM(SUM(VLOOKUP(C11,'Raw - Zero-hour contracts'!A:Q,4,FALSE)*VLOOKUP(C11,'Raw - Zero-hour contracts'!A:Q,3,FALSE))/100),100)),IF($F$5="Glasgow City Region",SUM(MROUND(SUM(SUM(VLOOKUP(C$18,'Raw - Zero-hour contracts'!A:Q,4,FALSE)*VLOOKUP(C11,'Raw - Zero-hour contracts'!A:Q,3,FALSE))/100),100)-MROUND(SUM(SUM(VLOOKUP(C11,'Raw - Zero-hour contracts'!A:Q,4,FALSE)*VLOOKUP(C11,'Raw - Zero-hour contracts'!A:Q,3,FALSE))/100),100)),IF($F$5="Scotland",SUM(MROUND(SUM(SUM(VLOOKUP(C$19,'Raw - Zero-hour contracts'!A:Q,4,FALSE)*VLOOKUP(C11,'Raw - Zero-hour contracts'!A:Q,3,FALSE))/100),100)-MROUND(SUM(SUM(VLOOKUP(C11,'Raw - Zero-hour contracts'!A:Q,4,FALSE)*VLOOKUP(C11,'Raw - Zero-hour contracts'!A:Q,3,FALSE))/100),100)),IF($F$5="United Kingdom",SUM(MROUND(SUM(SUM(VLOOKUP(C$20,'Raw - Zero-hour contracts'!A:Q,4,FALSE)*VLOOKUP(C11,'Raw - Zero-hour contracts'!A:Q,3,FALSE))/100),100)-MROUND(SUM(SUM(VLOOKUP(C11,'Raw - Zero-hour contracts'!A:Q,4,FALSE)*VLOOKUP(C11,'Raw - Zero-hour contracts'!A:Q,3,FALSE))/100),100)),SUM(MROUND(SUM(SUM(VLOOKUP(C$16,'Raw - Zero-hour contracts'!A:Q,4,FALSE)*VLOOKUP(C11,'Raw - Zero-hour contracts'!A:Q,3,FALSE))/100),100)-MROUND(SUM(SUM(VLOOKUP(C11,'Raw - Zero-hour contracts'!A:Q,4,FALSE)*VLOOKUP(C11,'Raw - Zero-hour contracts'!A:Q,3,FALSE))/100),100)))))))</f>
        <v>-800</v>
      </c>
    </row>
    <row r="12" spans="2:7" ht="19.5" customHeight="1">
      <c r="B12" s="296" t="s">
        <v>249</v>
      </c>
      <c r="C12" s="296" t="s">
        <v>37</v>
      </c>
      <c r="D12" s="297">
        <f>VLOOKUP($C12,'Raw - Zero-hour contracts'!$A:$Q,4,FALSE)</f>
        <v>2.1</v>
      </c>
      <c r="E12" s="318">
        <f>VLOOKUP(C12,'Raw - Zero-hour contracts'!A:Q,2,FALSE)</f>
        <v>1743</v>
      </c>
      <c r="F12" s="301">
        <f t="shared" si="0"/>
        <v>-1.3</v>
      </c>
      <c r="G12" s="302">
        <f>IF(F12="","",IF($F$5="lgbf family group",SUM(MROUND(SUM(SUM(VLOOKUP(C$17,'Raw - Zero-hour contracts'!A:Q,4,FALSE)*VLOOKUP(C12,'Raw - Zero-hour contracts'!A:Q,3,FALSE))/100),100)-MROUND(SUM(SUM(VLOOKUP(C12,'Raw - Zero-hour contracts'!A:Q,4,FALSE)*VLOOKUP(C12,'Raw - Zero-hour contracts'!A:Q,3,FALSE))/100),100)),IF($F$5="Glasgow City Region",SUM(MROUND(SUM(SUM(VLOOKUP(C$18,'Raw - Zero-hour contracts'!A:Q,4,FALSE)*VLOOKUP(C12,'Raw - Zero-hour contracts'!A:Q,3,FALSE))/100),100)-MROUND(SUM(SUM(VLOOKUP(C12,'Raw - Zero-hour contracts'!A:Q,4,FALSE)*VLOOKUP(C12,'Raw - Zero-hour contracts'!A:Q,3,FALSE))/100),100)),IF($F$5="Scotland",SUM(MROUND(SUM(SUM(VLOOKUP(C$19,'Raw - Zero-hour contracts'!A:Q,4,FALSE)*VLOOKUP(C12,'Raw - Zero-hour contracts'!A:Q,3,FALSE))/100),100)-MROUND(SUM(SUM(VLOOKUP(C12,'Raw - Zero-hour contracts'!A:Q,4,FALSE)*VLOOKUP(C12,'Raw - Zero-hour contracts'!A:Q,3,FALSE))/100),100)),IF($F$5="United Kingdom",SUM(MROUND(SUM(SUM(VLOOKUP(C$20,'Raw - Zero-hour contracts'!A:Q,4,FALSE)*VLOOKUP(C12,'Raw - Zero-hour contracts'!A:Q,3,FALSE))/100),100)-MROUND(SUM(SUM(VLOOKUP(C12,'Raw - Zero-hour contracts'!A:Q,4,FALSE)*VLOOKUP(C12,'Raw - Zero-hour contracts'!A:Q,3,FALSE))/100),100)),SUM(MROUND(SUM(SUM(VLOOKUP(C$16,'Raw - Zero-hour contracts'!A:Q,4,FALSE)*VLOOKUP(C12,'Raw - Zero-hour contracts'!A:Q,3,FALSE))/100),100)-MROUND(SUM(SUM(VLOOKUP(C12,'Raw - Zero-hour contracts'!A:Q,4,FALSE)*VLOOKUP(C12,'Raw - Zero-hour contracts'!A:Q,3,FALSE))/100),100)))))))</f>
        <v>-1000</v>
      </c>
    </row>
    <row r="13" spans="2:7" ht="19.5" customHeight="1">
      <c r="B13" s="296" t="s">
        <v>249</v>
      </c>
      <c r="C13" s="296" t="s">
        <v>41</v>
      </c>
      <c r="D13" s="297">
        <f>VLOOKUP($C13,'Raw - Zero-hour contracts'!$A:$Q,4,FALSE)</f>
        <v>0.8</v>
      </c>
      <c r="E13" s="318">
        <f>VLOOKUP(C13,'Raw - Zero-hour contracts'!A:Q,2,FALSE)</f>
        <v>952</v>
      </c>
      <c r="F13" s="301">
        <f t="shared" si="0"/>
        <v>0</v>
      </c>
      <c r="G13" s="302">
        <f>IF(F13="","",IF($F$5="lgbf family group",SUM(MROUND(SUM(SUM(VLOOKUP(C$17,'Raw - Zero-hour contracts'!A:Q,4,FALSE)*VLOOKUP(C13,'Raw - Zero-hour contracts'!A:Q,3,FALSE))/100),100)-MROUND(SUM(SUM(VLOOKUP(C13,'Raw - Zero-hour contracts'!A:Q,4,FALSE)*VLOOKUP(C13,'Raw - Zero-hour contracts'!A:Q,3,FALSE))/100),100)),IF($F$5="Glasgow City Region",SUM(MROUND(SUM(SUM(VLOOKUP(C$18,'Raw - Zero-hour contracts'!A:Q,4,FALSE)*VLOOKUP(C13,'Raw - Zero-hour contracts'!A:Q,3,FALSE))/100),100)-MROUND(SUM(SUM(VLOOKUP(C13,'Raw - Zero-hour contracts'!A:Q,4,FALSE)*VLOOKUP(C13,'Raw - Zero-hour contracts'!A:Q,3,FALSE))/100),100)),IF($F$5="Scotland",SUM(MROUND(SUM(SUM(VLOOKUP(C$19,'Raw - Zero-hour contracts'!A:Q,4,FALSE)*VLOOKUP(C13,'Raw - Zero-hour contracts'!A:Q,3,FALSE))/100),100)-MROUND(SUM(SUM(VLOOKUP(C13,'Raw - Zero-hour contracts'!A:Q,4,FALSE)*VLOOKUP(C13,'Raw - Zero-hour contracts'!A:Q,3,FALSE))/100),100)),IF($F$5="United Kingdom",SUM(MROUND(SUM(SUM(VLOOKUP(C$20,'Raw - Zero-hour contracts'!A:Q,4,FALSE)*VLOOKUP(C13,'Raw - Zero-hour contracts'!A:Q,3,FALSE))/100),100)-MROUND(SUM(SUM(VLOOKUP(C13,'Raw - Zero-hour contracts'!A:Q,4,FALSE)*VLOOKUP(C13,'Raw - Zero-hour contracts'!A:Q,3,FALSE))/100),100)),SUM(MROUND(SUM(SUM(VLOOKUP(C$16,'Raw - Zero-hour contracts'!A:Q,4,FALSE)*VLOOKUP(C13,'Raw - Zero-hour contracts'!A:Q,3,FALSE))/100),100)-MROUND(SUM(SUM(VLOOKUP(C13,'Raw - Zero-hour contracts'!A:Q,4,FALSE)*VLOOKUP(C13,'Raw - Zero-hour contracts'!A:Q,3,FALSE))/100),100)))))))</f>
        <v>0</v>
      </c>
    </row>
    <row r="14" spans="2:7" ht="19.5" customHeight="1">
      <c r="B14" s="296" t="s">
        <v>249</v>
      </c>
      <c r="C14" s="296" t="s">
        <v>43</v>
      </c>
      <c r="D14" s="297">
        <f>VLOOKUP($C14,'Raw - Zero-hour contracts'!$A:$Q,4,FALSE)</f>
        <v>2.2999999999999998</v>
      </c>
      <c r="E14" s="318">
        <f>VLOOKUP(C14,'Raw - Zero-hour contracts'!A:Q,2,FALSE)</f>
        <v>759</v>
      </c>
      <c r="F14" s="301">
        <f t="shared" si="0"/>
        <v>-1.4999999999999998</v>
      </c>
      <c r="G14" s="302">
        <f>IF(F14="","",IF($F$5="lgbf family group",SUM(MROUND(SUM(SUM(VLOOKUP(C$17,'Raw - Zero-hour contracts'!A:Q,4,FALSE)*VLOOKUP(C14,'Raw - Zero-hour contracts'!A:Q,3,FALSE))/100),100)-MROUND(SUM(SUM(VLOOKUP(C14,'Raw - Zero-hour contracts'!A:Q,4,FALSE)*VLOOKUP(C14,'Raw - Zero-hour contracts'!A:Q,3,FALSE))/100),100)),IF($F$5="Glasgow City Region",SUM(MROUND(SUM(SUM(VLOOKUP(C$18,'Raw - Zero-hour contracts'!A:Q,4,FALSE)*VLOOKUP(C14,'Raw - Zero-hour contracts'!A:Q,3,FALSE))/100),100)-MROUND(SUM(SUM(VLOOKUP(C14,'Raw - Zero-hour contracts'!A:Q,4,FALSE)*VLOOKUP(C14,'Raw - Zero-hour contracts'!A:Q,3,FALSE))/100),100)),IF($F$5="Scotland",SUM(MROUND(SUM(SUM(VLOOKUP(C$19,'Raw - Zero-hour contracts'!A:Q,4,FALSE)*VLOOKUP(C14,'Raw - Zero-hour contracts'!A:Q,3,FALSE))/100),100)-MROUND(SUM(SUM(VLOOKUP(C14,'Raw - Zero-hour contracts'!A:Q,4,FALSE)*VLOOKUP(C14,'Raw - Zero-hour contracts'!A:Q,3,FALSE))/100),100)),IF($F$5="United Kingdom",SUM(MROUND(SUM(SUM(VLOOKUP(C$20,'Raw - Zero-hour contracts'!A:Q,4,FALSE)*VLOOKUP(C14,'Raw - Zero-hour contracts'!A:Q,3,FALSE))/100),100)-MROUND(SUM(SUM(VLOOKUP(C14,'Raw - Zero-hour contracts'!A:Q,4,FALSE)*VLOOKUP(C14,'Raw - Zero-hour contracts'!A:Q,3,FALSE))/100),100)),SUM(MROUND(SUM(SUM(VLOOKUP(C$16,'Raw - Zero-hour contracts'!A:Q,4,FALSE)*VLOOKUP(C14,'Raw - Zero-hour contracts'!A:Q,3,FALSE))/100),100)-MROUND(SUM(SUM(VLOOKUP(C14,'Raw - Zero-hour contracts'!A:Q,4,FALSE)*VLOOKUP(C14,'Raw - Zero-hour contracts'!A:Q,3,FALSE))/100),100)))))))</f>
        <v>-500</v>
      </c>
    </row>
    <row r="15" spans="2:7" ht="19.5" customHeight="1">
      <c r="B15" s="303"/>
      <c r="C15" s="303"/>
      <c r="D15" s="304"/>
      <c r="E15" s="304"/>
      <c r="F15" s="306"/>
      <c r="G15" s="306"/>
    </row>
    <row r="16" spans="2:7" ht="19.5" customHeight="1">
      <c r="B16" s="307" t="s">
        <v>51</v>
      </c>
      <c r="C16" s="296" t="str">
        <f>INDEX('Raw - Zero-hour contracts'!$A$9:$A$41,MATCH(MIN('Raw - Zero-hour contracts'!D9:D41),'Raw - Zero-hour contracts'!D9:D41,0))</f>
        <v>South Lanarkshire</v>
      </c>
      <c r="D16" s="297">
        <f>VLOOKUP($C16,'Raw - Zero-hour contracts'!$A:$Q,4,FALSE)</f>
        <v>0.8</v>
      </c>
      <c r="E16" s="318">
        <f>VLOOKUP(C16,'Raw - Zero-hour contracts'!A:Q,2,FALSE)</f>
        <v>952</v>
      </c>
    </row>
    <row r="17" spans="2:7" ht="19.5" customHeight="1">
      <c r="B17" s="307" t="s">
        <v>541</v>
      </c>
      <c r="C17" s="308" t="s">
        <v>545</v>
      </c>
      <c r="D17" s="297">
        <f>VLOOKUP($C17,'Raw - Zero-hour contracts'!$A:$Q,4,FALSE)</f>
        <v>1.2642335766423358</v>
      </c>
      <c r="E17" s="318" t="s">
        <v>69</v>
      </c>
    </row>
    <row r="18" spans="2:7" ht="19.5" customHeight="1">
      <c r="B18" s="307" t="s">
        <v>250</v>
      </c>
      <c r="C18" s="296" t="s">
        <v>47</v>
      </c>
      <c r="D18" s="297">
        <f>VLOOKUP($C18,'Raw - Zero-hour contracts'!$A:$Q,4,FALSE)</f>
        <v>1.5071593533487297</v>
      </c>
      <c r="E18" s="318">
        <f>VLOOKUP(C18,'Raw - Zero-hour contracts'!A:Q,2,FALSE)</f>
        <v>13052</v>
      </c>
    </row>
    <row r="19" spans="2:7" ht="19.5" customHeight="1">
      <c r="B19" s="307" t="s">
        <v>251</v>
      </c>
      <c r="C19" s="296" t="s">
        <v>45</v>
      </c>
      <c r="D19" s="297">
        <f>VLOOKUP($C19,'Raw - Zero-hour contracts'!$A:$Q,4,FALSE)</f>
        <v>2.1295161290322584</v>
      </c>
      <c r="E19" s="318">
        <f>VLOOKUP(C19,'Raw - Zero-hour contracts'!A:Q,2,FALSE)</f>
        <v>52812</v>
      </c>
    </row>
    <row r="20" spans="2:7" ht="19.5" customHeight="1">
      <c r="B20" s="307" t="s">
        <v>251</v>
      </c>
      <c r="C20" s="296" t="s">
        <v>46</v>
      </c>
      <c r="D20" s="297" t="s">
        <v>69</v>
      </c>
      <c r="E20" s="318" t="s">
        <v>69</v>
      </c>
    </row>
    <row r="21" spans="2:7" ht="19.5" customHeight="1">
      <c r="C21" s="309"/>
      <c r="D21" s="310"/>
      <c r="E21" s="310"/>
      <c r="F21" s="310"/>
      <c r="G21" s="310"/>
    </row>
    <row r="22" spans="2:7">
      <c r="C22" s="312" t="str">
        <f>CONCATENATE(D22,E22)</f>
        <v>Volume Change Required to match Geographic Area - Top Performing Scottish Local Authority</v>
      </c>
      <c r="D22" s="312" t="s">
        <v>519</v>
      </c>
      <c r="E22" s="312" t="str">
        <f>F5</f>
        <v>Top Performing Scottish Local Authority</v>
      </c>
    </row>
    <row r="23" spans="2:7">
      <c r="B23" s="313" t="s">
        <v>467</v>
      </c>
    </row>
    <row r="24" spans="2:7">
      <c r="F24" s="314"/>
      <c r="G24" s="311"/>
    </row>
  </sheetData>
  <sheetProtection algorithmName="SHA-512" hashValue="HGyNww81f09KG66SWTGpD4ewfzbgWNDXqzoqOCPDuRAHNCY5cLw/GIEXTPPYbd6XIsRUBzsNpqKicg3KaIzeMw==" saltValue="kVuUyMUForEhOj1K6sNxlA==" spinCount="100000" sheet="1" objects="1" scenarios="1"/>
  <autoFilter ref="C6:G14" xr:uid="{00000000-0009-0000-0000-000018000000}">
    <sortState xmlns:xlrd2="http://schemas.microsoft.com/office/spreadsheetml/2017/richdata2" ref="B7:E14">
      <sortCondition descending="1" ref="E6"/>
    </sortState>
  </autoFilter>
  <mergeCells count="3">
    <mergeCell ref="E2:F2"/>
    <mergeCell ref="F4:G4"/>
    <mergeCell ref="F5:G5"/>
  </mergeCells>
  <dataValidations disablePrompts="1" count="1">
    <dataValidation type="list" allowBlank="1" showInputMessage="1" showErrorMessage="1" sqref="C17" xr:uid="{A01F3C55-77E6-4055-902B-EC18F51D90DE}">
      <formula1>IF(B17="LGBF Family Group 1",LGBF_5,IF(B17="LGBF Family Group 3",LGBF_7,IF(B17="LGBF Family Group 4",LGBF_8,LGBF_6)))</formula1>
    </dataValidation>
  </dataValidations>
  <hyperlinks>
    <hyperlink ref="F2" location="'Index RAG'!A1" display="Return to Index RAG" xr:uid="{912EFB0F-D95C-460D-94E0-EDC44F07ABA9}"/>
    <hyperlink ref="C3" r:id="rId1" display="UK Government" xr:uid="{83927F78-41C1-4B35-ADD3-55E1961FB0F1}"/>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76A7595-7CDA-4937-98E8-6FA25E98CC1A}">
          <x14:formula1>
            <xm:f>Lookups!$L$8:$O$8</xm:f>
          </x14:formula1>
          <xm:sqref>B17</xm:sqref>
        </x14:dataValidation>
        <x14:dataValidation type="list" allowBlank="1" showInputMessage="1" showErrorMessage="1" xr:uid="{AEAD83B7-8864-41B5-B3A7-6202F3B447E1}">
          <x14:formula1>
            <xm:f>Lookups!$B$3:$B$7</xm:f>
          </x14:formula1>
          <xm:sqref>F5:G5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5" width="14" style="251" customWidth="1" collapsed="1"/>
    <col min="6" max="6" width="14" style="251" customWidth="1"/>
    <col min="7" max="7" width="14" style="251" customWidth="1" collapsed="1"/>
    <col min="8" max="12" width="14" style="251" customWidth="1"/>
    <col min="13" max="16384" width="9.1796875" style="251"/>
  </cols>
  <sheetData>
    <row r="2" spans="2:12" ht="13">
      <c r="B2" s="286" t="s">
        <v>48</v>
      </c>
      <c r="C2" s="287" t="s">
        <v>203</v>
      </c>
      <c r="G2" s="595" t="s">
        <v>507</v>
      </c>
      <c r="H2" s="596"/>
    </row>
    <row r="3" spans="2:12" ht="13">
      <c r="B3" s="286" t="s">
        <v>49</v>
      </c>
      <c r="C3" s="288" t="s">
        <v>202</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- 10Mb'!$A:$Q,4,FALSE)</f>
        <v>0.18818672980027926</v>
      </c>
      <c r="E7" s="297">
        <f>VLOOKUP($C7,'Raw - 10Mb'!$A:$Q,8,FALSE)</f>
        <v>0.6</v>
      </c>
      <c r="F7" s="297">
        <f>VLOOKUP($C7,'Raw - 10Mb'!$A:$Q,12,FALSE)</f>
        <v>0.6</v>
      </c>
      <c r="G7" s="297">
        <f>VLOOKUP($C7,'Raw - 10Mb'!$A:$Q,16,FALSE)</f>
        <v>0.35616058885217355</v>
      </c>
      <c r="H7" s="318">
        <f>VLOOKUP(C7,'Raw - 10Mb'!A:Q,14,FALSE)</f>
        <v>180</v>
      </c>
      <c r="I7" s="299">
        <f t="shared" ref="I7:I14" si="0">SUM(G7-D7)</f>
        <v>0.1679738590518943</v>
      </c>
      <c r="J7" s="300">
        <f>SUM(VLOOKUP(C7,'Raw - 10Mb'!A:Q,14,FALSE)-VLOOKUP(C7,'Raw - 10Mb'!A:Q,2,FALSE))</f>
        <v>87</v>
      </c>
      <c r="K7" s="301">
        <f t="shared" ref="K7:K14" si="1">IF(IF($K$5="LGBF FAMILY GROUP",SUM(G$17-G7),IF($K$5="Glasgow City Region",SUM(G$18-G7),IF($K$5="Scotland",SUM(G$19-G7),IF($K$5="United Kingdom",SUM(G$20-G7),SUM(G$16-G7)))))&gt;0,"",IF($K$5="LGBF FAMILY GROUP",SUM(G$17-G7),IF($K$5="Glasgow City Region",SUM(G$18-G7),IF($K$5="Scotland",SUM(G$19-G7),IF($K$5="United Kingdom",SUM(G$20-G7),SUM(G$16-G7))))))</f>
        <v>-0.22499195053113213</v>
      </c>
      <c r="L7" s="302">
        <f>IF(K7="","",IF($K$5="LGBF FAMILY GROUP",SUM(MROUND(SUM(SUM(VLOOKUP(C$17,'Raw - 10Mb'!A:Q,16,FALSE)*VLOOKUP(C7,'Raw - 10Mb'!A:Q,15,FALSE))/100),100)-MROUND(SUM(SUM(VLOOKUP(C7,'Raw - 10Mb'!A:Q,16,FALSE)*VLOOKUP(C7,'Raw - 10Mb'!A:Q,15,FALSE))/100),100)),IF($K$5="Glasgow City Region",SUM(MROUND(SUM(SUM(VLOOKUP(C$18,'Raw - 10Mb'!A:Q,16,FALSE)*VLOOKUP(C7,'Raw - 10Mb'!A:Q,15,FALSE))/100),100)-MROUND(SUM(SUM(VLOOKUP(C7,'Raw - 10Mb'!A:Q,16,FALSE)*VLOOKUP(C7,'Raw - 10Mb'!A:Q,15,FALSE))/100),100)),IF($K$5="Scotland",SUM(MROUND(SUM(SUM(VLOOKUP(C$19,'Raw - 10Mb'!A:Q,16,FALSE)*VLOOKUP(C7,'Raw - 10Mb'!A:Q,15,FALSE))/100),100)-MROUND(SUM(SUM(VLOOKUP(C7,'Raw - 10Mb'!A:Q,16,FALSE)*VLOOKUP(C7,'Raw - 10Mb'!A:Q,15,FALSE))/100),100)),IF($K$5="United Kingdom",SUM(MROUND(SUM(SUM(VLOOKUP(C$20,'Raw - 10Mb'!A:Q,16,FALSE)*VLOOKUP(C7,'Raw - 10Mb'!A:Q,15,FALSE))/100),100)-MROUND(SUM(SUM(VLOOKUP(C7,'Raw - 10Mb'!A:Q,16,FALSE)*VLOOKUP(C7,'Raw - 10Mb'!A:Q,15,FALSE))/100),100)),SUM(MROUND(SUM(SUM(VLOOKUP(C$16,'Raw - 10Mb'!A:Q,16,FALSE)*VLOOKUP(C7,'Raw - 10Mb'!A:Q,15,FALSE))/100),100)-MROUND(SUM(SUM(VLOOKUP(C7,'Raw - 10Mb'!A:Q,16,FALSE)*VLOOKUP(C7,'Raw - 10Mb'!A:Q,15,FALSE))/100),100)))))))</f>
        <v>-100</v>
      </c>
    </row>
    <row r="8" spans="2:12" ht="19.5" customHeight="1">
      <c r="B8" s="296" t="s">
        <v>249</v>
      </c>
      <c r="C8" s="296" t="s">
        <v>24</v>
      </c>
      <c r="D8" s="297">
        <f>VLOOKUP($C8,'Raw - 10Mb'!$A:$Q,4,FALSE)</f>
        <v>0.23168471368646962</v>
      </c>
      <c r="E8" s="297">
        <f>VLOOKUP($C8,'Raw - 10Mb'!$A:$Q,8,FALSE)</f>
        <v>0.6</v>
      </c>
      <c r="F8" s="297">
        <f>VLOOKUP($C8,'Raw - 10Mb'!$A:$Q,12,FALSE)</f>
        <v>0.6</v>
      </c>
      <c r="G8" s="297">
        <f>VLOOKUP($C8,'Raw - 10Mb'!$A:$Q,16,FALSE)</f>
        <v>0.59791085692678547</v>
      </c>
      <c r="H8" s="318">
        <f>VLOOKUP(C8,'Raw - 10Mb'!A:Q,14,FALSE)</f>
        <v>253</v>
      </c>
      <c r="I8" s="299">
        <f t="shared" si="0"/>
        <v>0.36622614324031588</v>
      </c>
      <c r="J8" s="300">
        <f>SUM(VLOOKUP(C8,'Raw - 10Mb'!A:Q,14,FALSE)-VLOOKUP(C8,'Raw - 10Mb'!A:Q,2,FALSE))</f>
        <v>158</v>
      </c>
      <c r="K8" s="301">
        <f t="shared" si="1"/>
        <v>-0.46674221860574405</v>
      </c>
      <c r="L8" s="302">
        <f>IF(K8="","",IF($K$5="LGBF FAMILY GROUP",SUM(MROUND(SUM(SUM(VLOOKUP(C$17,'Raw - 10Mb'!A:Q,16,FALSE)*VLOOKUP(C8,'Raw - 10Mb'!A:Q,15,FALSE))/100),100)-MROUND(SUM(SUM(VLOOKUP(C8,'Raw - 10Mb'!A:Q,16,FALSE)*VLOOKUP(C8,'Raw - 10Mb'!A:Q,15,FALSE))/100),100)),IF($K$5="Glasgow City Region",SUM(MROUND(SUM(SUM(VLOOKUP(C$18,'Raw - 10Mb'!A:Q,16,FALSE)*VLOOKUP(C8,'Raw - 10Mb'!A:Q,15,FALSE))/100),100)-MROUND(SUM(SUM(VLOOKUP(C8,'Raw - 10Mb'!A:Q,16,FALSE)*VLOOKUP(C8,'Raw - 10Mb'!A:Q,15,FALSE))/100),100)),IF($K$5="Scotland",SUM(MROUND(SUM(SUM(VLOOKUP(C$19,'Raw - 10Mb'!A:Q,16,FALSE)*VLOOKUP(C8,'Raw - 10Mb'!A:Q,15,FALSE))/100),100)-MROUND(SUM(SUM(VLOOKUP(C8,'Raw - 10Mb'!A:Q,16,FALSE)*VLOOKUP(C8,'Raw - 10Mb'!A:Q,15,FALSE))/100),100)),IF($K$5="United Kingdom",SUM(MROUND(SUM(SUM(VLOOKUP(C$20,'Raw - 10Mb'!A:Q,16,FALSE)*VLOOKUP(C8,'Raw - 10Mb'!A:Q,15,FALSE))/100),100)-MROUND(SUM(SUM(VLOOKUP(C8,'Raw - 10Mb'!A:Q,16,FALSE)*VLOOKUP(C8,'Raw - 10Mb'!A:Q,15,FALSE))/100),100)),SUM(MROUND(SUM(SUM(VLOOKUP(C$16,'Raw - 10Mb'!A:Q,16,FALSE)*VLOOKUP(C8,'Raw - 10Mb'!A:Q,15,FALSE))/100),100)-MROUND(SUM(SUM(VLOOKUP(C8,'Raw - 10Mb'!A:Q,16,FALSE)*VLOOKUP(C8,'Raw - 10Mb'!A:Q,15,FALSE))/100),100)))))))</f>
        <v>-200</v>
      </c>
    </row>
    <row r="9" spans="2:12" ht="19.5" customHeight="1">
      <c r="B9" s="296" t="s">
        <v>249</v>
      </c>
      <c r="C9" s="296" t="s">
        <v>27</v>
      </c>
      <c r="D9" s="297">
        <f>VLOOKUP($C9,'Raw - 10Mb'!$A:$Q,4,FALSE)</f>
        <v>5.6670573953607681E-2</v>
      </c>
      <c r="E9" s="297">
        <f>VLOOKUP($C9,'Raw - 10Mb'!$A:$Q,8,FALSE)</f>
        <v>0.2</v>
      </c>
      <c r="F9" s="297">
        <f>VLOOKUP($C9,'Raw - 10Mb'!$A:$Q,12,FALSE)</f>
        <v>0.2</v>
      </c>
      <c r="G9" s="297">
        <f>VLOOKUP($C9,'Raw - 10Mb'!$A:$Q,16,FALSE)</f>
        <v>0.19726294006782563</v>
      </c>
      <c r="H9" s="318">
        <f>VLOOKUP(C9,'Raw - 10Mb'!A:Q,14,FALSE)</f>
        <v>673</v>
      </c>
      <c r="I9" s="299">
        <f t="shared" si="0"/>
        <v>0.14059236611421794</v>
      </c>
      <c r="J9" s="300">
        <f>SUM(VLOOKUP(C9,'Raw - 10Mb'!A:Q,14,FALSE)-VLOOKUP(C9,'Raw - 10Mb'!A:Q,2,FALSE))</f>
        <v>483</v>
      </c>
      <c r="K9" s="301">
        <f t="shared" si="1"/>
        <v>-6.6094301746784212E-2</v>
      </c>
      <c r="L9" s="302">
        <f>IF(K9="","",IF($K$5="LGBF FAMILY GROUP",SUM(MROUND(SUM(SUM(VLOOKUP(C$17,'Raw - 10Mb'!A:Q,16,FALSE)*VLOOKUP(C9,'Raw - 10Mb'!A:Q,15,FALSE))/100),100)-MROUND(SUM(SUM(VLOOKUP(C9,'Raw - 10Mb'!A:Q,16,FALSE)*VLOOKUP(C9,'Raw - 10Mb'!A:Q,15,FALSE))/100),100)),IF($K$5="Glasgow City Region",SUM(MROUND(SUM(SUM(VLOOKUP(C$18,'Raw - 10Mb'!A:Q,16,FALSE)*VLOOKUP(C9,'Raw - 10Mb'!A:Q,15,FALSE))/100),100)-MROUND(SUM(SUM(VLOOKUP(C9,'Raw - 10Mb'!A:Q,16,FALSE)*VLOOKUP(C9,'Raw - 10Mb'!A:Q,15,FALSE))/100),100)),IF($K$5="Scotland",SUM(MROUND(SUM(SUM(VLOOKUP(C$19,'Raw - 10Mb'!A:Q,16,FALSE)*VLOOKUP(C9,'Raw - 10Mb'!A:Q,15,FALSE))/100),100)-MROUND(SUM(SUM(VLOOKUP(C9,'Raw - 10Mb'!A:Q,16,FALSE)*VLOOKUP(C9,'Raw - 10Mb'!A:Q,15,FALSE))/100),100)),IF($K$5="United Kingdom",SUM(MROUND(SUM(SUM(VLOOKUP(C$20,'Raw - 10Mb'!A:Q,16,FALSE)*VLOOKUP(C9,'Raw - 10Mb'!A:Q,15,FALSE))/100),100)-MROUND(SUM(SUM(VLOOKUP(C9,'Raw - 10Mb'!A:Q,16,FALSE)*VLOOKUP(C9,'Raw - 10Mb'!A:Q,15,FALSE))/100),100)),SUM(MROUND(SUM(SUM(VLOOKUP(C$16,'Raw - 10Mb'!A:Q,16,FALSE)*VLOOKUP(C9,'Raw - 10Mb'!A:Q,15,FALSE))/100),100)-MROUND(SUM(SUM(VLOOKUP(C9,'Raw - 10Mb'!A:Q,16,FALSE)*VLOOKUP(C9,'Raw - 10Mb'!A:Q,15,FALSE))/100),100)))))))</f>
        <v>-300</v>
      </c>
    </row>
    <row r="10" spans="2:12" ht="19.5" customHeight="1">
      <c r="B10" s="296" t="s">
        <v>249</v>
      </c>
      <c r="C10" s="296" t="s">
        <v>29</v>
      </c>
      <c r="D10" s="297">
        <f>VLOOKUP($C10,'Raw - 10Mb'!$A:$Q,4,FALSE)</f>
        <v>0.29039322098448062</v>
      </c>
      <c r="E10" s="297">
        <f>VLOOKUP($C10,'Raw - 10Mb'!$A:$Q,8,FALSE)</f>
        <v>0.7</v>
      </c>
      <c r="F10" s="297">
        <f>VLOOKUP($C10,'Raw - 10Mb'!$A:$Q,12,FALSE)</f>
        <v>0.7</v>
      </c>
      <c r="G10" s="297">
        <f>VLOOKUP($C10,'Raw - 10Mb'!$A:$Q,16,FALSE)</f>
        <v>0.67125197948427051</v>
      </c>
      <c r="H10" s="318">
        <f>VLOOKUP(C10,'Raw - 10Mb'!A:Q,14,FALSE)</f>
        <v>284</v>
      </c>
      <c r="I10" s="299">
        <f t="shared" si="0"/>
        <v>0.3808587584997899</v>
      </c>
      <c r="J10" s="300">
        <f>SUM(VLOOKUP(C10,'Raw - 10Mb'!A:Q,14,FALSE)-VLOOKUP(C10,'Raw - 10Mb'!A:Q,2,FALSE))</f>
        <v>162</v>
      </c>
      <c r="K10" s="301">
        <f t="shared" si="1"/>
        <v>-0.54008334116322909</v>
      </c>
      <c r="L10" s="302">
        <f>IF(K10="","",IF($K$5="LGBF FAMILY GROUP",SUM(MROUND(SUM(SUM(VLOOKUP(C$17,'Raw - 10Mb'!A:Q,16,FALSE)*VLOOKUP(C10,'Raw - 10Mb'!A:Q,15,FALSE))/100),100)-MROUND(SUM(SUM(VLOOKUP(C10,'Raw - 10Mb'!A:Q,16,FALSE)*VLOOKUP(C10,'Raw - 10Mb'!A:Q,15,FALSE))/100),100)),IF($K$5="Glasgow City Region",SUM(MROUND(SUM(SUM(VLOOKUP(C$18,'Raw - 10Mb'!A:Q,16,FALSE)*VLOOKUP(C10,'Raw - 10Mb'!A:Q,15,FALSE))/100),100)-MROUND(SUM(SUM(VLOOKUP(C10,'Raw - 10Mb'!A:Q,16,FALSE)*VLOOKUP(C10,'Raw - 10Mb'!A:Q,15,FALSE))/100),100)),IF($K$5="Scotland",SUM(MROUND(SUM(SUM(VLOOKUP(C$19,'Raw - 10Mb'!A:Q,16,FALSE)*VLOOKUP(C10,'Raw - 10Mb'!A:Q,15,FALSE))/100),100)-MROUND(SUM(SUM(VLOOKUP(C10,'Raw - 10Mb'!A:Q,16,FALSE)*VLOOKUP(C10,'Raw - 10Mb'!A:Q,15,FALSE))/100),100)),IF($K$5="United Kingdom",SUM(MROUND(SUM(SUM(VLOOKUP(C$20,'Raw - 10Mb'!A:Q,16,FALSE)*VLOOKUP(C10,'Raw - 10Mb'!A:Q,15,FALSE))/100),100)-MROUND(SUM(SUM(VLOOKUP(C10,'Raw - 10Mb'!A:Q,16,FALSE)*VLOOKUP(C10,'Raw - 10Mb'!A:Q,15,FALSE))/100),100)),SUM(MROUND(SUM(SUM(VLOOKUP(C$16,'Raw - 10Mb'!A:Q,16,FALSE)*VLOOKUP(C10,'Raw - 10Mb'!A:Q,15,FALSE))/100),100)-MROUND(SUM(SUM(VLOOKUP(C10,'Raw - 10Mb'!A:Q,16,FALSE)*VLOOKUP(C10,'Raw - 10Mb'!A:Q,15,FALSE))/100),100)))))))</f>
        <v>-200</v>
      </c>
    </row>
    <row r="11" spans="2:12" ht="19.5" customHeight="1">
      <c r="B11" s="296" t="s">
        <v>249</v>
      </c>
      <c r="C11" s="296" t="s">
        <v>34</v>
      </c>
      <c r="D11" s="297">
        <f>VLOOKUP($C11,'Raw - 10Mb'!$A:$Q,4,FALSE)</f>
        <v>0.31585137404441316</v>
      </c>
      <c r="E11" s="297">
        <f>VLOOKUP($C11,'Raw - 10Mb'!$A:$Q,8,FALSE)</f>
        <v>0.6</v>
      </c>
      <c r="F11" s="297">
        <f>VLOOKUP($C11,'Raw - 10Mb'!$A:$Q,12,FALSE)</f>
        <v>0.5</v>
      </c>
      <c r="G11" s="297">
        <f>VLOOKUP($C11,'Raw - 10Mb'!$A:$Q,16,FALSE)</f>
        <v>0.51740497830718457</v>
      </c>
      <c r="H11" s="318">
        <f>VLOOKUP(C11,'Raw - 10Mb'!A:Q,14,FALSE)</f>
        <v>867</v>
      </c>
      <c r="I11" s="299">
        <f t="shared" si="0"/>
        <v>0.20155360426277141</v>
      </c>
      <c r="J11" s="300">
        <f>SUM(VLOOKUP(C11,'Raw - 10Mb'!A:Q,14,FALSE)-VLOOKUP(C11,'Raw - 10Mb'!A:Q,2,FALSE))</f>
        <v>346</v>
      </c>
      <c r="K11" s="301">
        <f t="shared" si="1"/>
        <v>-0.38623633998614315</v>
      </c>
      <c r="L11" s="302">
        <f>IF(K11="","",IF($K$5="LGBF FAMILY GROUP",SUM(MROUND(SUM(SUM(VLOOKUP(C$17,'Raw - 10Mb'!A:Q,16,FALSE)*VLOOKUP(C11,'Raw - 10Mb'!A:Q,15,FALSE))/100),100)-MROUND(SUM(SUM(VLOOKUP(C11,'Raw - 10Mb'!A:Q,16,FALSE)*VLOOKUP(C11,'Raw - 10Mb'!A:Q,15,FALSE))/100),100)),IF($K$5="Glasgow City Region",SUM(MROUND(SUM(SUM(VLOOKUP(C$18,'Raw - 10Mb'!A:Q,16,FALSE)*VLOOKUP(C11,'Raw - 10Mb'!A:Q,15,FALSE))/100),100)-MROUND(SUM(SUM(VLOOKUP(C11,'Raw - 10Mb'!A:Q,16,FALSE)*VLOOKUP(C11,'Raw - 10Mb'!A:Q,15,FALSE))/100),100)),IF($K$5="Scotland",SUM(MROUND(SUM(SUM(VLOOKUP(C$19,'Raw - 10Mb'!A:Q,16,FALSE)*VLOOKUP(C11,'Raw - 10Mb'!A:Q,15,FALSE))/100),100)-MROUND(SUM(SUM(VLOOKUP(C11,'Raw - 10Mb'!A:Q,16,FALSE)*VLOOKUP(C11,'Raw - 10Mb'!A:Q,15,FALSE))/100),100)),IF($K$5="United Kingdom",SUM(MROUND(SUM(SUM(VLOOKUP(C$20,'Raw - 10Mb'!A:Q,16,FALSE)*VLOOKUP(C11,'Raw - 10Mb'!A:Q,15,FALSE))/100),100)-MROUND(SUM(SUM(VLOOKUP(C11,'Raw - 10Mb'!A:Q,16,FALSE)*VLOOKUP(C11,'Raw - 10Mb'!A:Q,15,FALSE))/100),100)),SUM(MROUND(SUM(SUM(VLOOKUP(C$16,'Raw - 10Mb'!A:Q,16,FALSE)*VLOOKUP(C11,'Raw - 10Mb'!A:Q,15,FALSE))/100),100)-MROUND(SUM(SUM(VLOOKUP(C11,'Raw - 10Mb'!A:Q,16,FALSE)*VLOOKUP(C11,'Raw - 10Mb'!A:Q,15,FALSE))/100),100)))))))</f>
        <v>-700</v>
      </c>
    </row>
    <row r="12" spans="2:12" ht="19.5" customHeight="1">
      <c r="B12" s="296" t="s">
        <v>249</v>
      </c>
      <c r="C12" s="296" t="s">
        <v>37</v>
      </c>
      <c r="D12" s="297">
        <f>VLOOKUP($C12,'Raw - 10Mb'!$A:$Q,4,FALSE)</f>
        <v>0.28306769331516629</v>
      </c>
      <c r="E12" s="297">
        <f>VLOOKUP($C12,'Raw - 10Mb'!$A:$Q,8,FALSE)</f>
        <v>0.7</v>
      </c>
      <c r="F12" s="297">
        <f>VLOOKUP($C12,'Raw - 10Mb'!$A:$Q,12,FALSE)</f>
        <v>0.7</v>
      </c>
      <c r="G12" s="297">
        <f>VLOOKUP($C12,'Raw - 10Mb'!$A:$Q,16,FALSE)</f>
        <v>0.6767009801911168</v>
      </c>
      <c r="H12" s="318">
        <f>VLOOKUP(C12,'Raw - 10Mb'!A:Q,14,FALSE)</f>
        <v>660</v>
      </c>
      <c r="I12" s="299">
        <f t="shared" si="0"/>
        <v>0.39363328687595051</v>
      </c>
      <c r="J12" s="300">
        <f>SUM(VLOOKUP(C12,'Raw - 10Mb'!A:Q,14,FALSE)-VLOOKUP(C12,'Raw - 10Mb'!A:Q,2,FALSE))</f>
        <v>392</v>
      </c>
      <c r="K12" s="301">
        <f t="shared" si="1"/>
        <v>-0.54553234187007538</v>
      </c>
      <c r="L12" s="302">
        <f>IF(K12="","",IF($K$5="LGBF FAMILY GROUP",SUM(MROUND(SUM(SUM(VLOOKUP(C$17,'Raw - 10Mb'!A:Q,16,FALSE)*VLOOKUP(C12,'Raw - 10Mb'!A:Q,15,FALSE))/100),100)-MROUND(SUM(SUM(VLOOKUP(C12,'Raw - 10Mb'!A:Q,16,FALSE)*VLOOKUP(C12,'Raw - 10Mb'!A:Q,15,FALSE))/100),100)),IF($K$5="Glasgow City Region",SUM(MROUND(SUM(SUM(VLOOKUP(C$18,'Raw - 10Mb'!A:Q,16,FALSE)*VLOOKUP(C12,'Raw - 10Mb'!A:Q,15,FALSE))/100),100)-MROUND(SUM(SUM(VLOOKUP(C12,'Raw - 10Mb'!A:Q,16,FALSE)*VLOOKUP(C12,'Raw - 10Mb'!A:Q,15,FALSE))/100),100)),IF($K$5="Scotland",SUM(MROUND(SUM(SUM(VLOOKUP(C$19,'Raw - 10Mb'!A:Q,16,FALSE)*VLOOKUP(C12,'Raw - 10Mb'!A:Q,15,FALSE))/100),100)-MROUND(SUM(SUM(VLOOKUP(C12,'Raw - 10Mb'!A:Q,16,FALSE)*VLOOKUP(C12,'Raw - 10Mb'!A:Q,15,FALSE))/100),100)),IF($K$5="United Kingdom",SUM(MROUND(SUM(SUM(VLOOKUP(C$20,'Raw - 10Mb'!A:Q,16,FALSE)*VLOOKUP(C12,'Raw - 10Mb'!A:Q,15,FALSE))/100),100)-MROUND(SUM(SUM(VLOOKUP(C12,'Raw - 10Mb'!A:Q,16,FALSE)*VLOOKUP(C12,'Raw - 10Mb'!A:Q,15,FALSE))/100),100)),SUM(MROUND(SUM(SUM(VLOOKUP(C$16,'Raw - 10Mb'!A:Q,16,FALSE)*VLOOKUP(C12,'Raw - 10Mb'!A:Q,15,FALSE))/100),100)-MROUND(SUM(SUM(VLOOKUP(C12,'Raw - 10Mb'!A:Q,16,FALSE)*VLOOKUP(C12,'Raw - 10Mb'!A:Q,15,FALSE))/100),100)))))))</f>
        <v>-600</v>
      </c>
    </row>
    <row r="13" spans="2:12" ht="19.5" customHeight="1">
      <c r="B13" s="296" t="s">
        <v>249</v>
      </c>
      <c r="C13" s="296" t="s">
        <v>41</v>
      </c>
      <c r="D13" s="297">
        <f>VLOOKUP($C13,'Raw - 10Mb'!$A:$Q,4,FALSE)</f>
        <v>1.0816731703977545</v>
      </c>
      <c r="E13" s="297">
        <f>VLOOKUP($C13,'Raw - 10Mb'!$A:$Q,8,FALSE)</f>
        <v>1.7</v>
      </c>
      <c r="F13" s="297">
        <f>VLOOKUP($C13,'Raw - 10Mb'!$A:$Q,12,FALSE)</f>
        <v>1.4</v>
      </c>
      <c r="G13" s="297">
        <f>VLOOKUP($C13,'Raw - 10Mb'!$A:$Q,16,FALSE)</f>
        <v>1.1309099261372566</v>
      </c>
      <c r="H13" s="318">
        <f>VLOOKUP(C13,'Raw - 10Mb'!A:Q,14,FALSE)</f>
        <v>1871</v>
      </c>
      <c r="I13" s="299">
        <f t="shared" si="0"/>
        <v>4.9236755739502147E-2</v>
      </c>
      <c r="J13" s="300">
        <f>SUM(VLOOKUP(C13,'Raw - 10Mb'!A:Q,14,FALSE)-VLOOKUP(C13,'Raw - 10Mb'!A:Q,2,FALSE))</f>
        <v>133</v>
      </c>
      <c r="K13" s="301">
        <f t="shared" si="1"/>
        <v>-0.99974128781621519</v>
      </c>
      <c r="L13" s="302">
        <f>IF(K13="","",IF($K$5="LGBF FAMILY GROUP",SUM(MROUND(SUM(SUM(VLOOKUP(C$17,'Raw - 10Mb'!A:Q,16,FALSE)*VLOOKUP(C13,'Raw - 10Mb'!A:Q,15,FALSE))/100),100)-MROUND(SUM(SUM(VLOOKUP(C13,'Raw - 10Mb'!A:Q,16,FALSE)*VLOOKUP(C13,'Raw - 10Mb'!A:Q,15,FALSE))/100),100)),IF($K$5="Glasgow City Region",SUM(MROUND(SUM(SUM(VLOOKUP(C$18,'Raw - 10Mb'!A:Q,16,FALSE)*VLOOKUP(C13,'Raw - 10Mb'!A:Q,15,FALSE))/100),100)-MROUND(SUM(SUM(VLOOKUP(C13,'Raw - 10Mb'!A:Q,16,FALSE)*VLOOKUP(C13,'Raw - 10Mb'!A:Q,15,FALSE))/100),100)),IF($K$5="Scotland",SUM(MROUND(SUM(SUM(VLOOKUP(C$19,'Raw - 10Mb'!A:Q,16,FALSE)*VLOOKUP(C13,'Raw - 10Mb'!A:Q,15,FALSE))/100),100)-MROUND(SUM(SUM(VLOOKUP(C13,'Raw - 10Mb'!A:Q,16,FALSE)*VLOOKUP(C13,'Raw - 10Mb'!A:Q,15,FALSE))/100),100)),IF($K$5="United Kingdom",SUM(MROUND(SUM(SUM(VLOOKUP(C$20,'Raw - 10Mb'!A:Q,16,FALSE)*VLOOKUP(C13,'Raw - 10Mb'!A:Q,15,FALSE))/100),100)-MROUND(SUM(SUM(VLOOKUP(C13,'Raw - 10Mb'!A:Q,16,FALSE)*VLOOKUP(C13,'Raw - 10Mb'!A:Q,15,FALSE))/100),100)),SUM(MROUND(SUM(SUM(VLOOKUP(C$16,'Raw - 10Mb'!A:Q,16,FALSE)*VLOOKUP(C13,'Raw - 10Mb'!A:Q,15,FALSE))/100),100)-MROUND(SUM(SUM(VLOOKUP(C13,'Raw - 10Mb'!A:Q,16,FALSE)*VLOOKUP(C13,'Raw - 10Mb'!A:Q,15,FALSE))/100),100)))))))</f>
        <v>-1700</v>
      </c>
    </row>
    <row r="14" spans="2:12" ht="19.5" customHeight="1">
      <c r="B14" s="296" t="s">
        <v>249</v>
      </c>
      <c r="C14" s="296" t="s">
        <v>43</v>
      </c>
      <c r="D14" s="297">
        <f>VLOOKUP($C14,'Raw - 10Mb'!$A:$Q,4,FALSE)</f>
        <v>0.20189998512315901</v>
      </c>
      <c r="E14" s="297">
        <f>VLOOKUP($C14,'Raw - 10Mb'!$A:$Q,8,FALSE)</f>
        <v>0.5</v>
      </c>
      <c r="F14" s="297">
        <f>VLOOKUP($C14,'Raw - 10Mb'!$A:$Q,12,FALSE)</f>
        <v>0.3</v>
      </c>
      <c r="G14" s="297">
        <f>VLOOKUP($C14,'Raw - 10Mb'!$A:$Q,16,FALSE)</f>
        <v>0.1801391419579261</v>
      </c>
      <c r="H14" s="318">
        <f>VLOOKUP(C14,'Raw - 10Mb'!A:Q,14,FALSE)</f>
        <v>87</v>
      </c>
      <c r="I14" s="299">
        <f t="shared" si="0"/>
        <v>-2.1760843165232913E-2</v>
      </c>
      <c r="J14" s="300">
        <f>SUM(VLOOKUP(C14,'Raw - 10Mb'!A:Q,14,FALSE)-VLOOKUP(C14,'Raw - 10Mb'!A:Q,2,FALSE))</f>
        <v>-8</v>
      </c>
      <c r="K14" s="301">
        <f t="shared" si="1"/>
        <v>-4.8970503636884682E-2</v>
      </c>
      <c r="L14" s="302">
        <f>IF(K14="","",IF($K$5="LGBF FAMILY GROUP",SUM(MROUND(SUM(SUM(VLOOKUP(C$17,'Raw - 10Mb'!A:Q,16,FALSE)*VLOOKUP(C14,'Raw - 10Mb'!A:Q,15,FALSE))/100),100)-MROUND(SUM(SUM(VLOOKUP(C14,'Raw - 10Mb'!A:Q,16,FALSE)*VLOOKUP(C14,'Raw - 10Mb'!A:Q,15,FALSE))/100),100)),IF($K$5="Glasgow City Region",SUM(MROUND(SUM(SUM(VLOOKUP(C$18,'Raw - 10Mb'!A:Q,16,FALSE)*VLOOKUP(C14,'Raw - 10Mb'!A:Q,15,FALSE))/100),100)-MROUND(SUM(SUM(VLOOKUP(C14,'Raw - 10Mb'!A:Q,16,FALSE)*VLOOKUP(C14,'Raw - 10Mb'!A:Q,15,FALSE))/100),100)),IF($K$5="Scotland",SUM(MROUND(SUM(SUM(VLOOKUP(C$19,'Raw - 10Mb'!A:Q,16,FALSE)*VLOOKUP(C14,'Raw - 10Mb'!A:Q,15,FALSE))/100),100)-MROUND(SUM(SUM(VLOOKUP(C14,'Raw - 10Mb'!A:Q,16,FALSE)*VLOOKUP(C14,'Raw - 10Mb'!A:Q,15,FALSE))/100),100)),IF($K$5="United Kingdom",SUM(MROUND(SUM(SUM(VLOOKUP(C$20,'Raw - 10Mb'!A:Q,16,FALSE)*VLOOKUP(C14,'Raw - 10Mb'!A:Q,15,FALSE))/100),100)-MROUND(SUM(SUM(VLOOKUP(C14,'Raw - 10Mb'!A:Q,16,FALSE)*VLOOKUP(C14,'Raw - 10Mb'!A:Q,15,FALSE))/100),100)),SUM(MROUND(SUM(SUM(VLOOKUP(C$16,'Raw - 10Mb'!A:Q,16,FALSE)*VLOOKUP(C14,'Raw - 10Mb'!A:Q,15,FALSE))/100),100)-MROUND(SUM(SUM(VLOOKUP(C14,'Raw - 10Mb'!A:Q,16,FALSE)*VLOOKUP(C14,'Raw - 10Mb'!A:Q,15,FALSE))/100),100)))))))</f>
        <v>0</v>
      </c>
    </row>
    <row r="15" spans="2:12" ht="19.5" customHeight="1">
      <c r="B15" s="303"/>
      <c r="C15" s="303"/>
      <c r="D15" s="304"/>
      <c r="E15" s="304"/>
      <c r="F15" s="304"/>
      <c r="G15" s="304"/>
      <c r="H15" s="304"/>
      <c r="I15" s="306"/>
      <c r="J15" s="306"/>
      <c r="K15" s="306"/>
      <c r="L15" s="306"/>
    </row>
    <row r="16" spans="2:12" ht="19.5" customHeight="1">
      <c r="B16" s="307" t="s">
        <v>51</v>
      </c>
      <c r="C16" s="296" t="str">
        <f>INDEX('Raw - 10Mb'!$A$9:$A$40,MATCH(MIN('Raw - 10Mb'!P9:P40),'Raw - 10Mb'!P9:P40,0))</f>
        <v>dundee city</v>
      </c>
      <c r="D16" s="297">
        <f>VLOOKUP($C16,'Raw - 10Mb'!$A:$Q,4,FALSE)</f>
        <v>2.0151641099272023E-2</v>
      </c>
      <c r="E16" s="297">
        <f>VLOOKUP($C16,'Raw - 10Mb'!$A:$Q,8,FALSE)</f>
        <v>0.2</v>
      </c>
      <c r="F16" s="297">
        <f>VLOOKUP($C16,'Raw - 10Mb'!$A:$Q,12,FALSE)</f>
        <v>0.1</v>
      </c>
      <c r="G16" s="297">
        <f>VLOOKUP($C16,'Raw - 10Mb'!$A:$Q,16,FALSE)</f>
        <v>0.13116863832104142</v>
      </c>
      <c r="H16" s="318">
        <f>VLOOKUP(C16,'Raw - 10Mb'!A:Q,14,FALSE)</f>
        <v>106</v>
      </c>
      <c r="I16" s="299">
        <f>SUM(G16-D16)</f>
        <v>0.1110169972217694</v>
      </c>
      <c r="J16" s="300">
        <f>SUM(VLOOKUP(C16,'Raw - 10Mb'!A:Q,14,FALSE)-VLOOKUP(C16,'Raw - 10Mb'!A:Q,2,FALSE))</f>
        <v>90</v>
      </c>
    </row>
    <row r="17" spans="2:12" ht="19.5" customHeight="1">
      <c r="B17" s="307" t="s">
        <v>542</v>
      </c>
      <c r="C17" s="308" t="s">
        <v>546</v>
      </c>
      <c r="D17" s="297">
        <f>VLOOKUP($C17,'Raw - 10Mb'!$A:$Q,4,FALSE)</f>
        <v>0.16788079412171886</v>
      </c>
      <c r="E17" s="297">
        <f>VLOOKUP($C17,'Raw - 10Mb'!$A:$Q,8,FALSE)</f>
        <v>0.40041034651968099</v>
      </c>
      <c r="F17" s="297">
        <f>VLOOKUP($C17,'Raw - 10Mb'!$A:$Q,12,FALSE)</f>
        <v>0.36330888182454951</v>
      </c>
      <c r="G17" s="297">
        <f>VLOOKUP($C17,'Raw - 10Mb'!$A:$Q,16,FALSE)</f>
        <v>0.34844981889276055</v>
      </c>
      <c r="H17" s="318">
        <f>VLOOKUP(C17,'Raw - 10Mb'!A:Q,14,FALSE)</f>
        <v>4101</v>
      </c>
      <c r="I17" s="299">
        <f>SUM(G17-D17)</f>
        <v>0.1805690247710417</v>
      </c>
      <c r="J17" s="300">
        <f>SUM(VLOOKUP(C17,'Raw - 10Mb'!A:Q,14,FALSE)-VLOOKUP(C17,'Raw - 10Mb'!A:Q,2,FALSE))</f>
        <v>2185</v>
      </c>
    </row>
    <row r="18" spans="2:12" ht="19.5" customHeight="1">
      <c r="B18" s="307" t="s">
        <v>250</v>
      </c>
      <c r="C18" s="296" t="s">
        <v>47</v>
      </c>
      <c r="D18" s="297">
        <f>VLOOKUP($C18,'Raw - 10Mb'!$A:$Q,4,FALSE)</f>
        <v>0.33388088943644501</v>
      </c>
      <c r="E18" s="297">
        <f>VLOOKUP($C18,'Raw - 10Mb'!$A:$Q,8,FALSE)</f>
        <v>0.6534910713334966</v>
      </c>
      <c r="F18" s="297">
        <f>VLOOKUP($C18,'Raw - 10Mb'!$A:$Q,12,FALSE)</f>
        <v>0.56458345631329954</v>
      </c>
      <c r="G18" s="297">
        <f>VLOOKUP($C18,'Raw - 10Mb'!$A:$Q,16,FALSE)</f>
        <v>0.51038141981305907</v>
      </c>
      <c r="H18" s="318">
        <f>VLOOKUP(C18,'Raw - 10Mb'!A:Q,14,FALSE)</f>
        <v>4875</v>
      </c>
      <c r="I18" s="299">
        <f>SUM(G18-D18)</f>
        <v>0.17650053037661406</v>
      </c>
      <c r="J18" s="300">
        <f>SUM(VLOOKUP(C18,'Raw - 10Mb'!A:Q,14,FALSE)-VLOOKUP(C18,'Raw - 10Mb'!A:Q,2,FALSE))</f>
        <v>1753</v>
      </c>
    </row>
    <row r="19" spans="2:12" ht="19.5" customHeight="1">
      <c r="B19" s="307" t="s">
        <v>251</v>
      </c>
      <c r="C19" s="296" t="s">
        <v>45</v>
      </c>
      <c r="D19" s="297">
        <f>VLOOKUP($C19,'Raw - 10Mb'!$A:$Q,4,FALSE)</f>
        <v>1.4678391770173265</v>
      </c>
      <c r="E19" s="297">
        <f>VLOOKUP($C19,'Raw - 10Mb'!$A:$Q,8,FALSE)</f>
        <v>2.5494433902638876</v>
      </c>
      <c r="F19" s="297">
        <f>VLOOKUP($C19,'Raw - 10Mb'!$A:$Q,12,FALSE)</f>
        <v>2.2195342268003229</v>
      </c>
      <c r="G19" s="297">
        <f>VLOOKUP($C19,'Raw - 10Mb'!$A:$Q,16,FALSE)</f>
        <v>1.9962149234637843</v>
      </c>
      <c r="H19" s="318">
        <f>VLOOKUP(C19,'Raw - 10Mb'!A:Q,14,FALSE)</f>
        <v>56800</v>
      </c>
      <c r="I19" s="299">
        <f>SUM(G19-D19)</f>
        <v>0.52837574644645779</v>
      </c>
      <c r="J19" s="300">
        <f>SUM(VLOOKUP(C19,'Raw - 10Mb'!A:Q,14,FALSE)-VLOOKUP(C19,'Raw - 10Mb'!A:Q,2,FALSE))</f>
        <v>16346</v>
      </c>
    </row>
    <row r="20" spans="2:12" ht="19.5" customHeight="1">
      <c r="B20" s="307" t="s">
        <v>251</v>
      </c>
      <c r="C20" s="296" t="s">
        <v>46</v>
      </c>
      <c r="D20" s="297">
        <f>VLOOKUP($C20,'Raw - 10Mb'!$A:$Q,4,FALSE)</f>
        <v>1.4393834180766987</v>
      </c>
      <c r="E20" s="297">
        <f>VLOOKUP($C20,'Raw - 10Mb'!$A:$Q,8,FALSE)</f>
        <v>1.3199121597734387</v>
      </c>
      <c r="F20" s="297">
        <f>VLOOKUP($C20,'Raw - 10Mb'!$A:$Q,12,FALSE)</f>
        <v>1.075487902752376</v>
      </c>
      <c r="G20" s="297">
        <f>VLOOKUP($C20,'Raw - 10Mb'!$A:$Q,16,FALSE)</f>
        <v>0.96442335420487291</v>
      </c>
      <c r="H20" s="318">
        <f>VLOOKUP(C20,'Raw - 10Mb'!A:Q,14,FALSE)</f>
        <v>308049</v>
      </c>
      <c r="I20" s="299">
        <f>SUM(G20-D20)</f>
        <v>-0.47496006387182577</v>
      </c>
      <c r="J20" s="300">
        <f>SUM(VLOOKUP(C20,'Raw - 10Mb'!A:Q,14,FALSE)-VLOOKUP(C20,'Raw - 10Mb'!A:Q,2,FALSE))</f>
        <v>-139681</v>
      </c>
    </row>
    <row r="21" spans="2:12" ht="19.5" customHeight="1">
      <c r="C21" s="309"/>
      <c r="D21" s="310"/>
      <c r="E21" s="310"/>
      <c r="F21" s="310"/>
      <c r="G21" s="310"/>
      <c r="H21" s="310"/>
      <c r="I21" s="310"/>
      <c r="J21" s="310"/>
      <c r="K21" s="310"/>
      <c r="L21" s="310"/>
    </row>
    <row r="22" spans="2:12">
      <c r="D22" s="311"/>
      <c r="E22" s="311"/>
      <c r="F22" s="311"/>
      <c r="G22" s="312" t="str">
        <f>CONCATENATE(H22,I22)</f>
        <v>Volume Change Required to match Geographic Area - Top Performing Scottish Local Authority</v>
      </c>
      <c r="H22" s="312" t="s">
        <v>519</v>
      </c>
      <c r="I22" s="312" t="str">
        <f>K5</f>
        <v>Top Performing Scottish Local Authority</v>
      </c>
    </row>
    <row r="23" spans="2:12">
      <c r="B23" s="313" t="s">
        <v>467</v>
      </c>
    </row>
    <row r="24" spans="2:12">
      <c r="I24" s="314"/>
      <c r="J24" s="314"/>
      <c r="K24" s="314"/>
      <c r="L24" s="311"/>
    </row>
  </sheetData>
  <sheetProtection algorithmName="SHA-512" hashValue="q9A8L4n5W+1/iXT//ScNWdM3JcyAuvTDAenA3JrfkzfcQda/KhXtFLc5qi5/AMLcU5poxFsUMuj/Q/GYcaK+eQ==" saltValue="u4nM2ogK3qDyNwC13ZZ3kw==" spinCount="100000" sheet="1" objects="1" scenarios="1"/>
  <autoFilter ref="C6:L14" xr:uid="{00000000-0009-0000-0000-00001C000000}"/>
  <mergeCells count="4">
    <mergeCell ref="K4:L4"/>
    <mergeCell ref="I5:J5"/>
    <mergeCell ref="K5:L5"/>
    <mergeCell ref="G2:H2"/>
  </mergeCells>
  <dataValidations count="1">
    <dataValidation type="list" allowBlank="1" showInputMessage="1" showErrorMessage="1" sqref="C17" xr:uid="{00000000-0002-0000-1C00-000000000000}">
      <formula1>IF(B17="LGBF Family Group 1",LGBF_5,IF(B17="LGBF Family Group 3",LGBF_7,IF(B17="LGBF Family Group 4",LGBF_8,LGBF_6)))</formula1>
    </dataValidation>
  </dataValidations>
  <hyperlinks>
    <hyperlink ref="C3" r:id="rId1" xr:uid="{00000000-0004-0000-1C00-000000000000}"/>
    <hyperlink ref="G2:H2" location="'Index RAG'!A1" display="Return to Index RAG" xr:uid="{00000000-0004-0000-1C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1000000}">
          <x14:formula1>
            <xm:f>Lookups!$B$3:$B$7</xm:f>
          </x14:formula1>
          <xm:sqref>K5:L5</xm:sqref>
        </x14:dataValidation>
        <x14:dataValidation type="list" allowBlank="1" showInputMessage="1" showErrorMessage="1" xr:uid="{00000000-0002-0000-1C00-000002000000}">
          <x14:formula1>
            <xm:f>Lookups!$L$8:$O$8</xm:f>
          </x14:formula1>
          <xm:sqref>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C1849-D460-47A5-A221-292A6E5598CE}">
  <sheetPr>
    <tabColor theme="7" tint="0.79998168889431442"/>
    <pageSetUpPr autoPageBreaks="0" fitToPage="1"/>
  </sheetPr>
  <dimension ref="A1:AN113"/>
  <sheetViews>
    <sheetView zoomScale="90" zoomScaleNormal="90" workbookViewId="0">
      <selection activeCell="C8" sqref="C8:C11"/>
    </sheetView>
  </sheetViews>
  <sheetFormatPr defaultColWidth="8.7265625" defaultRowHeight="12"/>
  <cols>
    <col min="1" max="1" width="9" style="248" customWidth="1"/>
    <col min="2" max="2" width="6.26953125" style="248" customWidth="1"/>
    <col min="3" max="3" width="6.26953125" style="282" customWidth="1"/>
    <col min="4" max="4" width="49.26953125" style="258" customWidth="1"/>
    <col min="5" max="5" width="18.26953125" style="285" customWidth="1"/>
    <col min="6" max="6" width="72.26953125" style="572" customWidth="1"/>
    <col min="7" max="7" width="20.453125" style="573" customWidth="1"/>
    <col min="8" max="9" width="10" style="248" bestFit="1" customWidth="1"/>
    <col min="10" max="40" width="8.7265625" style="248"/>
    <col min="41" max="16384" width="8.7265625" style="258"/>
  </cols>
  <sheetData>
    <row r="1" spans="1:40" s="248" customFormat="1" ht="12.5" customHeight="1">
      <c r="C1" s="249"/>
      <c r="E1" s="252"/>
      <c r="F1" s="565"/>
      <c r="G1" s="566"/>
    </row>
    <row r="2" spans="1:40" s="248" customFormat="1" ht="12.5" customHeight="1">
      <c r="C2" s="249"/>
      <c r="E2" s="252"/>
      <c r="F2" s="565"/>
      <c r="G2" s="566"/>
    </row>
    <row r="3" spans="1:40" s="248" customFormat="1" ht="12.5" customHeight="1">
      <c r="B3" s="579" t="s">
        <v>794</v>
      </c>
      <c r="C3" s="579"/>
      <c r="D3" s="579"/>
      <c r="E3" s="252"/>
      <c r="F3" s="565"/>
      <c r="G3" s="566"/>
    </row>
    <row r="4" spans="1:40" s="248" customFormat="1" ht="12.5" customHeight="1">
      <c r="B4" s="579"/>
      <c r="C4" s="579"/>
      <c r="D4" s="579"/>
      <c r="E4" s="252"/>
      <c r="F4" s="565"/>
      <c r="G4" s="566"/>
    </row>
    <row r="5" spans="1:40" s="248" customFormat="1" ht="12.5" customHeight="1">
      <c r="C5" s="249"/>
      <c r="E5" s="252"/>
      <c r="F5" s="565"/>
      <c r="G5" s="566"/>
    </row>
    <row r="6" spans="1:40" s="248" customFormat="1" ht="12.5" customHeight="1" thickBot="1">
      <c r="C6" s="249"/>
      <c r="E6" s="252"/>
      <c r="F6" s="565"/>
      <c r="G6" s="566"/>
    </row>
    <row r="7" spans="1:40" s="265" customFormat="1" ht="36" customHeight="1" thickBot="1">
      <c r="A7" s="259"/>
      <c r="B7" s="582" t="s">
        <v>477</v>
      </c>
      <c r="C7" s="583"/>
      <c r="D7" s="561" t="s">
        <v>48</v>
      </c>
      <c r="E7" s="263" t="s">
        <v>783</v>
      </c>
      <c r="F7" s="567" t="s">
        <v>762</v>
      </c>
      <c r="G7" s="568" t="s">
        <v>49</v>
      </c>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row>
    <row r="8" spans="1:40" ht="27.65" customHeight="1">
      <c r="B8" s="584" t="s">
        <v>468</v>
      </c>
      <c r="C8" s="585" t="s">
        <v>476</v>
      </c>
      <c r="D8" s="219" t="str">
        <f>VLOOKUP($D$7,'Child Poverty'!$B$2:$C$2,2,FALSE)</f>
        <v>% Children in Child Poverty after Housing Costs</v>
      </c>
      <c r="E8" s="268" t="s">
        <v>410</v>
      </c>
      <c r="F8" s="569"/>
      <c r="G8" s="570" t="str">
        <f>VLOOKUP($G$7,'Child Poverty'!$B$3:$C$3,2,TRUE)</f>
        <v>End Child Poverty</v>
      </c>
    </row>
    <row r="9" spans="1:40" ht="27.65" customHeight="1">
      <c r="B9" s="584"/>
      <c r="C9" s="581"/>
      <c r="D9" s="219" t="str">
        <f>VLOOKUP($D$7,'Fuel Poverty'!$B$2:$C$2,2,FALSE)</f>
        <v>% Dwellings in Fuel Poverty</v>
      </c>
      <c r="E9" s="519" t="s">
        <v>785</v>
      </c>
      <c r="F9" s="569" t="s">
        <v>784</v>
      </c>
      <c r="G9" s="570" t="str">
        <f>VLOOKUP($G$7,'Fuel Poverty'!$B$3:$C$3,2,TRUE)</f>
        <v>Scottish Household Condition Survey:  Local Authority Analyses</v>
      </c>
    </row>
    <row r="10" spans="1:40" ht="27.65" customHeight="1">
      <c r="B10" s="584"/>
      <c r="C10" s="581"/>
      <c r="D10" s="219" t="str">
        <f>VLOOKUP($D$7,'Claimant Count'!$B$2:$C$2,2,FALSE)</f>
        <v>Claimant Count Rate</v>
      </c>
      <c r="E10" s="268" t="s">
        <v>410</v>
      </c>
      <c r="F10" s="569"/>
      <c r="G10" s="570" t="str">
        <f>VLOOKUP($G$7,'Claimant Count'!$B$3:$C$3,2,TRUE)</f>
        <v>NOMIS - Claimant Count</v>
      </c>
    </row>
    <row r="11" spans="1:40" ht="27.65" customHeight="1">
      <c r="B11" s="584"/>
      <c r="C11" s="581"/>
      <c r="D11" s="219" t="str">
        <f>VLOOKUP($D$7,'Workless Households'!$B$2:$C$2,2,FALSE)</f>
        <v>% of Households that are Workless</v>
      </c>
      <c r="E11" s="268" t="s">
        <v>410</v>
      </c>
      <c r="F11" s="569"/>
      <c r="G11" s="570" t="str">
        <f>VLOOKUP($G$7,'Workless Households'!$B$3:$C$3,2,TRUE)</f>
        <v>ONS - Households by Combined Economic Activity</v>
      </c>
    </row>
    <row r="12" spans="1:40" ht="27.65" customHeight="1">
      <c r="B12" s="584"/>
      <c r="C12" s="581" t="s">
        <v>471</v>
      </c>
      <c r="D12" s="219" t="str">
        <f>VLOOKUP($D$7,SLDR!$B$2:$C$2,2,FALSE)</f>
        <v>% of School Leavers in Positive Destinations</v>
      </c>
      <c r="E12" s="268" t="s">
        <v>411</v>
      </c>
      <c r="F12" s="569"/>
      <c r="G12" s="570" t="str">
        <f>VLOOKUP($G$7,SLDR!$B$3:$C$3,2,TRUE)</f>
        <v>Scottish Government - Attainment and Initial Leaver Destinations</v>
      </c>
    </row>
    <row r="13" spans="1:40" ht="27.65" customHeight="1">
      <c r="B13" s="584"/>
      <c r="C13" s="581"/>
      <c r="D13" s="219" t="s">
        <v>757</v>
      </c>
      <c r="E13" s="268" t="s">
        <v>411</v>
      </c>
      <c r="F13" s="569"/>
      <c r="G13" s="571" t="s">
        <v>756</v>
      </c>
    </row>
    <row r="14" spans="1:40" ht="27.65" customHeight="1">
      <c r="B14" s="584"/>
      <c r="C14" s="581"/>
      <c r="D14" s="219" t="s">
        <v>460</v>
      </c>
      <c r="E14" s="268" t="s">
        <v>411</v>
      </c>
      <c r="F14" s="569"/>
      <c r="G14" s="571" t="s">
        <v>756</v>
      </c>
    </row>
    <row r="15" spans="1:40" ht="27.65" customHeight="1">
      <c r="B15" s="584"/>
      <c r="C15" s="581" t="s">
        <v>469</v>
      </c>
      <c r="D15" s="219" t="str">
        <f>VLOOKUP($D$7,Incapacity!$B$2:$C$2,2,FALSE)</f>
        <v>Number of Incapacity-based benefits (per 1,000 16-64 pop)</v>
      </c>
      <c r="E15" s="268" t="s">
        <v>410</v>
      </c>
      <c r="F15" s="569"/>
      <c r="G15" s="570" t="str">
        <f>VLOOKUP($G$7,Incapacity!$B$3:$C$3,2,TRUE)</f>
        <v>DWP Stat-Xplore</v>
      </c>
    </row>
    <row r="16" spans="1:40" ht="27.65" customHeight="1">
      <c r="B16" s="584"/>
      <c r="C16" s="581"/>
      <c r="D16" s="219" t="s">
        <v>461</v>
      </c>
      <c r="E16" s="268" t="s">
        <v>411</v>
      </c>
      <c r="F16" s="569"/>
      <c r="G16" s="571" t="s">
        <v>524</v>
      </c>
    </row>
    <row r="17" spans="2:7" s="248" customFormat="1" ht="27.65" customHeight="1">
      <c r="B17" s="584"/>
      <c r="C17" s="581"/>
      <c r="D17" s="219" t="str">
        <f>VLOOKUP($D$7,'HLE Females'!$B$2:$C$2,2,FALSE)</f>
        <v>Healthy Life Expectancy - Females at birth</v>
      </c>
      <c r="E17" s="268" t="s">
        <v>411</v>
      </c>
      <c r="F17" s="569" t="s">
        <v>786</v>
      </c>
      <c r="G17" s="570" t="str">
        <f>VLOOKUP($G$7,'HLE Females'!$B$3:$C$3,2,TRUE)</f>
        <v>ONS - Healthy Life Expectancy</v>
      </c>
    </row>
    <row r="18" spans="2:7" s="248" customFormat="1" ht="27.65" customHeight="1">
      <c r="B18" s="584"/>
      <c r="C18" s="581"/>
      <c r="D18" s="219" t="str">
        <f>VLOOKUP($D$7,'HLE Males'!$B$2:$C$2,2,FALSE)</f>
        <v>Healthy Life Expectancy - Males at birth</v>
      </c>
      <c r="E18" s="268" t="s">
        <v>411</v>
      </c>
      <c r="F18" s="569" t="s">
        <v>786</v>
      </c>
      <c r="G18" s="570" t="str">
        <f>VLOOKUP($G$7,'HLE Males'!$B$3:$C$3,2,TRUE)</f>
        <v>ONS - Healthy Life Expectancy</v>
      </c>
    </row>
    <row r="19" spans="2:7" s="248" customFormat="1" ht="27.65" customHeight="1">
      <c r="B19" s="584"/>
      <c r="C19" s="581" t="s">
        <v>472</v>
      </c>
      <c r="D19" s="219" t="s">
        <v>458</v>
      </c>
      <c r="E19" s="268" t="s">
        <v>411</v>
      </c>
      <c r="F19" s="569"/>
      <c r="G19" s="571" t="s">
        <v>524</v>
      </c>
    </row>
    <row r="20" spans="2:7" s="248" customFormat="1" ht="27.65" customHeight="1">
      <c r="B20" s="584"/>
      <c r="C20" s="581"/>
      <c r="D20" s="219" t="s">
        <v>456</v>
      </c>
      <c r="E20" s="268" t="s">
        <v>411</v>
      </c>
      <c r="F20" s="569"/>
      <c r="G20" s="571" t="s">
        <v>524</v>
      </c>
    </row>
    <row r="21" spans="2:7" s="248" customFormat="1" ht="27.65" customHeight="1">
      <c r="B21" s="584"/>
      <c r="C21" s="581"/>
      <c r="D21" s="219" t="s">
        <v>457</v>
      </c>
      <c r="E21" s="268" t="s">
        <v>411</v>
      </c>
      <c r="F21" s="569"/>
      <c r="G21" s="571" t="s">
        <v>524</v>
      </c>
    </row>
    <row r="22" spans="2:7" s="248" customFormat="1" ht="27.65" customHeight="1">
      <c r="B22" s="584"/>
      <c r="C22" s="581"/>
      <c r="D22" s="219" t="str">
        <f>VLOOKUP($D$7,'Low Pay Sectors'!$B$2:$C$2,2,FALSE)</f>
        <v>Employment in low pay sectors (%)</v>
      </c>
      <c r="E22" s="268" t="s">
        <v>410</v>
      </c>
      <c r="F22" s="569"/>
      <c r="G22" s="570" t="str">
        <f>VLOOKUP($G$7,'Low Pay Sectors'!$B$3:$C$3,2,TRUE)</f>
        <v>Business Register and Employment Survey</v>
      </c>
    </row>
    <row r="23" spans="2:7" s="248" customFormat="1" ht="27.65" customHeight="1">
      <c r="B23" s="584"/>
      <c r="C23" s="581"/>
      <c r="D23" s="219" t="str">
        <f>VLOOKUP($D$7,'Gender Gap'!$B$2:$C$2,2,FALSE)</f>
        <v xml:space="preserve">Gender Employment Gap (% points) </v>
      </c>
      <c r="E23" s="268" t="s">
        <v>411</v>
      </c>
      <c r="F23" s="569"/>
      <c r="G23" s="570" t="str">
        <f>VLOOKUP($G$7,'Gender Gap'!$B$3:$C$3,2,TRUE)</f>
        <v>Annual Population Survey 2023</v>
      </c>
    </row>
    <row r="24" spans="2:7" s="248" customFormat="1" ht="27.65" customHeight="1">
      <c r="B24" s="584"/>
      <c r="C24" s="581"/>
      <c r="D24" s="219" t="s">
        <v>65</v>
      </c>
      <c r="E24" s="268" t="s">
        <v>411</v>
      </c>
      <c r="F24" s="569"/>
      <c r="G24" s="570" t="str">
        <f>VLOOKUP($G$7,Earnings!$B$3:$C$3,2,TRUE)</f>
        <v>ASHE</v>
      </c>
    </row>
    <row r="25" spans="2:7" s="248" customFormat="1" ht="27.65" customHeight="1">
      <c r="B25" s="584"/>
      <c r="C25" s="581"/>
      <c r="D25" s="219" t="str">
        <f>VLOOKUP($D$7,'Low Earnings'!$B$2:$C$2,2,FALSE)</f>
        <v>20th Percentile Weekly Earnings (Residence-based, FT)</v>
      </c>
      <c r="E25" s="268" t="s">
        <v>411</v>
      </c>
      <c r="F25" s="569"/>
      <c r="G25" s="570" t="str">
        <f>VLOOKUP($G$7,'Low Earnings'!$B$3:$C$3,2,TRUE)</f>
        <v>ASHE</v>
      </c>
    </row>
    <row r="26" spans="2:7" s="248" customFormat="1" ht="27.65" customHeight="1">
      <c r="B26" s="584"/>
      <c r="C26" s="581"/>
      <c r="D26" s="219" t="str">
        <f>VLOOKUP($D$7,Underemployment!$B$2:$C$2,2,FALSE)</f>
        <v>Underemployment Rate</v>
      </c>
      <c r="E26" s="268" t="s">
        <v>411</v>
      </c>
      <c r="F26" s="569" t="s">
        <v>787</v>
      </c>
      <c r="G26" s="570" t="str">
        <f>VLOOKUP($G$7,Underemployment!$B$3:$C$3,2,TRUE)</f>
        <v>Scotland's Labour Market</v>
      </c>
    </row>
    <row r="27" spans="2:7" s="248" customFormat="1" ht="27.65" customHeight="1">
      <c r="B27" s="584"/>
      <c r="C27" s="581"/>
      <c r="D27" s="219" t="str">
        <f>VLOOKUP($D$7,'SOC 1 Occupation'!$B$2:$C$2,2,FALSE)</f>
        <v>% Employed in SOC1 Occupations</v>
      </c>
      <c r="E27" s="268" t="s">
        <v>411</v>
      </c>
      <c r="F27" s="569"/>
      <c r="G27" s="570" t="str">
        <f>VLOOKUP($G$7,'SOC 1 Occupation'!$B$3:$C$3,2,TRUE)</f>
        <v>Annual Population Survey 2023</v>
      </c>
    </row>
    <row r="28" spans="2:7" s="248" customFormat="1" ht="27.65" customHeight="1">
      <c r="B28" s="584"/>
      <c r="C28" s="581"/>
      <c r="D28" s="219" t="str">
        <f>'Satisfactory hours'!C2</f>
        <v>Satisfactory hours (% of employees)</v>
      </c>
      <c r="E28" s="268" t="s">
        <v>411</v>
      </c>
      <c r="F28" s="569" t="s">
        <v>788</v>
      </c>
      <c r="G28" s="570" t="s">
        <v>631</v>
      </c>
    </row>
    <row r="29" spans="2:7" s="248" customFormat="1" ht="27.65" customHeight="1">
      <c r="B29" s="584"/>
      <c r="C29" s="581"/>
      <c r="D29" s="219" t="str">
        <f>'Low pay'!C2</f>
        <v>Low Pay (% of employees)</v>
      </c>
      <c r="E29" s="268" t="s">
        <v>411</v>
      </c>
      <c r="F29" s="569" t="s">
        <v>788</v>
      </c>
      <c r="G29" s="570" t="s">
        <v>631</v>
      </c>
    </row>
    <row r="30" spans="2:7" s="248" customFormat="1" ht="27.65" customHeight="1">
      <c r="B30" s="584"/>
      <c r="C30" s="581"/>
      <c r="D30" s="219" t="str">
        <f>'Zero-hour contracts'!C2</f>
        <v>Zero-hour contracts (% of employees)</v>
      </c>
      <c r="E30" s="268" t="s">
        <v>411</v>
      </c>
      <c r="F30" s="569" t="s">
        <v>788</v>
      </c>
      <c r="G30" s="570" t="s">
        <v>631</v>
      </c>
    </row>
    <row r="31" spans="2:7" s="248" customFormat="1" ht="27.65" customHeight="1">
      <c r="B31" s="584"/>
      <c r="C31" s="586" t="s">
        <v>473</v>
      </c>
      <c r="D31" s="219" t="str">
        <f>VLOOKUP($D$7,'10 Mb'!$B$2:$C$2,2,FALSE)</f>
        <v>% premises unable to access 10Mb connection</v>
      </c>
      <c r="E31" s="268" t="s">
        <v>411</v>
      </c>
      <c r="F31" s="569"/>
      <c r="G31" s="570" t="str">
        <f>VLOOKUP($G$7,'10 Mb'!$B$3:$C$3,2,TRUE)</f>
        <v>OFCOM - Connected Nations</v>
      </c>
    </row>
    <row r="32" spans="2:7" s="248" customFormat="1" ht="27.65" customHeight="1">
      <c r="B32" s="584"/>
      <c r="C32" s="587"/>
      <c r="D32" s="219" t="str">
        <f>VLOOKUP($D$7,UFBB!$B$2:$C$2,2,FALSE)</f>
        <v>% premises with available Ultra-fast broadband connection</v>
      </c>
      <c r="E32" s="268" t="s">
        <v>411</v>
      </c>
      <c r="F32" s="569"/>
      <c r="G32" s="570" t="str">
        <f>VLOOKUP($G$7,UFBB!$B$3:$C$3,2,TRUE)</f>
        <v>OFCOM - Connected Nations</v>
      </c>
    </row>
    <row r="33" spans="2:7" s="248" customFormat="1" ht="27.65" customHeight="1">
      <c r="B33" s="584"/>
      <c r="C33" s="585"/>
      <c r="D33" s="219" t="str">
        <f>VLOOKUP($D$7,Fibre!$B$2:$C$2,2,FALSE)</f>
        <v>% premises with available Fibre broadband connection</v>
      </c>
      <c r="E33" s="268" t="s">
        <v>411</v>
      </c>
      <c r="F33" s="569"/>
      <c r="G33" s="570" t="str">
        <f>VLOOKUP($G$7,Fibre!$B$3:$C$3,2,TRUE)</f>
        <v>OFCOM - Connected Nations</v>
      </c>
    </row>
    <row r="34" spans="2:7" s="248" customFormat="1" ht="27.65" customHeight="1">
      <c r="B34" s="584"/>
      <c r="C34" s="581" t="s">
        <v>474</v>
      </c>
      <c r="D34" s="219" t="str">
        <f>VLOOKUP($D$7,'New Builds'!$B$2:$C$2,2,FALSE)</f>
        <v>Rate of Housing New Builds (per 10,000 total population)</v>
      </c>
      <c r="E34" s="268" t="s">
        <v>411</v>
      </c>
      <c r="F34" s="569"/>
      <c r="G34" s="570" t="str">
        <f>VLOOKUP($G$7,'New Builds'!$B$3:$C$3,2,TRUE)</f>
        <v>Scottish Government - Housing Quarterly</v>
      </c>
    </row>
    <row r="35" spans="2:7" s="248" customFormat="1" ht="27.65" customHeight="1">
      <c r="B35" s="584"/>
      <c r="C35" s="581"/>
      <c r="D35" s="219" t="str">
        <f>VLOOKUP($D$7,'Social Builds'!$B$2:$C$2,2,FALSE)</f>
        <v>Rate of Social Housing New Builds (per 10,000 total population)</v>
      </c>
      <c r="E35" s="268" t="s">
        <v>411</v>
      </c>
      <c r="F35" s="569"/>
      <c r="G35" s="570" t="str">
        <f>VLOOKUP($G$7,'Social Builds'!$B$3:$C$3,2,TRUE)</f>
        <v>Scottish Government - Housing Quarterly</v>
      </c>
    </row>
    <row r="36" spans="2:7" s="248" customFormat="1" ht="27.65" customHeight="1">
      <c r="B36" s="584"/>
      <c r="C36" s="581"/>
      <c r="D36" s="219" t="str">
        <f>VLOOKUP($D$7,Adaptations!$B$2:$C$2,2,FALSE)</f>
        <v>% Dwellings with Accessibility Adaptations</v>
      </c>
      <c r="E36" s="519" t="s">
        <v>785</v>
      </c>
      <c r="F36" s="569" t="s">
        <v>784</v>
      </c>
      <c r="G36" s="570" t="str">
        <f>VLOOKUP($G$7,Adaptations!$B$3:$C$3,2,TRUE)</f>
        <v>Scottish Household Condition Survey:  Local Authority Analyses</v>
      </c>
    </row>
    <row r="37" spans="2:7" s="248" customFormat="1" ht="27.65" customHeight="1">
      <c r="B37" s="584"/>
      <c r="C37" s="581"/>
      <c r="D37" s="219" t="str">
        <f>VLOOKUP($D$7,SHQS!$B$2:$C$2,2,FALSE)</f>
        <v>% Dwellings that fail the Scottish Household Quality Standard</v>
      </c>
      <c r="E37" s="519" t="s">
        <v>785</v>
      </c>
      <c r="F37" s="569" t="s">
        <v>784</v>
      </c>
      <c r="G37" s="570" t="str">
        <f>VLOOKUP($G$7,SHQS!$B$3:$C$3,2,TRUE)</f>
        <v>Scottish Household Condition Survey:  Local Authority Analyses</v>
      </c>
    </row>
    <row r="38" spans="2:7" s="248" customFormat="1" ht="27.65" customHeight="1">
      <c r="B38" s="584"/>
      <c r="C38" s="581"/>
      <c r="D38" s="219" t="str">
        <f>VLOOKUP($D$7,Disrepair!$B$2:$C$2,2,FALSE)</f>
        <v>% Dwellings that are in Disrepair</v>
      </c>
      <c r="E38" s="519" t="s">
        <v>785</v>
      </c>
      <c r="F38" s="569" t="s">
        <v>784</v>
      </c>
      <c r="G38" s="570" t="str">
        <f>VLOOKUP($G$7,Disrepair!$B$3:$C$3,2,TRUE)</f>
        <v>Scottish Household Condition Survey:  Local Authority Analyses</v>
      </c>
    </row>
    <row r="39" spans="2:7" s="248" customFormat="1" ht="27.65" customHeight="1">
      <c r="B39" s="584"/>
      <c r="C39" s="581"/>
      <c r="D39" s="219" t="str">
        <f>VLOOKUP($D$7,'V&amp;DL'!$B$2:$C$2,2,FALSE)</f>
        <v>Total Vacant &amp; Derelict Land (Ha)</v>
      </c>
      <c r="E39" s="268" t="s">
        <v>410</v>
      </c>
      <c r="F39" s="569"/>
      <c r="G39" s="570" t="str">
        <f>VLOOKUP($G$7,'V&amp;DL'!$B$3:$C$3,2,TRUE)</f>
        <v>Scottish Government - Vacant &amp; Derelict Land Survey</v>
      </c>
    </row>
    <row r="40" spans="2:7" s="248" customFormat="1" ht="27.65" customHeight="1">
      <c r="B40" s="584"/>
      <c r="C40" s="581"/>
      <c r="D40" s="219" t="str">
        <f>VLOOKUP($D$7,'DL %'!$B$2:$C$2,2,FALSE)</f>
        <v>Derelict Land as a % of Total Area</v>
      </c>
      <c r="E40" s="519" t="s">
        <v>785</v>
      </c>
      <c r="F40" s="569" t="s">
        <v>789</v>
      </c>
      <c r="G40" s="570" t="str">
        <f>VLOOKUP($G$7,'DL %'!$B$3:$C$3,2,TRUE)</f>
        <v>Scottish Government - Vacant &amp; Derelict Land Survey</v>
      </c>
    </row>
    <row r="41" spans="2:7" s="248" customFormat="1" ht="27.65" customHeight="1">
      <c r="B41" s="584"/>
      <c r="C41" s="581"/>
      <c r="D41" s="219" t="str">
        <f>VLOOKUP($D$7,'SIMD V&amp;DL'!$B$2:$C$2,2,FALSE)</f>
        <v>Total Vacant &amp; Derelict Land (Ha) in bottom 15% SIMD areas</v>
      </c>
      <c r="E41" s="268" t="s">
        <v>410</v>
      </c>
      <c r="F41" s="569"/>
      <c r="G41" s="570" t="str">
        <f>VLOOKUP($G$7,'SIMD V&amp;DL'!$B$3:$C$3,2,TRUE)</f>
        <v>Scottish Government - Vacant &amp; Derelict Land Survey</v>
      </c>
    </row>
    <row r="42" spans="2:7" s="248" customFormat="1" ht="27.65" customHeight="1">
      <c r="B42" s="584"/>
      <c r="C42" s="581"/>
      <c r="D42" s="219" t="str">
        <f>VLOOKUP($D$7,'Net Migration'!$B$2:$C$2,2,FALSE)</f>
        <v>Cumulative Net Migration by Age 2010/11 to 2020/21</v>
      </c>
      <c r="E42" s="519" t="s">
        <v>785</v>
      </c>
      <c r="F42" s="569" t="s">
        <v>790</v>
      </c>
      <c r="G42" s="570" t="str">
        <f>VLOOKUP($G$7,'Net Migration'!$B$3:$C$3,2,TRUE)</f>
        <v>NRS - Net Migration</v>
      </c>
    </row>
    <row r="43" spans="2:7" s="248" customFormat="1" ht="27.65" customHeight="1">
      <c r="B43" s="584"/>
      <c r="C43" s="581"/>
      <c r="D43" s="219" t="str">
        <f>VLOOKUP($D$7,'Housing Affordability'!$B$2:$C$2,2,FALSE)</f>
        <v>Housing Affordability Ratio (Average House Price / Gross Disposable Household Income per head)</v>
      </c>
      <c r="E43" s="268" t="s">
        <v>410</v>
      </c>
      <c r="F43" s="569" t="s">
        <v>791</v>
      </c>
      <c r="G43" s="570" t="str">
        <f>VLOOKUP($G$7,'Housing Affordability'!$B$3:$C$3,2,TRUE)</f>
        <v>House Sales - UK</v>
      </c>
    </row>
    <row r="44" spans="2:7" s="248" customFormat="1" ht="27.65" customHeight="1">
      <c r="B44" s="584"/>
      <c r="C44" s="581" t="s">
        <v>475</v>
      </c>
      <c r="D44" s="219" t="str">
        <f>VLOOKUP($D$7,Procurement!$B$2:$C$2,2,FALSE)</f>
        <v>% of Procurement spend spent on local enterprises</v>
      </c>
      <c r="E44" s="268" t="s">
        <v>411</v>
      </c>
      <c r="F44" s="569"/>
      <c r="G44" s="570" t="str">
        <f>VLOOKUP($G$7,Procurement!$B$3:$C$3,2,TRUE)</f>
        <v>Local Government Benchmarking Framework</v>
      </c>
    </row>
    <row r="45" spans="2:7" s="248" customFormat="1" ht="27.65" customHeight="1">
      <c r="B45" s="584"/>
      <c r="C45" s="581"/>
      <c r="D45" s="219" t="str">
        <f>VLOOKUP($D$7,'Social Enterprises'!$B$2:$C$2,2,FALSE)</f>
        <v>Social Enterprise Rate (per 10,000 total population)</v>
      </c>
      <c r="E45" s="519" t="s">
        <v>785</v>
      </c>
      <c r="F45" s="569" t="s">
        <v>792</v>
      </c>
      <c r="G45" s="570" t="str">
        <f>VLOOKUP($G$7,'Social Enterprises'!$B$3:$C$3,2,TRUE)</f>
        <v>Social Enterprise in Scotland Census</v>
      </c>
    </row>
    <row r="46" spans="2:7" s="248" customFormat="1" ht="27.65" customHeight="1">
      <c r="B46" s="580" t="s">
        <v>470</v>
      </c>
      <c r="C46" s="581" t="s">
        <v>463</v>
      </c>
      <c r="D46" s="219" t="s">
        <v>454</v>
      </c>
      <c r="E46" s="268" t="s">
        <v>411</v>
      </c>
      <c r="F46" s="569"/>
      <c r="G46" s="570" t="s">
        <v>123</v>
      </c>
    </row>
    <row r="47" spans="2:7" s="248" customFormat="1" ht="27.65" customHeight="1">
      <c r="B47" s="580"/>
      <c r="C47" s="581"/>
      <c r="D47" s="562" t="s">
        <v>137</v>
      </c>
      <c r="E47" s="268" t="s">
        <v>410</v>
      </c>
      <c r="F47" s="569"/>
      <c r="G47" s="570" t="s">
        <v>138</v>
      </c>
    </row>
    <row r="48" spans="2:7" s="248" customFormat="1" ht="27.65" customHeight="1">
      <c r="B48" s="580"/>
      <c r="C48" s="581"/>
      <c r="D48" s="219" t="str">
        <f>VLOOKUP($D$7,'R&amp;D'!$B$2:$C$2,2,FALSE)</f>
        <v>Business Expenditure in R&amp;D (per head of total population)</v>
      </c>
      <c r="E48" s="519" t="s">
        <v>785</v>
      </c>
      <c r="F48" s="569" t="s">
        <v>793</v>
      </c>
      <c r="G48" s="570" t="str">
        <f>VLOOKUP($G$7,'R&amp;D'!$B$3:$C$3,2,TRUE)</f>
        <v>Scottish Government - BERD</v>
      </c>
    </row>
    <row r="49" spans="2:7" s="248" customFormat="1" ht="27.65" customHeight="1">
      <c r="B49" s="580"/>
      <c r="C49" s="581"/>
      <c r="D49" s="219" t="str">
        <f>VLOOKUP($D$7,'Enterprise Rate'!$B$2:$C$2,2,FALSE)</f>
        <v>Enterprise Rate (per 10,000 working-age population)</v>
      </c>
      <c r="E49" s="268" t="s">
        <v>410</v>
      </c>
      <c r="F49" s="569"/>
      <c r="G49" s="570" t="str">
        <f>VLOOKUP($G$7,'Enterprise Rate'!$B$3:$C$3,2,TRUE)</f>
        <v>NOMIS - UK Business Count</v>
      </c>
    </row>
    <row r="50" spans="2:7" s="248" customFormat="1" ht="27.65" customHeight="1">
      <c r="B50" s="580"/>
      <c r="C50" s="581"/>
      <c r="D50" s="219" t="str">
        <f>VLOOKUP($D$7,'Business Births'!$B$2:$C$2,2,FALSE)</f>
        <v>Business Birth Rate (per 10,000 16-64 Population)</v>
      </c>
      <c r="E50" s="268" t="s">
        <v>411</v>
      </c>
      <c r="F50" s="569"/>
      <c r="G50" s="570" t="str">
        <f>VLOOKUP($G$7,'Business Births'!$B$3:$C$3,2,TRUE)</f>
        <v>Business Demography</v>
      </c>
    </row>
    <row r="51" spans="2:7" s="248" customFormat="1" ht="27.65" customHeight="1">
      <c r="B51" s="580"/>
      <c r="C51" s="581"/>
      <c r="D51" s="219" t="str">
        <f>VLOOKUP($D$7,'Business Deaths'!$B$2:$C$2,2,FALSE)</f>
        <v>Business Death Rate (per 10,000 16-64 Population)</v>
      </c>
      <c r="E51" s="268" t="s">
        <v>411</v>
      </c>
      <c r="F51" s="569"/>
      <c r="G51" s="570" t="str">
        <f>VLOOKUP($G$7,'Business Deaths'!$B$3:$C$3,2,TRUE)</f>
        <v>Business Demography</v>
      </c>
    </row>
    <row r="52" spans="2:7" s="248" customFormat="1" ht="27.65" customHeight="1">
      <c r="B52" s="580"/>
      <c r="C52" s="581"/>
      <c r="D52" s="219" t="str">
        <f>VLOOKUP($D$7,'Business Survival'!$B$2:$C$2,2,FALSE)</f>
        <v>New Enterprise Survival Rate % (3 Year)</v>
      </c>
      <c r="E52" s="268" t="s">
        <v>411</v>
      </c>
      <c r="F52" s="569"/>
      <c r="G52" s="570" t="str">
        <f>VLOOKUP($G$7,'Business Survival'!$B$3:$C$3,2,TRUE)</f>
        <v>Business Demography</v>
      </c>
    </row>
    <row r="53" spans="2:7" s="248" customFormat="1" ht="27.65" customHeight="1">
      <c r="B53" s="580"/>
      <c r="C53" s="581"/>
      <c r="D53" s="219" t="str">
        <f>VLOOKUP($D$7,'Emissions Population'!$B$2:$C$2,2,FALSE)</f>
        <v>Emissions per Capita (CO2 Equivalent tonnes)</v>
      </c>
      <c r="E53" s="268" t="s">
        <v>410</v>
      </c>
      <c r="F53" s="569"/>
      <c r="G53" s="570" t="str">
        <f>VLOOKUP($G$7,'Emissions Population'!$B$3:$C$3,2,TRUE)</f>
        <v>UK Government - Emissions</v>
      </c>
    </row>
    <row r="54" spans="2:7" s="248" customFormat="1" ht="27.65" customHeight="1">
      <c r="B54" s="580"/>
      <c r="C54" s="581"/>
      <c r="D54" s="219" t="str">
        <f>VLOOKUP($D$7,'Emissions KM'!$B$2:$C$2,2,FALSE)</f>
        <v>Emissions per square kilometers (CO2 Equivalent tonnes)</v>
      </c>
      <c r="E54" s="268" t="s">
        <v>410</v>
      </c>
      <c r="F54" s="569"/>
      <c r="G54" s="570" t="str">
        <f>VLOOKUP($G$7,'Emissions KM'!$B$3:$C$3,2,TRUE)</f>
        <v>UK Government - Emissions</v>
      </c>
    </row>
    <row r="55" spans="2:7" s="248" customFormat="1" ht="27.65" customHeight="1">
      <c r="C55" s="249"/>
      <c r="D55" s="281"/>
      <c r="E55" s="252"/>
      <c r="F55" s="565"/>
      <c r="G55" s="566"/>
    </row>
    <row r="56" spans="2:7" s="248" customFormat="1" ht="27.65" customHeight="1">
      <c r="C56" s="249"/>
      <c r="E56" s="252"/>
      <c r="F56" s="565"/>
      <c r="G56" s="566"/>
    </row>
    <row r="57" spans="2:7" s="248" customFormat="1" ht="27.65" customHeight="1">
      <c r="C57" s="249"/>
      <c r="E57" s="252"/>
      <c r="F57" s="565"/>
      <c r="G57" s="566"/>
    </row>
    <row r="58" spans="2:7" s="248" customFormat="1" ht="27.65" customHeight="1">
      <c r="C58" s="249"/>
      <c r="E58" s="252"/>
      <c r="F58" s="565"/>
      <c r="G58" s="566"/>
    </row>
    <row r="59" spans="2:7" s="248" customFormat="1" ht="27.65" customHeight="1">
      <c r="C59" s="249"/>
      <c r="E59" s="252"/>
      <c r="F59" s="565"/>
      <c r="G59" s="566"/>
    </row>
    <row r="60" spans="2:7" s="248" customFormat="1" ht="27.65" customHeight="1">
      <c r="C60" s="249"/>
      <c r="E60" s="252"/>
      <c r="F60" s="565"/>
      <c r="G60" s="566"/>
    </row>
    <row r="61" spans="2:7" s="248" customFormat="1" ht="27.65" customHeight="1">
      <c r="C61" s="249"/>
      <c r="E61" s="252"/>
      <c r="F61" s="565"/>
      <c r="G61" s="566"/>
    </row>
    <row r="62" spans="2:7" s="248" customFormat="1" ht="27.65" customHeight="1">
      <c r="C62" s="249"/>
      <c r="E62" s="252"/>
      <c r="F62" s="565"/>
      <c r="G62" s="566"/>
    </row>
    <row r="63" spans="2:7" s="248" customFormat="1" ht="27.65" customHeight="1">
      <c r="C63" s="249"/>
      <c r="E63" s="252"/>
      <c r="F63" s="565"/>
      <c r="G63" s="566"/>
    </row>
    <row r="64" spans="2:7" s="248" customFormat="1" ht="27.65" customHeight="1">
      <c r="C64" s="249"/>
      <c r="E64" s="252"/>
      <c r="F64" s="565"/>
      <c r="G64" s="566"/>
    </row>
    <row r="65" spans="3:7" s="248" customFormat="1" ht="27.65" customHeight="1">
      <c r="C65" s="249"/>
      <c r="E65" s="252"/>
      <c r="F65" s="565"/>
      <c r="G65" s="566"/>
    </row>
    <row r="66" spans="3:7" s="248" customFormat="1" ht="27.65" customHeight="1">
      <c r="C66" s="249"/>
      <c r="E66" s="252"/>
      <c r="F66" s="565"/>
      <c r="G66" s="566"/>
    </row>
    <row r="67" spans="3:7" s="248" customFormat="1" ht="27.65" customHeight="1">
      <c r="C67" s="249"/>
      <c r="E67" s="252"/>
      <c r="F67" s="565"/>
      <c r="G67" s="566"/>
    </row>
    <row r="68" spans="3:7" s="248" customFormat="1" ht="27.65" customHeight="1">
      <c r="C68" s="249"/>
      <c r="E68" s="252"/>
      <c r="F68" s="565"/>
      <c r="G68" s="566"/>
    </row>
    <row r="69" spans="3:7" s="248" customFormat="1" ht="27.65" customHeight="1">
      <c r="C69" s="249"/>
      <c r="E69" s="252"/>
      <c r="F69" s="565"/>
      <c r="G69" s="566"/>
    </row>
    <row r="70" spans="3:7" s="248" customFormat="1" ht="27.65" customHeight="1">
      <c r="C70" s="249"/>
      <c r="E70" s="252"/>
      <c r="F70" s="565"/>
      <c r="G70" s="566"/>
    </row>
    <row r="71" spans="3:7" s="248" customFormat="1" ht="27.65" customHeight="1">
      <c r="C71" s="249"/>
      <c r="E71" s="252"/>
      <c r="F71" s="565"/>
      <c r="G71" s="566"/>
    </row>
    <row r="72" spans="3:7" s="248" customFormat="1" ht="27.65" customHeight="1">
      <c r="C72" s="249"/>
      <c r="E72" s="252"/>
      <c r="F72" s="565"/>
      <c r="G72" s="566"/>
    </row>
    <row r="73" spans="3:7" s="248" customFormat="1" ht="27.65" customHeight="1">
      <c r="C73" s="249"/>
      <c r="E73" s="252"/>
      <c r="F73" s="565"/>
      <c r="G73" s="566"/>
    </row>
    <row r="74" spans="3:7" s="248" customFormat="1" ht="27.65" customHeight="1">
      <c r="C74" s="249"/>
      <c r="E74" s="252"/>
      <c r="F74" s="565"/>
      <c r="G74" s="566"/>
    </row>
    <row r="75" spans="3:7" s="248" customFormat="1" ht="27.65" customHeight="1">
      <c r="C75" s="249"/>
      <c r="E75" s="252"/>
      <c r="F75" s="565"/>
      <c r="G75" s="566"/>
    </row>
    <row r="76" spans="3:7" s="248" customFormat="1" ht="27.65" customHeight="1">
      <c r="C76" s="249"/>
      <c r="E76" s="252"/>
      <c r="F76" s="565"/>
      <c r="G76" s="566"/>
    </row>
    <row r="77" spans="3:7" s="248" customFormat="1" ht="27.65" customHeight="1">
      <c r="C77" s="249"/>
      <c r="E77" s="252"/>
      <c r="F77" s="565"/>
      <c r="G77" s="566"/>
    </row>
    <row r="78" spans="3:7" s="248" customFormat="1" ht="27.65" customHeight="1">
      <c r="C78" s="249"/>
      <c r="E78" s="252"/>
      <c r="F78" s="565"/>
      <c r="G78" s="566"/>
    </row>
    <row r="79" spans="3:7" s="248" customFormat="1" ht="27.65" customHeight="1">
      <c r="C79" s="249"/>
      <c r="E79" s="252"/>
      <c r="F79" s="565"/>
      <c r="G79" s="566"/>
    </row>
    <row r="80" spans="3:7" s="248" customFormat="1" ht="27.65" customHeight="1">
      <c r="C80" s="249"/>
      <c r="E80" s="252"/>
      <c r="F80" s="565"/>
      <c r="G80" s="566"/>
    </row>
    <row r="81" spans="3:7" s="248" customFormat="1" ht="27.65" customHeight="1">
      <c r="C81" s="249"/>
      <c r="E81" s="252"/>
      <c r="F81" s="565"/>
      <c r="G81" s="566"/>
    </row>
    <row r="82" spans="3:7" s="248" customFormat="1" ht="27.65" customHeight="1">
      <c r="C82" s="249"/>
      <c r="E82" s="252"/>
      <c r="F82" s="565"/>
      <c r="G82" s="566"/>
    </row>
    <row r="83" spans="3:7" s="248" customFormat="1" ht="27.65" customHeight="1">
      <c r="C83" s="249"/>
      <c r="E83" s="252"/>
      <c r="F83" s="565"/>
      <c r="G83" s="566"/>
    </row>
    <row r="84" spans="3:7" s="248" customFormat="1" ht="27.65" customHeight="1">
      <c r="C84" s="249"/>
      <c r="E84" s="252"/>
      <c r="F84" s="565"/>
      <c r="G84" s="566"/>
    </row>
    <row r="85" spans="3:7" s="248" customFormat="1" ht="27.65" customHeight="1">
      <c r="C85" s="249"/>
      <c r="E85" s="252"/>
      <c r="F85" s="565"/>
      <c r="G85" s="566"/>
    </row>
    <row r="86" spans="3:7" s="248" customFormat="1" ht="27.65" customHeight="1">
      <c r="C86" s="249"/>
      <c r="E86" s="252"/>
      <c r="F86" s="565"/>
      <c r="G86" s="566"/>
    </row>
    <row r="87" spans="3:7" s="248" customFormat="1" ht="27.65" customHeight="1">
      <c r="C87" s="249"/>
      <c r="E87" s="252"/>
      <c r="F87" s="565"/>
      <c r="G87" s="566"/>
    </row>
    <row r="88" spans="3:7" s="248" customFormat="1" ht="27.65" customHeight="1">
      <c r="C88" s="249"/>
      <c r="E88" s="252"/>
      <c r="F88" s="565"/>
      <c r="G88" s="566"/>
    </row>
    <row r="89" spans="3:7" s="248" customFormat="1" ht="27.65" customHeight="1">
      <c r="C89" s="249"/>
      <c r="E89" s="252"/>
      <c r="F89" s="565"/>
      <c r="G89" s="566"/>
    </row>
    <row r="90" spans="3:7" s="248" customFormat="1" ht="27.65" customHeight="1">
      <c r="C90" s="249"/>
      <c r="E90" s="252"/>
      <c r="F90" s="565"/>
      <c r="G90" s="566"/>
    </row>
    <row r="91" spans="3:7" s="248" customFormat="1" ht="27.65" customHeight="1">
      <c r="C91" s="249"/>
      <c r="E91" s="252"/>
      <c r="F91" s="565"/>
      <c r="G91" s="566"/>
    </row>
    <row r="92" spans="3:7" s="248" customFormat="1" ht="27.65" customHeight="1">
      <c r="C92" s="249"/>
      <c r="E92" s="252"/>
      <c r="F92" s="565"/>
      <c r="G92" s="566"/>
    </row>
    <row r="93" spans="3:7" s="248" customFormat="1" ht="27.65" customHeight="1">
      <c r="C93" s="249"/>
      <c r="E93" s="252"/>
      <c r="F93" s="565"/>
      <c r="G93" s="566"/>
    </row>
    <row r="94" spans="3:7" s="248" customFormat="1" ht="27.65" customHeight="1">
      <c r="C94" s="249"/>
      <c r="E94" s="252"/>
      <c r="F94" s="565"/>
      <c r="G94" s="566"/>
    </row>
    <row r="95" spans="3:7" s="248" customFormat="1" ht="27.65" customHeight="1">
      <c r="C95" s="249"/>
      <c r="E95" s="252"/>
      <c r="F95" s="565"/>
      <c r="G95" s="566"/>
    </row>
    <row r="96" spans="3:7" s="248" customFormat="1" ht="27.65" customHeight="1">
      <c r="C96" s="249"/>
      <c r="E96" s="252"/>
      <c r="F96" s="565"/>
      <c r="G96" s="566"/>
    </row>
    <row r="97" spans="3:7" s="248" customFormat="1" ht="27.65" customHeight="1">
      <c r="C97" s="249"/>
      <c r="E97" s="252"/>
      <c r="F97" s="565"/>
      <c r="G97" s="566"/>
    </row>
    <row r="98" spans="3:7" s="248" customFormat="1" ht="27.65" customHeight="1">
      <c r="C98" s="249"/>
      <c r="E98" s="252"/>
      <c r="F98" s="565"/>
      <c r="G98" s="566"/>
    </row>
    <row r="99" spans="3:7" s="248" customFormat="1" ht="27.65" customHeight="1">
      <c r="C99" s="249"/>
      <c r="E99" s="252"/>
      <c r="F99" s="565"/>
      <c r="G99" s="566"/>
    </row>
    <row r="100" spans="3:7" s="248" customFormat="1" ht="27.65" customHeight="1">
      <c r="C100" s="249"/>
      <c r="E100" s="252"/>
      <c r="F100" s="565"/>
      <c r="G100" s="566"/>
    </row>
    <row r="101" spans="3:7" s="248" customFormat="1" ht="27.65" customHeight="1">
      <c r="C101" s="249"/>
      <c r="E101" s="252"/>
      <c r="F101" s="565"/>
      <c r="G101" s="566"/>
    </row>
    <row r="102" spans="3:7" s="248" customFormat="1" ht="27.65" customHeight="1">
      <c r="C102" s="249"/>
      <c r="E102" s="252"/>
      <c r="F102" s="565"/>
      <c r="G102" s="566"/>
    </row>
    <row r="103" spans="3:7" s="248" customFormat="1" ht="27.65" customHeight="1">
      <c r="C103" s="249"/>
      <c r="E103" s="252"/>
      <c r="F103" s="565"/>
      <c r="G103" s="566"/>
    </row>
    <row r="104" spans="3:7" s="248" customFormat="1" ht="27.65" customHeight="1">
      <c r="C104" s="249"/>
      <c r="E104" s="252"/>
      <c r="F104" s="565"/>
      <c r="G104" s="566"/>
    </row>
    <row r="105" spans="3:7" s="248" customFormat="1" ht="27.65" customHeight="1">
      <c r="C105" s="249"/>
      <c r="E105" s="252"/>
      <c r="F105" s="565"/>
      <c r="G105" s="566"/>
    </row>
    <row r="106" spans="3:7" ht="27.65" customHeight="1"/>
    <row r="107" spans="3:7" ht="27.65" customHeight="1"/>
    <row r="108" spans="3:7" ht="27.65" customHeight="1"/>
    <row r="109" spans="3:7" ht="27.65" customHeight="1"/>
    <row r="110" spans="3:7" ht="27.65" customHeight="1"/>
    <row r="111" spans="3:7" ht="27.65" customHeight="1"/>
    <row r="112" spans="3:7" ht="27.65" customHeight="1"/>
    <row r="113" spans="3:7" s="248" customFormat="1" ht="27.65" customHeight="1">
      <c r="C113" s="282"/>
      <c r="D113" s="258"/>
      <c r="E113" s="285"/>
      <c r="F113" s="572"/>
      <c r="G113" s="573"/>
    </row>
  </sheetData>
  <sheetProtection algorithmName="SHA-512" hashValue="aA0ZDvlmRJFAngBXLYv2em4KgaSJYhkAiYvJ9k3ZRjlVntqiOR6OCEtynUP9/VO9SqYFtbhzCzoRyb1YhT2nqA==" saltValue="OLJTPgcHJJaa28iOTbOpqA==" spinCount="100000" sheet="1" objects="1" scenarios="1"/>
  <mergeCells count="14">
    <mergeCell ref="B3:D4"/>
    <mergeCell ref="B46:B52"/>
    <mergeCell ref="C46:C52"/>
    <mergeCell ref="B53:B54"/>
    <mergeCell ref="C53:C54"/>
    <mergeCell ref="B7:C7"/>
    <mergeCell ref="B8:B45"/>
    <mergeCell ref="C8:C11"/>
    <mergeCell ref="C12:C14"/>
    <mergeCell ref="C15:C18"/>
    <mergeCell ref="C19:C30"/>
    <mergeCell ref="C31:C33"/>
    <mergeCell ref="C34:C43"/>
    <mergeCell ref="C44:C45"/>
  </mergeCells>
  <conditionalFormatting sqref="E1:E1048576">
    <cfRule type="containsText" dxfId="576" priority="1" operator="containsText" text="No">
      <formula>NOT(ISERROR(SEARCH("No",E1)))</formula>
    </cfRule>
    <cfRule type="containsText" dxfId="575" priority="2" operator="containsText" text="Yes">
      <formula>NOT(ISERROR(SEARCH("Yes",E1)))</formula>
    </cfRule>
  </conditionalFormatting>
  <conditionalFormatting sqref="G15:G17 G24 G32 G39:G46 G48">
    <cfRule type="containsText" dxfId="574" priority="44" operator="containsText" text="Amber">
      <formula>NOT(ISERROR(SEARCH("Amber",G15)))</formula>
    </cfRule>
    <cfRule type="containsText" dxfId="573" priority="45" operator="containsText" text="Green">
      <formula>NOT(ISERROR(SEARCH("Green",G15)))</formula>
    </cfRule>
    <cfRule type="containsText" dxfId="572" priority="46" operator="containsText" text="Red">
      <formula>NOT(ISERROR(SEARCH("Red",G15)))</formula>
    </cfRule>
  </conditionalFormatting>
  <conditionalFormatting sqref="G33:G41">
    <cfRule type="containsText" dxfId="571" priority="689" operator="containsText" text="Amber">
      <formula>NOT(ISERROR(SEARCH("Amber",G33)))</formula>
    </cfRule>
  </conditionalFormatting>
  <conditionalFormatting sqref="G33:G45">
    <cfRule type="containsText" dxfId="570" priority="345" operator="containsText" text="Green">
      <formula>NOT(ISERROR(SEARCH("Green",G33)))</formula>
    </cfRule>
    <cfRule type="containsText" dxfId="569" priority="346" operator="containsText" text="Red">
      <formula>NOT(ISERROR(SEARCH("Red",G33)))</formula>
    </cfRule>
  </conditionalFormatting>
  <conditionalFormatting sqref="G34:G45">
    <cfRule type="containsText" dxfId="568" priority="344" operator="containsText" text="Amber">
      <formula>NOT(ISERROR(SEARCH("Amber",G34)))</formula>
    </cfRule>
  </conditionalFormatting>
  <conditionalFormatting sqref="G36:G37 G43:G45">
    <cfRule type="containsText" dxfId="567" priority="687" operator="containsText" text="Green">
      <formula>NOT(ISERROR(SEARCH("Green",G36)))</formula>
    </cfRule>
    <cfRule type="containsText" dxfId="566" priority="688" operator="containsText" text="Red">
      <formula>NOT(ISERROR(SEARCH("Red",G36)))</formula>
    </cfRule>
  </conditionalFormatting>
  <conditionalFormatting sqref="G38:G41">
    <cfRule type="containsText" dxfId="565" priority="690" operator="containsText" text="Green">
      <formula>NOT(ISERROR(SEARCH("Green",G38)))</formula>
    </cfRule>
    <cfRule type="containsText" dxfId="564" priority="691" operator="containsText" text="Red">
      <formula>NOT(ISERROR(SEARCH("Red",G38)))</formula>
    </cfRule>
  </conditionalFormatting>
  <conditionalFormatting sqref="G41">
    <cfRule type="containsText" dxfId="563" priority="63" operator="containsText" text="Green">
      <formula>NOT(ISERROR(SEARCH("Green",G41)))</formula>
    </cfRule>
    <cfRule type="containsText" dxfId="562" priority="64" operator="containsText" text="Red">
      <formula>NOT(ISERROR(SEARCH("Red",G41)))</formula>
    </cfRule>
    <cfRule type="containsText" dxfId="561" priority="65" operator="containsText" text="Amber">
      <formula>NOT(ISERROR(SEARCH("Amber",G41)))</formula>
    </cfRule>
    <cfRule type="containsText" dxfId="560" priority="66" operator="containsText" text="Green">
      <formula>NOT(ISERROR(SEARCH("Green",G41)))</formula>
    </cfRule>
    <cfRule type="containsText" dxfId="559" priority="67" operator="containsText" text="Red">
      <formula>NOT(ISERROR(SEARCH("Red",G41)))</formula>
    </cfRule>
    <cfRule type="containsText" dxfId="558" priority="68" operator="containsText" text="Amber">
      <formula>NOT(ISERROR(SEARCH("Amber",G41)))</formula>
    </cfRule>
    <cfRule type="containsText" dxfId="557" priority="69" operator="containsText" text="Green">
      <formula>NOT(ISERROR(SEARCH("Green",G41)))</formula>
    </cfRule>
    <cfRule type="containsText" dxfId="556" priority="70" operator="containsText" text="Red">
      <formula>NOT(ISERROR(SEARCH("Red",G41)))</formula>
    </cfRule>
    <cfRule type="containsText" dxfId="555" priority="71" operator="containsText" text="Amber">
      <formula>NOT(ISERROR(SEARCH("Amber",G41)))</formula>
    </cfRule>
    <cfRule type="containsText" dxfId="554" priority="72" operator="containsText" text="Green">
      <formula>NOT(ISERROR(SEARCH("Green",G41)))</formula>
    </cfRule>
    <cfRule type="containsText" dxfId="553" priority="73" operator="containsText" text="Red">
      <formula>NOT(ISERROR(SEARCH("Red",G41)))</formula>
    </cfRule>
    <cfRule type="containsText" dxfId="552" priority="74" operator="containsText" text="Amber">
      <formula>NOT(ISERROR(SEARCH("Amber",G41)))</formula>
    </cfRule>
    <cfRule type="containsText" dxfId="551" priority="75" operator="containsText" text="Green">
      <formula>NOT(ISERROR(SEARCH("Green",G41)))</formula>
    </cfRule>
    <cfRule type="containsText" dxfId="550" priority="76" operator="containsText" text="Red">
      <formula>NOT(ISERROR(SEARCH("Red",G41)))</formula>
    </cfRule>
    <cfRule type="containsText" dxfId="549" priority="77" operator="containsText" text="Amber">
      <formula>NOT(ISERROR(SEARCH("Amber",G41)))</formula>
    </cfRule>
    <cfRule type="containsText" dxfId="548" priority="78" operator="containsText" text="Green">
      <formula>NOT(ISERROR(SEARCH("Green",G41)))</formula>
    </cfRule>
    <cfRule type="containsText" dxfId="547" priority="79" operator="containsText" text="Red">
      <formula>NOT(ISERROR(SEARCH("Red",G41)))</formula>
    </cfRule>
    <cfRule type="containsText" dxfId="546" priority="80" operator="containsText" text="Amber">
      <formula>NOT(ISERROR(SEARCH("Amber",G41)))</formula>
    </cfRule>
    <cfRule type="containsText" dxfId="545" priority="81" operator="containsText" text="Green">
      <formula>NOT(ISERROR(SEARCH("Green",G41)))</formula>
    </cfRule>
    <cfRule type="containsText" dxfId="544" priority="82" operator="containsText" text="Red">
      <formula>NOT(ISERROR(SEARCH("Red",G41)))</formula>
    </cfRule>
    <cfRule type="containsText" dxfId="543" priority="83" operator="containsText" text="Amber">
      <formula>NOT(ISERROR(SEARCH("Amber",G41)))</formula>
    </cfRule>
    <cfRule type="containsText" dxfId="542" priority="84" operator="containsText" text="Green">
      <formula>NOT(ISERROR(SEARCH("Green",G41)))</formula>
    </cfRule>
    <cfRule type="containsText" dxfId="541" priority="85" operator="containsText" text="Red">
      <formula>NOT(ISERROR(SEARCH("Red",G41)))</formula>
    </cfRule>
    <cfRule type="containsText" dxfId="540" priority="86" operator="containsText" text="Amber">
      <formula>NOT(ISERROR(SEARCH("Amber",G41)))</formula>
    </cfRule>
    <cfRule type="containsText" dxfId="539" priority="87" operator="containsText" text="Green">
      <formula>NOT(ISERROR(SEARCH("Green",G41)))</formula>
    </cfRule>
    <cfRule type="containsText" dxfId="538" priority="88" operator="containsText" text="Red">
      <formula>NOT(ISERROR(SEARCH("Red",G41)))</formula>
    </cfRule>
    <cfRule type="containsText" dxfId="537" priority="89" operator="containsText" text="Amber">
      <formula>NOT(ISERROR(SEARCH("Amber",G41)))</formula>
    </cfRule>
    <cfRule type="containsText" dxfId="536" priority="90" operator="containsText" text="Green">
      <formula>NOT(ISERROR(SEARCH("Green",G41)))</formula>
    </cfRule>
    <cfRule type="containsText" dxfId="535" priority="91" operator="containsText" text="Red">
      <formula>NOT(ISERROR(SEARCH("Red",G41)))</formula>
    </cfRule>
    <cfRule type="containsText" dxfId="534" priority="92" operator="containsText" text="Amber">
      <formula>NOT(ISERROR(SEARCH("Amber",G41)))</formula>
    </cfRule>
    <cfRule type="containsText" dxfId="533" priority="93" operator="containsText" text="Green">
      <formula>NOT(ISERROR(SEARCH("Green",G41)))</formula>
    </cfRule>
    <cfRule type="containsText" dxfId="532" priority="94" operator="containsText" text="Red">
      <formula>NOT(ISERROR(SEARCH("Red",G41)))</formula>
    </cfRule>
    <cfRule type="containsText" dxfId="531" priority="95" operator="containsText" text="Amber">
      <formula>NOT(ISERROR(SEARCH("Amber",G41)))</formula>
    </cfRule>
    <cfRule type="containsText" dxfId="530" priority="96" operator="containsText" text="Green">
      <formula>NOT(ISERROR(SEARCH("Green",G41)))</formula>
    </cfRule>
    <cfRule type="containsText" dxfId="529" priority="97" operator="containsText" text="Red">
      <formula>NOT(ISERROR(SEARCH("Red",G41)))</formula>
    </cfRule>
    <cfRule type="containsText" dxfId="528" priority="98" operator="containsText" text="Amber">
      <formula>NOT(ISERROR(SEARCH("Amber",G41)))</formula>
    </cfRule>
    <cfRule type="containsText" dxfId="527" priority="99" operator="containsText" text="Green">
      <formula>NOT(ISERROR(SEARCH("Green",G41)))</formula>
    </cfRule>
    <cfRule type="containsText" dxfId="526" priority="100" operator="containsText" text="Red">
      <formula>NOT(ISERROR(SEARCH("Red",G41)))</formula>
    </cfRule>
  </conditionalFormatting>
  <conditionalFormatting sqref="G41:G42">
    <cfRule type="containsText" dxfId="525" priority="101" operator="containsText" text="Amber">
      <formula>NOT(ISERROR(SEARCH("Amber",G41)))</formula>
    </cfRule>
    <cfRule type="containsText" dxfId="524" priority="102" operator="containsText" text="Green">
      <formula>NOT(ISERROR(SEARCH("Green",G41)))</formula>
    </cfRule>
    <cfRule type="containsText" dxfId="523" priority="103" operator="containsText" text="Red">
      <formula>NOT(ISERROR(SEARCH("Red",G41)))</formula>
    </cfRule>
  </conditionalFormatting>
  <conditionalFormatting sqref="G42">
    <cfRule type="containsText" dxfId="522" priority="299" operator="containsText" text="Amber">
      <formula>NOT(ISERROR(SEARCH("Amber",G42)))</formula>
    </cfRule>
    <cfRule type="containsText" dxfId="521" priority="300" operator="containsText" text="Green">
      <formula>NOT(ISERROR(SEARCH("Green",G42)))</formula>
    </cfRule>
    <cfRule type="containsText" dxfId="520" priority="301" operator="containsText" text="Red">
      <formula>NOT(ISERROR(SEARCH("Red",G42)))</formula>
    </cfRule>
    <cfRule type="containsText" dxfId="519" priority="302" operator="containsText" text="Amber">
      <formula>NOT(ISERROR(SEARCH("Amber",G42)))</formula>
    </cfRule>
    <cfRule type="containsText" dxfId="518" priority="303" operator="containsText" text="Green">
      <formula>NOT(ISERROR(SEARCH("Green",G42)))</formula>
    </cfRule>
    <cfRule type="containsText" dxfId="517" priority="304" operator="containsText" text="Red">
      <formula>NOT(ISERROR(SEARCH("Red",G42)))</formula>
    </cfRule>
    <cfRule type="containsText" dxfId="516" priority="305" operator="containsText" text="Amber">
      <formula>NOT(ISERROR(SEARCH("Amber",G42)))</formula>
    </cfRule>
    <cfRule type="containsText" dxfId="515" priority="306" operator="containsText" text="Green">
      <formula>NOT(ISERROR(SEARCH("Green",G42)))</formula>
    </cfRule>
    <cfRule type="containsText" dxfId="514" priority="307" operator="containsText" text="Red">
      <formula>NOT(ISERROR(SEARCH("Red",G42)))</formula>
    </cfRule>
    <cfRule type="containsText" dxfId="513" priority="308" operator="containsText" text="Amber">
      <formula>NOT(ISERROR(SEARCH("Amber",G42)))</formula>
    </cfRule>
    <cfRule type="containsText" dxfId="512" priority="309" operator="containsText" text="Green">
      <formula>NOT(ISERROR(SEARCH("Green",G42)))</formula>
    </cfRule>
    <cfRule type="containsText" dxfId="511" priority="310" operator="containsText" text="Red">
      <formula>NOT(ISERROR(SEARCH("Red",G42)))</formula>
    </cfRule>
    <cfRule type="containsText" dxfId="510" priority="311" operator="containsText" text="Amber">
      <formula>NOT(ISERROR(SEARCH("Amber",G42)))</formula>
    </cfRule>
    <cfRule type="containsText" dxfId="509" priority="312" operator="containsText" text="Green">
      <formula>NOT(ISERROR(SEARCH("Green",G42)))</formula>
    </cfRule>
    <cfRule type="containsText" dxfId="508" priority="313" operator="containsText" text="Red">
      <formula>NOT(ISERROR(SEARCH("Red",G42)))</formula>
    </cfRule>
    <cfRule type="containsText" dxfId="507" priority="314" operator="containsText" text="Amber">
      <formula>NOT(ISERROR(SEARCH("Amber",G42)))</formula>
    </cfRule>
    <cfRule type="containsText" dxfId="506" priority="315" operator="containsText" text="Green">
      <formula>NOT(ISERROR(SEARCH("Green",G42)))</formula>
    </cfRule>
    <cfRule type="containsText" dxfId="505" priority="316" operator="containsText" text="Red">
      <formula>NOT(ISERROR(SEARCH("Red",G42)))</formula>
    </cfRule>
    <cfRule type="containsText" dxfId="504" priority="317" operator="containsText" text="Amber">
      <formula>NOT(ISERROR(SEARCH("Amber",G42)))</formula>
    </cfRule>
    <cfRule type="containsText" dxfId="503" priority="318" operator="containsText" text="Green">
      <formula>NOT(ISERROR(SEARCH("Green",G42)))</formula>
    </cfRule>
    <cfRule type="containsText" dxfId="502" priority="319" operator="containsText" text="Red">
      <formula>NOT(ISERROR(SEARCH("Red",G42)))</formula>
    </cfRule>
    <cfRule type="containsText" dxfId="501" priority="320" operator="containsText" text="Amber">
      <formula>NOT(ISERROR(SEARCH("Amber",G42)))</formula>
    </cfRule>
    <cfRule type="containsText" dxfId="500" priority="321" operator="containsText" text="Green">
      <formula>NOT(ISERROR(SEARCH("Green",G42)))</formula>
    </cfRule>
    <cfRule type="containsText" dxfId="499" priority="322" operator="containsText" text="Red">
      <formula>NOT(ISERROR(SEARCH("Red",G42)))</formula>
    </cfRule>
    <cfRule type="containsText" dxfId="498" priority="323" operator="containsText" text="Amber">
      <formula>NOT(ISERROR(SEARCH("Amber",G42)))</formula>
    </cfRule>
    <cfRule type="containsText" dxfId="497" priority="324" operator="containsText" text="Green">
      <formula>NOT(ISERROR(SEARCH("Green",G42)))</formula>
    </cfRule>
    <cfRule type="containsText" dxfId="496" priority="325" operator="containsText" text="Red">
      <formula>NOT(ISERROR(SEARCH("Red",G42)))</formula>
    </cfRule>
    <cfRule type="containsText" dxfId="495" priority="326" operator="containsText" text="Amber">
      <formula>NOT(ISERROR(SEARCH("Amber",G42)))</formula>
    </cfRule>
    <cfRule type="containsText" dxfId="494" priority="327" operator="containsText" text="Green">
      <formula>NOT(ISERROR(SEARCH("Green",G42)))</formula>
    </cfRule>
    <cfRule type="containsText" dxfId="493" priority="328" operator="containsText" text="Red">
      <formula>NOT(ISERROR(SEARCH("Red",G42)))</formula>
    </cfRule>
    <cfRule type="containsText" dxfId="492" priority="329" operator="containsText" text="Amber">
      <formula>NOT(ISERROR(SEARCH("Amber",G42)))</formula>
    </cfRule>
    <cfRule type="containsText" dxfId="491" priority="330" operator="containsText" text="Green">
      <formula>NOT(ISERROR(SEARCH("Green",G42)))</formula>
    </cfRule>
    <cfRule type="containsText" dxfId="490" priority="331" operator="containsText" text="Red">
      <formula>NOT(ISERROR(SEARCH("Red",G42)))</formula>
    </cfRule>
    <cfRule type="containsText" dxfId="489" priority="332" operator="containsText" text="Amber">
      <formula>NOT(ISERROR(SEARCH("Amber",G42)))</formula>
    </cfRule>
    <cfRule type="containsText" dxfId="488" priority="333" operator="containsText" text="Green">
      <formula>NOT(ISERROR(SEARCH("Green",G42)))</formula>
    </cfRule>
    <cfRule type="containsText" dxfId="487" priority="334" operator="containsText" text="Red">
      <formula>NOT(ISERROR(SEARCH("Red",G42)))</formula>
    </cfRule>
    <cfRule type="containsText" dxfId="486" priority="335" operator="containsText" text="Amber">
      <formula>NOT(ISERROR(SEARCH("Amber",G42)))</formula>
    </cfRule>
    <cfRule type="containsText" dxfId="485" priority="336" operator="containsText" text="Green">
      <formula>NOT(ISERROR(SEARCH("Green",G42)))</formula>
    </cfRule>
    <cfRule type="containsText" dxfId="484" priority="337" operator="containsText" text="Red">
      <formula>NOT(ISERROR(SEARCH("Red",G42)))</formula>
    </cfRule>
    <cfRule type="containsText" dxfId="483" priority="338" operator="containsText" text="Amber">
      <formula>NOT(ISERROR(SEARCH("Amber",G42)))</formula>
    </cfRule>
    <cfRule type="containsText" dxfId="482" priority="339" operator="containsText" text="Green">
      <formula>NOT(ISERROR(SEARCH("Green",G42)))</formula>
    </cfRule>
    <cfRule type="containsText" dxfId="481" priority="340" operator="containsText" text="Red">
      <formula>NOT(ISERROR(SEARCH("Red",G42)))</formula>
    </cfRule>
    <cfRule type="containsText" dxfId="480" priority="341" operator="containsText" text="Amber">
      <formula>NOT(ISERROR(SEARCH("Amber",G42)))</formula>
    </cfRule>
    <cfRule type="containsText" dxfId="479" priority="342" operator="containsText" text="Green">
      <formula>NOT(ISERROR(SEARCH("Green",G42)))</formula>
    </cfRule>
    <cfRule type="containsText" dxfId="478" priority="343" operator="containsText" text="Red">
      <formula>NOT(ISERROR(SEARCH("Red",G42)))</formula>
    </cfRule>
  </conditionalFormatting>
  <conditionalFormatting sqref="G43:G45 G51">
    <cfRule type="containsText" dxfId="477" priority="694" operator="containsText" text="Amber">
      <formula>NOT(ISERROR(SEARCH("Amber",G43)))</formula>
    </cfRule>
    <cfRule type="containsText" dxfId="476" priority="695" operator="containsText" text="Green">
      <formula>NOT(ISERROR(SEARCH("Green",G43)))</formula>
    </cfRule>
    <cfRule type="containsText" dxfId="475" priority="696" operator="containsText" text="Red">
      <formula>NOT(ISERROR(SEARCH("Red",G43)))</formula>
    </cfRule>
  </conditionalFormatting>
  <conditionalFormatting sqref="G47:G52">
    <cfRule type="containsText" dxfId="474" priority="240" operator="containsText" text="Green">
      <formula>NOT(ISERROR(SEARCH("Green",G47)))</formula>
    </cfRule>
    <cfRule type="containsText" dxfId="473" priority="241" operator="containsText" text="Red">
      <formula>NOT(ISERROR(SEARCH("Red",G47)))</formula>
    </cfRule>
  </conditionalFormatting>
  <conditionalFormatting sqref="G51">
    <cfRule type="containsText" dxfId="472" priority="683" operator="containsText" text="Amber">
      <formula>NOT(ISERROR(SEARCH("Amber",G51)))</formula>
    </cfRule>
    <cfRule type="containsText" dxfId="471" priority="684" operator="containsText" text="Green">
      <formula>NOT(ISERROR(SEARCH("Green",G51)))</formula>
    </cfRule>
    <cfRule type="containsText" dxfId="470" priority="685" operator="containsText" text="Red">
      <formula>NOT(ISERROR(SEARCH("Red",G51)))</formula>
    </cfRule>
  </conditionalFormatting>
  <conditionalFormatting sqref="G53:G54">
    <cfRule type="containsText" dxfId="469" priority="18" operator="containsText" text="Amber">
      <formula>NOT(ISERROR(SEARCH("Amber",G53)))</formula>
    </cfRule>
    <cfRule type="containsText" dxfId="468" priority="19" operator="containsText" text="Green">
      <formula>NOT(ISERROR(SEARCH("Green",G53)))</formula>
    </cfRule>
    <cfRule type="containsText" dxfId="467" priority="20" operator="containsText" text="Red">
      <formula>NOT(ISERROR(SEARCH("Red",G53)))</formula>
    </cfRule>
  </conditionalFormatting>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fitToPage="1"/>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5" width="14" style="251" customWidth="1" collapsed="1"/>
    <col min="6" max="6" width="14" style="251" customWidth="1"/>
    <col min="7" max="7" width="14" style="251" customWidth="1" collapsed="1"/>
    <col min="8" max="12" width="14" style="251" customWidth="1"/>
    <col min="13" max="16384" width="9.1796875" style="251"/>
  </cols>
  <sheetData>
    <row r="2" spans="2:12" ht="13">
      <c r="B2" s="286" t="s">
        <v>48</v>
      </c>
      <c r="C2" s="287" t="s">
        <v>201</v>
      </c>
      <c r="G2" s="595" t="s">
        <v>507</v>
      </c>
      <c r="H2" s="596"/>
    </row>
    <row r="3" spans="2:12" ht="13">
      <c r="B3" s="286" t="s">
        <v>49</v>
      </c>
      <c r="C3" s="288" t="s">
        <v>202</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UFBB'!$A:$Q,4,FALSE)</f>
        <v>77.405451344624538</v>
      </c>
      <c r="E7" s="297">
        <f>VLOOKUP($C7,'Raw - UFBB'!$A:$Q,8,FALSE)</f>
        <v>80.5</v>
      </c>
      <c r="F7" s="297">
        <f>VLOOKUP($C7,'Raw - UFBB'!$A:$Q,12,FALSE)</f>
        <v>85.5</v>
      </c>
      <c r="G7" s="297">
        <f>VLOOKUP($C7,'Raw - UFBB'!$A:$Q,16,FALSE)</f>
        <v>88.286273966639627</v>
      </c>
      <c r="H7" s="318">
        <f>VLOOKUP(C7,'Raw - UFBB'!A:Q,14,FALSE)</f>
        <v>44619</v>
      </c>
      <c r="I7" s="299">
        <f>SUM(G7-D7)</f>
        <v>10.880822622015089</v>
      </c>
      <c r="J7" s="300">
        <f>SUM(VLOOKUP(C7,'Raw - UFBB'!A:Q,14,FALSE)-VLOOKUP(C7,'Raw - UFBB'!A:Q,2,FALSE))</f>
        <v>6366</v>
      </c>
      <c r="K7" s="301">
        <f t="shared" ref="K7:K14" si="0">IF(IF($K$5="LGBF FAMILY GROUP",SUM(G$17-G7),IF($K$5="Glasgow City Region",SUM(G$18-G7),IF($K$5="Scotland",SUM(G$19-G7),IF($K$5="United Kingdom",SUM(G$20-G7),SUM(G$16-G7)))))&lt;0,"",IF($K$5="LGBF FAMILY GROUP",SUM(G$17-G7),IF($K$5="Glasgow City Region",SUM(G$18-G7),IF($K$5="Scotland",SUM(G$19-G7),IF($K$5="United Kingdom",SUM(G$20-G7),SUM(G$16-G7))))))</f>
        <v>5.0167008390823042</v>
      </c>
      <c r="L7" s="302">
        <f>IF(K7="","",IF($K$5="Glasgow City Region",SUM(MROUND(SUM(SUM(VLOOKUP(C$17,'Raw - UFBB'!A:Q,16,FALSE)*VLOOKUP(C7,'Raw - UFBB'!A:Q,15,FALSE))/100),100)-MROUND(SUM(SUM(VLOOKUP(C7,'Raw - UFBB'!A:Q,16,FALSE)*VLOOKUP(C7,'Raw - UFBB'!A:Q,15,FALSE))/100),100)),IF($K$5="Glasgow City Region",SUM(MROUND(SUM(SUM(VLOOKUP(C$18,'Raw - UFBB'!A:Q,16,FALSE)*VLOOKUP(C7,'Raw - UFBB'!A:Q,15,FALSE))/100),100)-MROUND(SUM(SUM(VLOOKUP(C7,'Raw - UFBB'!A:Q,16,FALSE)*VLOOKUP(C7,'Raw - UFBB'!A:Q,15,FALSE))/100),100)),IF($K$5="Scotland",SUM(MROUND(SUM(SUM(VLOOKUP(C$19,'Raw - UFBB'!A:Q,16,FALSE)*VLOOKUP(C7,'Raw - UFBB'!A:Q,15,FALSE))/100),100)-MROUND(SUM(SUM(VLOOKUP(C7,'Raw - UFBB'!A:Q,16,FALSE)*VLOOKUP(C7,'Raw - UFBB'!A:Q,15,FALSE))/100),100)),IF($K$5="United Kingdom",SUM(MROUND(SUM(SUM(VLOOKUP(C$20,'Raw - UFBB'!A:Q,16,FALSE)*VLOOKUP(C7,'Raw - UFBB'!A:Q,15,FALSE))/100),100)-MROUND(SUM(SUM(VLOOKUP(C7,'Raw - UFBB'!A:Q,16,FALSE)*VLOOKUP(C7,'Raw - UFBB'!A:Q,15,FALSE))/100),100)),SUM(MROUND(SUM(SUM(VLOOKUP(C$16,'Raw - UFBB'!A:Q,16,FALSE)*VLOOKUP(C7,'Raw - UFBB'!A:Q,15,FALSE))/100),100)-MROUND(SUM(SUM(VLOOKUP(C7,'Raw - UFBB'!A:Q,16,FALSE)*VLOOKUP(C7,'Raw - UFBB'!A:Q,15,FALSE))/100),100)))))))</f>
        <v>2600</v>
      </c>
    </row>
    <row r="8" spans="2:12" ht="19.5" customHeight="1">
      <c r="B8" s="296" t="s">
        <v>249</v>
      </c>
      <c r="C8" s="296" t="s">
        <v>24</v>
      </c>
      <c r="D8" s="297">
        <f>VLOOKUP($C8,'Raw - UFBB'!$A:$Q,4,FALSE)</f>
        <v>69.876109647839229</v>
      </c>
      <c r="E8" s="297">
        <f>VLOOKUP($C8,'Raw - UFBB'!$A:$Q,8,FALSE)</f>
        <v>70.400000000000006</v>
      </c>
      <c r="F8" s="297">
        <f>VLOOKUP($C8,'Raw - UFBB'!$A:$Q,12,FALSE)</f>
        <v>77.5</v>
      </c>
      <c r="G8" s="297">
        <f>VLOOKUP($C8,'Raw - UFBB'!$A:$Q,16,FALSE)</f>
        <v>82.781112634116369</v>
      </c>
      <c r="H8" s="318">
        <f>VLOOKUP(C8,'Raw - UFBB'!A:Q,14,FALSE)</f>
        <v>35028</v>
      </c>
      <c r="I8" s="299">
        <f t="shared" ref="I8:I14" si="1">SUM(G8-D8)</f>
        <v>12.90500298627714</v>
      </c>
      <c r="J8" s="300">
        <f>SUM(VLOOKUP(C8,'Raw - UFBB'!A:Q,14,FALSE)-VLOOKUP(C8,'Raw - UFBB'!A:Q,2,FALSE))</f>
        <v>6376</v>
      </c>
      <c r="K8" s="301">
        <f t="shared" si="0"/>
        <v>10.521862171605562</v>
      </c>
      <c r="L8" s="302">
        <f>IF(K8="","",IF($K$5="Glasgow City Region",SUM(MROUND(SUM(SUM(VLOOKUP(C$17,'Raw - UFBB'!A:Q,16,FALSE)*VLOOKUP(C8,'Raw - UFBB'!A:Q,15,FALSE))/100),100)-MROUND(SUM(SUM(VLOOKUP(C8,'Raw - UFBB'!A:Q,16,FALSE)*VLOOKUP(C8,'Raw - UFBB'!A:Q,15,FALSE))/100),100)),IF($K$5="Glasgow City Region",SUM(MROUND(SUM(SUM(VLOOKUP(C$18,'Raw - UFBB'!A:Q,16,FALSE)*VLOOKUP(C8,'Raw - UFBB'!A:Q,15,FALSE))/100),100)-MROUND(SUM(SUM(VLOOKUP(C8,'Raw - UFBB'!A:Q,16,FALSE)*VLOOKUP(C8,'Raw - UFBB'!A:Q,15,FALSE))/100),100)),IF($K$5="Scotland",SUM(MROUND(SUM(SUM(VLOOKUP(C$19,'Raw - UFBB'!A:Q,16,FALSE)*VLOOKUP(C8,'Raw - UFBB'!A:Q,15,FALSE))/100),100)-MROUND(SUM(SUM(VLOOKUP(C8,'Raw - UFBB'!A:Q,16,FALSE)*VLOOKUP(C8,'Raw - UFBB'!A:Q,15,FALSE))/100),100)),IF($K$5="United Kingdom",SUM(MROUND(SUM(SUM(VLOOKUP(C$20,'Raw - UFBB'!A:Q,16,FALSE)*VLOOKUP(C8,'Raw - UFBB'!A:Q,15,FALSE))/100),100)-MROUND(SUM(SUM(VLOOKUP(C8,'Raw - UFBB'!A:Q,16,FALSE)*VLOOKUP(C8,'Raw - UFBB'!A:Q,15,FALSE))/100),100)),SUM(MROUND(SUM(SUM(VLOOKUP(C$16,'Raw - UFBB'!A:Q,16,FALSE)*VLOOKUP(C8,'Raw - UFBB'!A:Q,15,FALSE))/100),100)-MROUND(SUM(SUM(VLOOKUP(C8,'Raw - UFBB'!A:Q,16,FALSE)*VLOOKUP(C8,'Raw - UFBB'!A:Q,15,FALSE))/100),100)))))))</f>
        <v>4500</v>
      </c>
    </row>
    <row r="9" spans="2:12" ht="19.5" customHeight="1">
      <c r="B9" s="296" t="s">
        <v>249</v>
      </c>
      <c r="C9" s="296" t="s">
        <v>27</v>
      </c>
      <c r="D9" s="297">
        <f>VLOOKUP($C9,'Raw - UFBB'!$A:$Q,4,FALSE)</f>
        <v>63.672372498665261</v>
      </c>
      <c r="E9" s="297">
        <f>VLOOKUP($C9,'Raw - UFBB'!$A:$Q,8,FALSE)</f>
        <v>70.900000000000006</v>
      </c>
      <c r="F9" s="297">
        <f>VLOOKUP($C9,'Raw - UFBB'!$A:$Q,12,FALSE)</f>
        <v>77.099999999999994</v>
      </c>
      <c r="G9" s="297">
        <f>VLOOKUP($C9,'Raw - UFBB'!$A:$Q,16,FALSE)</f>
        <v>85.637323437944247</v>
      </c>
      <c r="H9" s="318">
        <f>VLOOKUP(C9,'Raw - UFBB'!A:Q,14,FALSE)</f>
        <v>292168</v>
      </c>
      <c r="I9" s="299">
        <f t="shared" si="1"/>
        <v>21.964950939278985</v>
      </c>
      <c r="J9" s="300">
        <f>SUM(VLOOKUP(C9,'Raw - UFBB'!A:Q,14,FALSE)-VLOOKUP(C9,'Raw - UFBB'!A:Q,2,FALSE))</f>
        <v>78693</v>
      </c>
      <c r="K9" s="301">
        <f t="shared" si="0"/>
        <v>7.6656513677776843</v>
      </c>
      <c r="L9" s="302">
        <f>IF(K9="","",IF($K$5="Glasgow City Region",SUM(MROUND(SUM(SUM(VLOOKUP(C$17,'Raw - UFBB'!A:Q,16,FALSE)*VLOOKUP(C9,'Raw - UFBB'!A:Q,15,FALSE))/100),100)-MROUND(SUM(SUM(VLOOKUP(C9,'Raw - UFBB'!A:Q,16,FALSE)*VLOOKUP(C9,'Raw - UFBB'!A:Q,15,FALSE))/100),100)),IF($K$5="Glasgow City Region",SUM(MROUND(SUM(SUM(VLOOKUP(C$18,'Raw - UFBB'!A:Q,16,FALSE)*VLOOKUP(C9,'Raw - UFBB'!A:Q,15,FALSE))/100),100)-MROUND(SUM(SUM(VLOOKUP(C9,'Raw - UFBB'!A:Q,16,FALSE)*VLOOKUP(C9,'Raw - UFBB'!A:Q,15,FALSE))/100),100)),IF($K$5="Scotland",SUM(MROUND(SUM(SUM(VLOOKUP(C$19,'Raw - UFBB'!A:Q,16,FALSE)*VLOOKUP(C9,'Raw - UFBB'!A:Q,15,FALSE))/100),100)-MROUND(SUM(SUM(VLOOKUP(C9,'Raw - UFBB'!A:Q,16,FALSE)*VLOOKUP(C9,'Raw - UFBB'!A:Q,15,FALSE))/100),100)),IF($K$5="United Kingdom",SUM(MROUND(SUM(SUM(VLOOKUP(C$20,'Raw - UFBB'!A:Q,16,FALSE)*VLOOKUP(C9,'Raw - UFBB'!A:Q,15,FALSE))/100),100)-MROUND(SUM(SUM(VLOOKUP(C9,'Raw - UFBB'!A:Q,16,FALSE)*VLOOKUP(C9,'Raw - UFBB'!A:Q,15,FALSE))/100),100)),SUM(MROUND(SUM(SUM(VLOOKUP(C$16,'Raw - UFBB'!A:Q,16,FALSE)*VLOOKUP(C9,'Raw - UFBB'!A:Q,15,FALSE))/100),100)-MROUND(SUM(SUM(VLOOKUP(C9,'Raw - UFBB'!A:Q,16,FALSE)*VLOOKUP(C9,'Raw - UFBB'!A:Q,15,FALSE))/100),100)))))))</f>
        <v>26100</v>
      </c>
    </row>
    <row r="10" spans="2:12" ht="19.5" customHeight="1">
      <c r="B10" s="296" t="s">
        <v>249</v>
      </c>
      <c r="C10" s="296" t="s">
        <v>29</v>
      </c>
      <c r="D10" s="297">
        <f>VLOOKUP($C10,'Raw - UFBB'!$A:$Q,4,FALSE)</f>
        <v>72.795867847281727</v>
      </c>
      <c r="E10" s="297">
        <f>VLOOKUP($C10,'Raw - UFBB'!$A:$Q,8,FALSE)</f>
        <v>73.099999999999994</v>
      </c>
      <c r="F10" s="297">
        <f>VLOOKUP($C10,'Raw - UFBB'!$A:$Q,12,FALSE)</f>
        <v>74.3</v>
      </c>
      <c r="G10" s="297">
        <f>VLOOKUP($C10,'Raw - UFBB'!$A:$Q,16,FALSE)</f>
        <v>76.210735304545125</v>
      </c>
      <c r="H10" s="318">
        <f>VLOOKUP(C10,'Raw - UFBB'!A:Q,14,FALSE)</f>
        <v>32244</v>
      </c>
      <c r="I10" s="299">
        <f t="shared" si="1"/>
        <v>3.4148674572633979</v>
      </c>
      <c r="J10" s="300">
        <f>SUM(VLOOKUP(C10,'Raw - UFBB'!A:Q,14,FALSE)-VLOOKUP(C10,'Raw - UFBB'!A:Q,2,FALSE))</f>
        <v>1661</v>
      </c>
      <c r="K10" s="301">
        <f t="shared" si="0"/>
        <v>17.092239501176806</v>
      </c>
      <c r="L10" s="302">
        <f>IF(K10="","",IF($K$5="Glasgow City Region",SUM(MROUND(SUM(SUM(VLOOKUP(C$17,'Raw - UFBB'!A:Q,16,FALSE)*VLOOKUP(C10,'Raw - UFBB'!A:Q,15,FALSE))/100),100)-MROUND(SUM(SUM(VLOOKUP(C10,'Raw - UFBB'!A:Q,16,FALSE)*VLOOKUP(C10,'Raw - UFBB'!A:Q,15,FALSE))/100),100)),IF($K$5="Glasgow City Region",SUM(MROUND(SUM(SUM(VLOOKUP(C$18,'Raw - UFBB'!A:Q,16,FALSE)*VLOOKUP(C10,'Raw - UFBB'!A:Q,15,FALSE))/100),100)-MROUND(SUM(SUM(VLOOKUP(C10,'Raw - UFBB'!A:Q,16,FALSE)*VLOOKUP(C10,'Raw - UFBB'!A:Q,15,FALSE))/100),100)),IF($K$5="Scotland",SUM(MROUND(SUM(SUM(VLOOKUP(C$19,'Raw - UFBB'!A:Q,16,FALSE)*VLOOKUP(C10,'Raw - UFBB'!A:Q,15,FALSE))/100),100)-MROUND(SUM(SUM(VLOOKUP(C10,'Raw - UFBB'!A:Q,16,FALSE)*VLOOKUP(C10,'Raw - UFBB'!A:Q,15,FALSE))/100),100)),IF($K$5="United Kingdom",SUM(MROUND(SUM(SUM(VLOOKUP(C$20,'Raw - UFBB'!A:Q,16,FALSE)*VLOOKUP(C10,'Raw - UFBB'!A:Q,15,FALSE))/100),100)-MROUND(SUM(SUM(VLOOKUP(C10,'Raw - UFBB'!A:Q,16,FALSE)*VLOOKUP(C10,'Raw - UFBB'!A:Q,15,FALSE))/100),100)),SUM(MROUND(SUM(SUM(VLOOKUP(C$16,'Raw - UFBB'!A:Q,16,FALSE)*VLOOKUP(C10,'Raw - UFBB'!A:Q,15,FALSE))/100),100)-MROUND(SUM(SUM(VLOOKUP(C10,'Raw - UFBB'!A:Q,16,FALSE)*VLOOKUP(C10,'Raw - UFBB'!A:Q,15,FALSE))/100),100)))))))</f>
        <v>7300</v>
      </c>
    </row>
    <row r="11" spans="2:12" ht="19.5" customHeight="1">
      <c r="B11" s="296" t="s">
        <v>249</v>
      </c>
      <c r="C11" s="296" t="s">
        <v>34</v>
      </c>
      <c r="D11" s="297">
        <f>VLOOKUP($C11,'Raw - UFBB'!$A:$Q,4,FALSE)</f>
        <v>75.079265963831688</v>
      </c>
      <c r="E11" s="297">
        <f>VLOOKUP($C11,'Raw - UFBB'!$A:$Q,8,FALSE)</f>
        <v>78.3</v>
      </c>
      <c r="F11" s="297">
        <f>VLOOKUP($C11,'Raw - UFBB'!$A:$Q,12,FALSE)</f>
        <v>84.8</v>
      </c>
      <c r="G11" s="297">
        <f>VLOOKUP($C11,'Raw - UFBB'!$A:$Q,16,FALSE)</f>
        <v>88.421347878758951</v>
      </c>
      <c r="H11" s="318">
        <f>VLOOKUP(C11,'Raw - UFBB'!A:Q,14,FALSE)</f>
        <v>148165</v>
      </c>
      <c r="I11" s="299">
        <f t="shared" si="1"/>
        <v>13.342081914927263</v>
      </c>
      <c r="J11" s="300">
        <f>SUM(VLOOKUP(C11,'Raw - UFBB'!A:Q,14,FALSE)-VLOOKUP(C11,'Raw - UFBB'!A:Q,2,FALSE))</f>
        <v>24321</v>
      </c>
      <c r="K11" s="301">
        <f t="shared" si="0"/>
        <v>4.88162692696298</v>
      </c>
      <c r="L11" s="302">
        <f>IF(K11="","",IF($K$5="Glasgow City Region",SUM(MROUND(SUM(SUM(VLOOKUP(C$17,'Raw - UFBB'!A:Q,16,FALSE)*VLOOKUP(C11,'Raw - UFBB'!A:Q,15,FALSE))/100),100)-MROUND(SUM(SUM(VLOOKUP(C11,'Raw - UFBB'!A:Q,16,FALSE)*VLOOKUP(C11,'Raw - UFBB'!A:Q,15,FALSE))/100),100)),IF($K$5="Glasgow City Region",SUM(MROUND(SUM(SUM(VLOOKUP(C$18,'Raw - UFBB'!A:Q,16,FALSE)*VLOOKUP(C11,'Raw - UFBB'!A:Q,15,FALSE))/100),100)-MROUND(SUM(SUM(VLOOKUP(C11,'Raw - UFBB'!A:Q,16,FALSE)*VLOOKUP(C11,'Raw - UFBB'!A:Q,15,FALSE))/100),100)),IF($K$5="Scotland",SUM(MROUND(SUM(SUM(VLOOKUP(C$19,'Raw - UFBB'!A:Q,16,FALSE)*VLOOKUP(C11,'Raw - UFBB'!A:Q,15,FALSE))/100),100)-MROUND(SUM(SUM(VLOOKUP(C11,'Raw - UFBB'!A:Q,16,FALSE)*VLOOKUP(C11,'Raw - UFBB'!A:Q,15,FALSE))/100),100)),IF($K$5="United Kingdom",SUM(MROUND(SUM(SUM(VLOOKUP(C$20,'Raw - UFBB'!A:Q,16,FALSE)*VLOOKUP(C11,'Raw - UFBB'!A:Q,15,FALSE))/100),100)-MROUND(SUM(SUM(VLOOKUP(C11,'Raw - UFBB'!A:Q,16,FALSE)*VLOOKUP(C11,'Raw - UFBB'!A:Q,15,FALSE))/100),100)),SUM(MROUND(SUM(SUM(VLOOKUP(C$16,'Raw - UFBB'!A:Q,16,FALSE)*VLOOKUP(C11,'Raw - UFBB'!A:Q,15,FALSE))/100),100)-MROUND(SUM(SUM(VLOOKUP(C11,'Raw - UFBB'!A:Q,16,FALSE)*VLOOKUP(C11,'Raw - UFBB'!A:Q,15,FALSE))/100),100)))))))</f>
        <v>8100</v>
      </c>
    </row>
    <row r="12" spans="2:12" ht="19.5" customHeight="1">
      <c r="B12" s="296" t="s">
        <v>249</v>
      </c>
      <c r="C12" s="296" t="s">
        <v>37</v>
      </c>
      <c r="D12" s="297">
        <f>VLOOKUP($C12,'Raw - UFBB'!$A:$Q,4,FALSE)</f>
        <v>73.626118275822009</v>
      </c>
      <c r="E12" s="297">
        <f>VLOOKUP($C12,'Raw - UFBB'!$A:$Q,8,FALSE)</f>
        <v>83.9</v>
      </c>
      <c r="F12" s="297">
        <f>VLOOKUP($C12,'Raw - UFBB'!$A:$Q,12,FALSE)</f>
        <v>90.6</v>
      </c>
      <c r="G12" s="297">
        <f>VLOOKUP($C12,'Raw - UFBB'!$A:$Q,16,FALSE)</f>
        <v>91.872411106098511</v>
      </c>
      <c r="H12" s="318">
        <f>VLOOKUP(C12,'Raw - UFBB'!A:Q,14,FALSE)</f>
        <v>89605</v>
      </c>
      <c r="I12" s="299">
        <f t="shared" si="1"/>
        <v>18.246292830276502</v>
      </c>
      <c r="J12" s="300">
        <f>SUM(VLOOKUP(C12,'Raw - UFBB'!A:Q,14,FALSE)-VLOOKUP(C12,'Raw - UFBB'!A:Q,2,FALSE))</f>
        <v>19898</v>
      </c>
      <c r="K12" s="301">
        <f t="shared" si="0"/>
        <v>1.4305636996234199</v>
      </c>
      <c r="L12" s="302">
        <f>IF(K12="","",IF($K$5="Glasgow City Region",SUM(MROUND(SUM(SUM(VLOOKUP(C$17,'Raw - UFBB'!A:Q,16,FALSE)*VLOOKUP(C12,'Raw - UFBB'!A:Q,15,FALSE))/100),100)-MROUND(SUM(SUM(VLOOKUP(C12,'Raw - UFBB'!A:Q,16,FALSE)*VLOOKUP(C12,'Raw - UFBB'!A:Q,15,FALSE))/100),100)),IF($K$5="Glasgow City Region",SUM(MROUND(SUM(SUM(VLOOKUP(C$18,'Raw - UFBB'!A:Q,16,FALSE)*VLOOKUP(C12,'Raw - UFBB'!A:Q,15,FALSE))/100),100)-MROUND(SUM(SUM(VLOOKUP(C12,'Raw - UFBB'!A:Q,16,FALSE)*VLOOKUP(C12,'Raw - UFBB'!A:Q,15,FALSE))/100),100)),IF($K$5="Scotland",SUM(MROUND(SUM(SUM(VLOOKUP(C$19,'Raw - UFBB'!A:Q,16,FALSE)*VLOOKUP(C12,'Raw - UFBB'!A:Q,15,FALSE))/100),100)-MROUND(SUM(SUM(VLOOKUP(C12,'Raw - UFBB'!A:Q,16,FALSE)*VLOOKUP(C12,'Raw - UFBB'!A:Q,15,FALSE))/100),100)),IF($K$5="United Kingdom",SUM(MROUND(SUM(SUM(VLOOKUP(C$20,'Raw - UFBB'!A:Q,16,FALSE)*VLOOKUP(C12,'Raw - UFBB'!A:Q,15,FALSE))/100),100)-MROUND(SUM(SUM(VLOOKUP(C12,'Raw - UFBB'!A:Q,16,FALSE)*VLOOKUP(C12,'Raw - UFBB'!A:Q,15,FALSE))/100),100)),SUM(MROUND(SUM(SUM(VLOOKUP(C$16,'Raw - UFBB'!A:Q,16,FALSE)*VLOOKUP(C12,'Raw - UFBB'!A:Q,15,FALSE))/100),100)-MROUND(SUM(SUM(VLOOKUP(C12,'Raw - UFBB'!A:Q,16,FALSE)*VLOOKUP(C12,'Raw - UFBB'!A:Q,15,FALSE))/100),100)))))))</f>
        <v>1400</v>
      </c>
    </row>
    <row r="13" spans="2:12" ht="19.5" customHeight="1">
      <c r="B13" s="296" t="s">
        <v>249</v>
      </c>
      <c r="C13" s="296" t="s">
        <v>41</v>
      </c>
      <c r="D13" s="297">
        <f>VLOOKUP($C13,'Raw - UFBB'!$A:$Q,4,FALSE)</f>
        <v>65.205349863390524</v>
      </c>
      <c r="E13" s="297">
        <f>VLOOKUP($C13,'Raw - UFBB'!$A:$Q,8,FALSE)</f>
        <v>73.2</v>
      </c>
      <c r="F13" s="297">
        <f>VLOOKUP($C13,'Raw - UFBB'!$A:$Q,12,FALSE)</f>
        <v>76.099999999999994</v>
      </c>
      <c r="G13" s="297">
        <f>VLOOKUP($C13,'Raw - UFBB'!$A:$Q,16,FALSE)</f>
        <v>81.71685545387507</v>
      </c>
      <c r="H13" s="318">
        <f>VLOOKUP(C13,'Raw - UFBB'!A:Q,14,FALSE)</f>
        <v>135194</v>
      </c>
      <c r="I13" s="299">
        <f t="shared" si="1"/>
        <v>16.511505590484546</v>
      </c>
      <c r="J13" s="300">
        <f>SUM(VLOOKUP(C13,'Raw - UFBB'!A:Q,14,FALSE)-VLOOKUP(C13,'Raw - UFBB'!A:Q,2,FALSE))</f>
        <v>30424</v>
      </c>
      <c r="K13" s="301">
        <f t="shared" si="0"/>
        <v>11.586119351846861</v>
      </c>
      <c r="L13" s="302">
        <f>IF(K13="","",IF($K$5="Glasgow City Region",SUM(MROUND(SUM(SUM(VLOOKUP(C$17,'Raw - UFBB'!A:Q,16,FALSE)*VLOOKUP(C13,'Raw - UFBB'!A:Q,15,FALSE))/100),100)-MROUND(SUM(SUM(VLOOKUP(C13,'Raw - UFBB'!A:Q,16,FALSE)*VLOOKUP(C13,'Raw - UFBB'!A:Q,15,FALSE))/100),100)),IF($K$5="Glasgow City Region",SUM(MROUND(SUM(SUM(VLOOKUP(C$18,'Raw - UFBB'!A:Q,16,FALSE)*VLOOKUP(C13,'Raw - UFBB'!A:Q,15,FALSE))/100),100)-MROUND(SUM(SUM(VLOOKUP(C13,'Raw - UFBB'!A:Q,16,FALSE)*VLOOKUP(C13,'Raw - UFBB'!A:Q,15,FALSE))/100),100)),IF($K$5="Scotland",SUM(MROUND(SUM(SUM(VLOOKUP(C$19,'Raw - UFBB'!A:Q,16,FALSE)*VLOOKUP(C13,'Raw - UFBB'!A:Q,15,FALSE))/100),100)-MROUND(SUM(SUM(VLOOKUP(C13,'Raw - UFBB'!A:Q,16,FALSE)*VLOOKUP(C13,'Raw - UFBB'!A:Q,15,FALSE))/100),100)),IF($K$5="United Kingdom",SUM(MROUND(SUM(SUM(VLOOKUP(C$20,'Raw - UFBB'!A:Q,16,FALSE)*VLOOKUP(C13,'Raw - UFBB'!A:Q,15,FALSE))/100),100)-MROUND(SUM(SUM(VLOOKUP(C13,'Raw - UFBB'!A:Q,16,FALSE)*VLOOKUP(C13,'Raw - UFBB'!A:Q,15,FALSE))/100),100)),SUM(MROUND(SUM(SUM(VLOOKUP(C$16,'Raw - UFBB'!A:Q,16,FALSE)*VLOOKUP(C13,'Raw - UFBB'!A:Q,15,FALSE))/100),100)-MROUND(SUM(SUM(VLOOKUP(C13,'Raw - UFBB'!A:Q,16,FALSE)*VLOOKUP(C13,'Raw - UFBB'!A:Q,15,FALSE))/100),100)))))))</f>
        <v>19200</v>
      </c>
    </row>
    <row r="14" spans="2:12" ht="19.5" customHeight="1">
      <c r="B14" s="296" t="s">
        <v>249</v>
      </c>
      <c r="C14" s="296" t="s">
        <v>43</v>
      </c>
      <c r="D14" s="297">
        <f>VLOOKUP($C14,'Raw - UFBB'!$A:$Q,4,FALSE)</f>
        <v>88.168660871782876</v>
      </c>
      <c r="E14" s="297">
        <f>VLOOKUP($C14,'Raw - UFBB'!$A:$Q,8,FALSE)</f>
        <v>88.4</v>
      </c>
      <c r="F14" s="297">
        <f>VLOOKUP($C14,'Raw - UFBB'!$A:$Q,12,FALSE)</f>
        <v>88.9</v>
      </c>
      <c r="G14" s="297">
        <f>VLOOKUP($C14,'Raw - UFBB'!$A:$Q,16,FALSE)</f>
        <v>90.748716249792949</v>
      </c>
      <c r="H14" s="318">
        <f>VLOOKUP(C14,'Raw - UFBB'!A:Q,14,FALSE)</f>
        <v>43828</v>
      </c>
      <c r="I14" s="299">
        <f t="shared" si="1"/>
        <v>2.5800553780100728</v>
      </c>
      <c r="J14" s="300">
        <f>SUM(VLOOKUP(C14,'Raw - UFBB'!A:Q,14,FALSE)-VLOOKUP(C14,'Raw - UFBB'!A:Q,2,FALSE))</f>
        <v>2342</v>
      </c>
      <c r="K14" s="301">
        <f t="shared" si="0"/>
        <v>2.5542585559289819</v>
      </c>
      <c r="L14" s="302">
        <f>IF(K14="","",IF($K$5="Glasgow City Region",SUM(MROUND(SUM(SUM(VLOOKUP(C$17,'Raw - UFBB'!A:Q,16,FALSE)*VLOOKUP(C14,'Raw - UFBB'!A:Q,15,FALSE))/100),100)-MROUND(SUM(SUM(VLOOKUP(C14,'Raw - UFBB'!A:Q,16,FALSE)*VLOOKUP(C14,'Raw - UFBB'!A:Q,15,FALSE))/100),100)),IF($K$5="Glasgow City Region",SUM(MROUND(SUM(SUM(VLOOKUP(C$18,'Raw - UFBB'!A:Q,16,FALSE)*VLOOKUP(C14,'Raw - UFBB'!A:Q,15,FALSE))/100),100)-MROUND(SUM(SUM(VLOOKUP(C14,'Raw - UFBB'!A:Q,16,FALSE)*VLOOKUP(C14,'Raw - UFBB'!A:Q,15,FALSE))/100),100)),IF($K$5="Scotland",SUM(MROUND(SUM(SUM(VLOOKUP(C$19,'Raw - UFBB'!A:Q,16,FALSE)*VLOOKUP(C14,'Raw - UFBB'!A:Q,15,FALSE))/100),100)-MROUND(SUM(SUM(VLOOKUP(C14,'Raw - UFBB'!A:Q,16,FALSE)*VLOOKUP(C14,'Raw - UFBB'!A:Q,15,FALSE))/100),100)),IF($K$5="United Kingdom",SUM(MROUND(SUM(SUM(VLOOKUP(C$20,'Raw - UFBB'!A:Q,16,FALSE)*VLOOKUP(C14,'Raw - UFBB'!A:Q,15,FALSE))/100),100)-MROUND(SUM(SUM(VLOOKUP(C14,'Raw - UFBB'!A:Q,16,FALSE)*VLOOKUP(C14,'Raw - UFBB'!A:Q,15,FALSE))/100),100)),SUM(MROUND(SUM(SUM(VLOOKUP(C$16,'Raw - UFBB'!A:Q,16,FALSE)*VLOOKUP(C14,'Raw - UFBB'!A:Q,15,FALSE))/100),100)-MROUND(SUM(SUM(VLOOKUP(C14,'Raw - UFBB'!A:Q,16,FALSE)*VLOOKUP(C14,'Raw - UFBB'!A:Q,15,FALSE))/100),100)))))))</f>
        <v>1300</v>
      </c>
    </row>
    <row r="15" spans="2:12" ht="19.5" customHeight="1">
      <c r="B15" s="303"/>
      <c r="C15" s="303"/>
      <c r="D15" s="304"/>
      <c r="E15" s="304"/>
      <c r="F15" s="304"/>
      <c r="G15" s="304"/>
      <c r="H15" s="304"/>
      <c r="I15" s="306"/>
      <c r="J15" s="306"/>
      <c r="K15" s="306"/>
      <c r="L15" s="306"/>
    </row>
    <row r="16" spans="2:12" ht="19.5" customHeight="1">
      <c r="B16" s="307" t="s">
        <v>51</v>
      </c>
      <c r="C16" s="296" t="str">
        <f>INDEX('Raw - UFBB'!$A$6:$A$35,MATCH(MAX('Raw - UFBB'!P6:P35),'Raw - UFBB'!P6:P35,0))</f>
        <v>Dundee City</v>
      </c>
      <c r="D16" s="297">
        <f>VLOOKUP($C16,'Raw - UFBB'!$A:$Q,4,FALSE)</f>
        <v>84.769137761656467</v>
      </c>
      <c r="E16" s="297">
        <f>VLOOKUP($C16,'Raw - UFBB'!$A:$Q,8,FALSE)</f>
        <v>88.3</v>
      </c>
      <c r="F16" s="297">
        <f>VLOOKUP($C16,'Raw - UFBB'!$A:$Q,12,FALSE)</f>
        <v>92.5</v>
      </c>
      <c r="G16" s="297">
        <f>VLOOKUP($C16,'Raw - UFBB'!$A:$Q,16,FALSE)</f>
        <v>93.302974805721931</v>
      </c>
      <c r="H16" s="318">
        <f>VLOOKUP(C16,'Raw - UFBB'!A:Q,14,FALSE)</f>
        <v>75400</v>
      </c>
      <c r="I16" s="299">
        <f>SUM(G16-D16)</f>
        <v>8.5338370440654643</v>
      </c>
      <c r="J16" s="300">
        <f>SUM(VLOOKUP(C16,'Raw - UFBB'!A:Q,14,FALSE)-VLOOKUP(C16,'Raw - UFBB'!A:Q,2,FALSE))</f>
        <v>8095</v>
      </c>
    </row>
    <row r="17" spans="2:12" ht="19.5" customHeight="1">
      <c r="B17" s="307" t="s">
        <v>542</v>
      </c>
      <c r="C17" s="308" t="s">
        <v>546</v>
      </c>
      <c r="D17" s="297">
        <f>VLOOKUP($C17,'Raw - UFBB'!$A:$Q,4,FALSE)</f>
        <v>72.076937770199578</v>
      </c>
      <c r="E17" s="297">
        <f>VLOOKUP($C17,'Raw - UFBB'!$A:$Q,8,FALSE)</f>
        <v>77.9850138104091</v>
      </c>
      <c r="F17" s="297">
        <f>VLOOKUP($C17,'Raw - UFBB'!$A:$Q,12,FALSE)</f>
        <v>83.623219269054687</v>
      </c>
      <c r="G17" s="297">
        <f>VLOOKUP($C17,'Raw - UFBB'!$A:$Q,16,FALSE)</f>
        <v>88.63574376320706</v>
      </c>
      <c r="H17" s="318">
        <f>VLOOKUP(C17,'Raw - UFBB'!A:Q,14,FALSE)</f>
        <v>1043178</v>
      </c>
      <c r="I17" s="299">
        <f>SUM(G17-D17)</f>
        <v>16.558805993007482</v>
      </c>
      <c r="J17" s="300">
        <f>SUM(VLOOKUP(C17,'Raw - UFBB'!A:Q,14,FALSE)-VLOOKUP(C17,'Raw - UFBB'!A:Q,2,FALSE))</f>
        <v>220574</v>
      </c>
    </row>
    <row r="18" spans="2:12" ht="19.5" customHeight="1">
      <c r="B18" s="307" t="s">
        <v>250</v>
      </c>
      <c r="C18" s="296" t="s">
        <v>47</v>
      </c>
      <c r="D18" s="297">
        <f>VLOOKUP($C18,'Raw - UFBB'!$A:$Q,4,FALSE)</f>
        <v>69.596305707416818</v>
      </c>
      <c r="E18" s="297">
        <f>VLOOKUP($C18,'Raw - UFBB'!$A:$Q,8,FALSE)</f>
        <v>75.388399654992483</v>
      </c>
      <c r="F18" s="297">
        <f>VLOOKUP($C18,'Raw - UFBB'!$A:$Q,12,FALSE)</f>
        <v>80.588596173144538</v>
      </c>
      <c r="G18" s="297">
        <f>VLOOKUP($C18,'Raw - UFBB'!$A:$Q,16,FALSE)</f>
        <v>85.937866427686018</v>
      </c>
      <c r="H18" s="318">
        <f>VLOOKUP(C18,'Raw - UFBB'!A:Q,14,FALSE)</f>
        <v>820851</v>
      </c>
      <c r="I18" s="299">
        <f>SUM(G18-D18)</f>
        <v>16.3415607202692</v>
      </c>
      <c r="J18" s="300">
        <f>SUM(VLOOKUP(C18,'Raw - UFBB'!A:Q,14,FALSE)-VLOOKUP(C18,'Raw - UFBB'!A:Q,2,FALSE))</f>
        <v>170081</v>
      </c>
    </row>
    <row r="19" spans="2:12" ht="19.5" customHeight="1">
      <c r="B19" s="307" t="s">
        <v>251</v>
      </c>
      <c r="C19" s="296" t="s">
        <v>45</v>
      </c>
      <c r="D19" s="297">
        <f>VLOOKUP($C19,'Raw - UFBB'!$A:$Q,4,FALSE)</f>
        <v>52.435246863811301</v>
      </c>
      <c r="E19" s="297">
        <f>VLOOKUP($C19,'Raw - UFBB'!$A:$Q,8,FALSE)</f>
        <v>57.850478200803259</v>
      </c>
      <c r="F19" s="297">
        <f>VLOOKUP($C19,'Raw - UFBB'!$A:$Q,12,FALSE)</f>
        <v>65.033756716246472</v>
      </c>
      <c r="G19" s="297">
        <f>VLOOKUP($C19,'Raw - UFBB'!$A:$Q,16,FALSE)</f>
        <v>71.206251526594826</v>
      </c>
      <c r="H19" s="318">
        <f>VLOOKUP(C19,'Raw - UFBB'!A:Q,14,FALSE)</f>
        <v>2026092</v>
      </c>
      <c r="I19" s="299">
        <f>SUM(G19-D19)</f>
        <v>18.771004662783525</v>
      </c>
      <c r="J19" s="300">
        <f>SUM(VLOOKUP(C19,'Raw - UFBB'!A:Q,14,FALSE)-VLOOKUP(C19,'Raw - UFBB'!A:Q,2,FALSE))</f>
        <v>609485</v>
      </c>
    </row>
    <row r="20" spans="2:12" ht="19.5" customHeight="1">
      <c r="B20" s="307" t="s">
        <v>251</v>
      </c>
      <c r="C20" s="296" t="s">
        <v>46</v>
      </c>
      <c r="D20" s="297">
        <f>VLOOKUP($C20,'Raw - UFBB'!$A:$Q,4,FALSE)</f>
        <v>57.699529475002635</v>
      </c>
      <c r="E20" s="297">
        <f>VLOOKUP($C20,'Raw - UFBB'!$A:$Q,8,FALSE)</f>
        <v>62.963706175725861</v>
      </c>
      <c r="F20" s="297">
        <f>VLOOKUP($C20,'Raw - UFBB'!$A:$Q,12,FALSE)</f>
        <v>70.433383736034443</v>
      </c>
      <c r="G20" s="297">
        <f>VLOOKUP($C20,'Raw - UFBB'!$A:$Q,16,FALSE)</f>
        <v>76.809329674909861</v>
      </c>
      <c r="H20" s="318">
        <f>VLOOKUP(C20,'Raw - UFBB'!A:Q,14,FALSE)</f>
        <v>24533870</v>
      </c>
      <c r="I20" s="299">
        <f>SUM(G20-D20)</f>
        <v>19.109800199907227</v>
      </c>
      <c r="J20" s="300">
        <f>SUM(VLOOKUP(C20,'Raw - UFBB'!A:Q,14,FALSE)-VLOOKUP(C20,'Raw - UFBB'!A:Q,2,FALSE))</f>
        <v>6586039</v>
      </c>
    </row>
    <row r="21" spans="2:12" ht="19.5" customHeight="1">
      <c r="C21" s="309"/>
      <c r="D21" s="310"/>
      <c r="E21" s="310"/>
      <c r="F21" s="310"/>
      <c r="G21" s="310"/>
      <c r="H21" s="310"/>
      <c r="I21" s="310"/>
      <c r="J21" s="310"/>
      <c r="K21" s="310"/>
      <c r="L21" s="310"/>
    </row>
    <row r="22" spans="2:12">
      <c r="D22" s="311"/>
      <c r="E22" s="311"/>
      <c r="F22" s="311"/>
      <c r="G22" s="312" t="str">
        <f>CONCATENATE(H22,I22)</f>
        <v>Volume Change Required to match Geographic Area - Top Performing Scottish Local Authority</v>
      </c>
      <c r="H22" s="312" t="s">
        <v>519</v>
      </c>
      <c r="I22" s="312" t="str">
        <f>K5</f>
        <v>Top Performing Scottish Local Authority</v>
      </c>
    </row>
    <row r="23" spans="2:12">
      <c r="B23" s="313" t="s">
        <v>467</v>
      </c>
    </row>
    <row r="24" spans="2:12">
      <c r="I24" s="314"/>
      <c r="J24" s="314"/>
      <c r="K24" s="314"/>
      <c r="L24" s="311"/>
    </row>
  </sheetData>
  <sheetProtection algorithmName="SHA-512" hashValue="Yt6Yuu52eRiw34aQZqoDd1ppGgFeSiuiC1pMNoWK7j1ghdpLBQTviJBfw3Mw26KsYMHV9EqJarg8eL6X1L4F6Q==" saltValue="wkjpspjsCnzMFMXgWUxjiQ==" spinCount="100000" sheet="1" objects="1" scenarios="1"/>
  <autoFilter ref="C6:L14" xr:uid="{00000000-0009-0000-0000-00001D000000}">
    <sortState xmlns:xlrd2="http://schemas.microsoft.com/office/spreadsheetml/2017/richdata2" ref="B7:I14">
      <sortCondition descending="1" ref="H6"/>
    </sortState>
  </autoFilter>
  <mergeCells count="4">
    <mergeCell ref="K4:L4"/>
    <mergeCell ref="I5:J5"/>
    <mergeCell ref="K5:L5"/>
    <mergeCell ref="G2:H2"/>
  </mergeCells>
  <dataValidations count="1">
    <dataValidation type="list" allowBlank="1" showInputMessage="1" showErrorMessage="1" sqref="C17" xr:uid="{00000000-0002-0000-1D00-000000000000}">
      <formula1>IF(B17="LGBF Family Group 1",LGBF_5,IF(B17="LGBF Family Group 3",LGBF_7,IF(B17="LGBF Family Group 4",LGBF_8,LGBF_6)))</formula1>
    </dataValidation>
  </dataValidations>
  <hyperlinks>
    <hyperlink ref="G2:H2" location="'Index RAG'!A1" display="Return to Index RAG" xr:uid="{00000000-0004-0000-1D00-000001000000}"/>
    <hyperlink ref="C3" r:id="rId1" xr:uid="{1B3EAE85-3D35-4977-B476-622CBAE5E71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1000000}">
          <x14:formula1>
            <xm:f>Lookups!$L$8:$O$8</xm:f>
          </x14:formula1>
          <xm:sqref>B17</xm:sqref>
        </x14:dataValidation>
        <x14:dataValidation type="list" allowBlank="1" showInputMessage="1" showErrorMessage="1" xr:uid="{00000000-0002-0000-1D00-000002000000}">
          <x14:formula1>
            <xm:f>Lookups!$B$3:$B$7</xm:f>
          </x14:formula1>
          <xm:sqref>K5:L5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5" width="14" style="251" customWidth="1" collapsed="1"/>
    <col min="6" max="6" width="14" style="251" customWidth="1"/>
    <col min="7" max="7" width="14" style="251" customWidth="1" collapsed="1"/>
    <col min="8" max="12" width="14" style="251" customWidth="1"/>
    <col min="13" max="16384" width="9.1796875" style="251"/>
  </cols>
  <sheetData>
    <row r="2" spans="2:12" ht="13">
      <c r="B2" s="286" t="s">
        <v>48</v>
      </c>
      <c r="C2" s="287" t="s">
        <v>205</v>
      </c>
      <c r="G2" s="595" t="s">
        <v>507</v>
      </c>
      <c r="H2" s="596"/>
    </row>
    <row r="3" spans="2:12" ht="13">
      <c r="B3" s="286" t="s">
        <v>49</v>
      </c>
      <c r="C3" s="288" t="s">
        <v>202</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Fibre'!$A:$Q,4,FALSE)</f>
        <v>17.936421214512638</v>
      </c>
      <c r="E7" s="297">
        <f>VLOOKUP($C7,'Raw - Fibre'!$A:$Q,8,FALSE)</f>
        <v>22.7</v>
      </c>
      <c r="F7" s="297">
        <f>VLOOKUP($C7,'Raw - Fibre'!$A:$Q,12,FALSE)</f>
        <v>28.4</v>
      </c>
      <c r="G7" s="297">
        <f>VLOOKUP($C7,'Raw - Fibre'!$A:$Q,16,FALSE)</f>
        <v>49.243158748689133</v>
      </c>
      <c r="H7" s="318">
        <f>VLOOKUP(C7,'Raw - Fibre'!A:Q,14,FALSE)</f>
        <v>24887</v>
      </c>
      <c r="I7" s="299">
        <f>SUM(G7-D7)</f>
        <v>31.306737534176495</v>
      </c>
      <c r="J7" s="300">
        <f>SUM(VLOOKUP(C7,'Raw - Fibre'!A:Q,14,FALSE)-VLOOKUP(C7,'Raw - Fibre'!A:Q,2,FALSE))</f>
        <v>16023</v>
      </c>
      <c r="K7" s="301">
        <f>IF(IF($K$5="LGBF FAMILY GROUP",SUM(G$17-G7),IF($K$5="Glasgow City Region",SUM(G$18-G7),IF($K$5="Scotland",SUM(G$19-G7),IF($K$5="United Kingdom",SUM(G$20-G7),SUM(G$16-G7)))))&lt;0,"",IF($K$5="LGBF FAMILY GROUP",SUM(G$17-G7),IF($K$5="Glasgow City Region",SUM(G$18-G7),IF($K$5="Scotland",SUM(G$19-G7),IF($K$5="United Kingdom",SUM(G$20-G7),SUM(G$16-G7))))))</f>
        <v>36.665963629175316</v>
      </c>
      <c r="L7" s="302">
        <f>IF(K7="","",IF($K$5="lgbf family group",SUM(MROUND(SUM(SUM(VLOOKUP(C$17,'Raw - Fibre'!A:Q,16,FALSE)*VLOOKUP(C7,'Raw - Fibre'!A:Q,15,FALSE))/100),100)-MROUND(SUM(SUM(VLOOKUP(C7,'Raw - Fibre'!A:Q,16,FALSE)*VLOOKUP(C7,'Raw - Fibre'!A:Q,15,FALSE))/100),100)),IF($K$5="Glasgow City Region",SUM(MROUND(SUM(SUM(VLOOKUP(C$18,'Raw - Fibre'!A:Q,16,FALSE)*VLOOKUP(C7,'Raw - Fibre'!A:Q,15,FALSE))/100),100)-MROUND(SUM(SUM(VLOOKUP(C7,'Raw - Fibre'!A:Q,16,FALSE)*VLOOKUP(C7,'Raw - Fibre'!A:Q,15,FALSE))/100),100)),IF($K$5="Scotland",SUM(MROUND(SUM(SUM(VLOOKUP(C$19,'Raw - Fibre'!A:Q,16,FALSE)*VLOOKUP(C7,'Raw - Fibre'!A:Q,15,FALSE))/100),100)-MROUND(SUM(SUM(VLOOKUP(C7,'Raw - Fibre'!A:Q,16,FALSE)*VLOOKUP(C7,'Raw - Fibre'!A:Q,15,FALSE))/100),100)),IF($K$5="United Kingdom",SUM(MROUND(SUM(SUM(VLOOKUP(C$20,'Raw - Fibre'!A:Q,16,FALSE)*VLOOKUP(C7,'Raw - Fibre'!A:Q,15,FALSE))/100),100)-MROUND(SUM(SUM(VLOOKUP(C7,'Raw - Fibre'!A:Q,16,FALSE)*VLOOKUP(C7,'Raw - Fibre'!A:Q,15,FALSE))/100),100)),SUM(MROUND(SUM(SUM(VLOOKUP(C$16,'Raw - Fibre'!A:Q,16,FALSE)*VLOOKUP(C7,'Raw - Fibre'!A:Q,15,FALSE))/100),100)-MROUND(SUM(SUM(VLOOKUP(C7,'Raw - Fibre'!A:Q,16,FALSE)*VLOOKUP(C7,'Raw - Fibre'!A:Q,15,FALSE))/100),100)))))))</f>
        <v>18500</v>
      </c>
    </row>
    <row r="8" spans="2:12" ht="19.5" customHeight="1">
      <c r="B8" s="296" t="s">
        <v>249</v>
      </c>
      <c r="C8" s="296" t="s">
        <v>24</v>
      </c>
      <c r="D8" s="297">
        <f>VLOOKUP($C8,'Raw - Fibre'!$A:$Q,4,FALSE)</f>
        <v>7.0529704419081058</v>
      </c>
      <c r="E8" s="297">
        <f>VLOOKUP($C8,'Raw - Fibre'!$A:$Q,8,FALSE)</f>
        <v>9.1</v>
      </c>
      <c r="F8" s="297">
        <f>VLOOKUP($C8,'Raw - Fibre'!$A:$Q,12,FALSE)</f>
        <v>25.2</v>
      </c>
      <c r="G8" s="297">
        <f>VLOOKUP($C8,'Raw - Fibre'!$A:$Q,16,FALSE)</f>
        <v>53.481117360684408</v>
      </c>
      <c r="H8" s="318">
        <f>VLOOKUP(C8,'Raw - Fibre'!A:Q,14,FALSE)</f>
        <v>22630</v>
      </c>
      <c r="I8" s="299">
        <f t="shared" ref="I8:I14" si="0">SUM(G8-D8)</f>
        <v>46.428146918776299</v>
      </c>
      <c r="J8" s="300">
        <f>SUM(VLOOKUP(C8,'Raw - Fibre'!A:Q,14,FALSE)-VLOOKUP(C8,'Raw - Fibre'!A:Q,2,FALSE))</f>
        <v>19738</v>
      </c>
      <c r="K8" s="301">
        <f t="shared" ref="K8:K14" si="1">IF(IF($K$5="LGBF FAMILY GROUP",SUM(G$17-G8),IF($K$5="Glasgow City Region",SUM(G$18-G8),IF($K$5="Scotland",SUM(G$19-G8),IF($K$5="United Kingdom",SUM(G$20-G8),SUM(G$16-G8)))))&lt;0,"",IF($K$5="LGBF FAMILY GROUP",SUM(G$17-G8),IF($K$5="Glasgow City Region",SUM(G$18-G8),IF($K$5="Scotland",SUM(G$19-G8),IF($K$5="United Kingdom",SUM(G$20-G8),SUM(G$16-G8))))))</f>
        <v>32.428005017180041</v>
      </c>
      <c r="L8" s="302">
        <f>IF(K8="","",IF($K$5="lgbf family group",SUM(MROUND(SUM(SUM(VLOOKUP(C$17,'Raw - Fibre'!A:Q,16,FALSE)*VLOOKUP(C8,'Raw - Fibre'!A:Q,15,FALSE))/100),100)-MROUND(SUM(SUM(VLOOKUP(C8,'Raw - Fibre'!A:Q,16,FALSE)*VLOOKUP(C8,'Raw - Fibre'!A:Q,15,FALSE))/100),100)),IF($K$5="Glasgow City Region",SUM(MROUND(SUM(SUM(VLOOKUP(C$18,'Raw - Fibre'!A:Q,16,FALSE)*VLOOKUP(C8,'Raw - Fibre'!A:Q,15,FALSE))/100),100)-MROUND(SUM(SUM(VLOOKUP(C8,'Raw - Fibre'!A:Q,16,FALSE)*VLOOKUP(C8,'Raw - Fibre'!A:Q,15,FALSE))/100),100)),IF($K$5="Scotland",SUM(MROUND(SUM(SUM(VLOOKUP(C$19,'Raw - Fibre'!A:Q,16,FALSE)*VLOOKUP(C8,'Raw - Fibre'!A:Q,15,FALSE))/100),100)-MROUND(SUM(SUM(VLOOKUP(C8,'Raw - Fibre'!A:Q,16,FALSE)*VLOOKUP(C8,'Raw - Fibre'!A:Q,15,FALSE))/100),100)),IF($K$5="United Kingdom",SUM(MROUND(SUM(SUM(VLOOKUP(C$20,'Raw - Fibre'!A:Q,16,FALSE)*VLOOKUP(C8,'Raw - Fibre'!A:Q,15,FALSE))/100),100)-MROUND(SUM(SUM(VLOOKUP(C8,'Raw - Fibre'!A:Q,16,FALSE)*VLOOKUP(C8,'Raw - Fibre'!A:Q,15,FALSE))/100),100)),SUM(MROUND(SUM(SUM(VLOOKUP(C$16,'Raw - Fibre'!A:Q,16,FALSE)*VLOOKUP(C8,'Raw - Fibre'!A:Q,15,FALSE))/100),100)-MROUND(SUM(SUM(VLOOKUP(C8,'Raw - Fibre'!A:Q,16,FALSE)*VLOOKUP(C8,'Raw - Fibre'!A:Q,15,FALSE))/100),100)))))))</f>
        <v>13800</v>
      </c>
    </row>
    <row r="9" spans="2:12" ht="19.5" customHeight="1">
      <c r="B9" s="296" t="s">
        <v>249</v>
      </c>
      <c r="C9" s="296" t="s">
        <v>27</v>
      </c>
      <c r="D9" s="297">
        <f>VLOOKUP($C9,'Raw - Fibre'!$A:$Q,4,FALSE)</f>
        <v>14.674695992197357</v>
      </c>
      <c r="E9" s="297">
        <f>VLOOKUP($C9,'Raw - Fibre'!$A:$Q,8,FALSE)</f>
        <v>26</v>
      </c>
      <c r="F9" s="297">
        <f>VLOOKUP($C9,'Raw - Fibre'!$A:$Q,12,FALSE)</f>
        <v>41.9</v>
      </c>
      <c r="G9" s="297">
        <f>VLOOKUP($C9,'Raw - Fibre'!$A:$Q,16,FALSE)</f>
        <v>71.167075554930264</v>
      </c>
      <c r="H9" s="318">
        <f>VLOOKUP(C9,'Raw - Fibre'!A:Q,14,FALSE)</f>
        <v>242800</v>
      </c>
      <c r="I9" s="299">
        <f t="shared" si="0"/>
        <v>56.492379562732907</v>
      </c>
      <c r="J9" s="300">
        <f>SUM(VLOOKUP(C9,'Raw - Fibre'!A:Q,14,FALSE)-VLOOKUP(C9,'Raw - Fibre'!A:Q,2,FALSE))</f>
        <v>193600</v>
      </c>
      <c r="K9" s="301">
        <f t="shared" si="1"/>
        <v>14.742046822934185</v>
      </c>
      <c r="L9" s="302">
        <f>IF(K9="","",IF($K$5="lgbf family group",SUM(MROUND(SUM(SUM(VLOOKUP(C$17,'Raw - Fibre'!A:Q,16,FALSE)*VLOOKUP(C9,'Raw - Fibre'!A:Q,15,FALSE))/100),100)-MROUND(SUM(SUM(VLOOKUP(C9,'Raw - Fibre'!A:Q,16,FALSE)*VLOOKUP(C9,'Raw - Fibre'!A:Q,15,FALSE))/100),100)),IF($K$5="Glasgow City Region",SUM(MROUND(SUM(SUM(VLOOKUP(C$18,'Raw - Fibre'!A:Q,16,FALSE)*VLOOKUP(C9,'Raw - Fibre'!A:Q,15,FALSE))/100),100)-MROUND(SUM(SUM(VLOOKUP(C9,'Raw - Fibre'!A:Q,16,FALSE)*VLOOKUP(C9,'Raw - Fibre'!A:Q,15,FALSE))/100),100)),IF($K$5="Scotland",SUM(MROUND(SUM(SUM(VLOOKUP(C$19,'Raw - Fibre'!A:Q,16,FALSE)*VLOOKUP(C9,'Raw - Fibre'!A:Q,15,FALSE))/100),100)-MROUND(SUM(SUM(VLOOKUP(C9,'Raw - Fibre'!A:Q,16,FALSE)*VLOOKUP(C9,'Raw - Fibre'!A:Q,15,FALSE))/100),100)),IF($K$5="United Kingdom",SUM(MROUND(SUM(SUM(VLOOKUP(C$20,'Raw - Fibre'!A:Q,16,FALSE)*VLOOKUP(C9,'Raw - Fibre'!A:Q,15,FALSE))/100),100)-MROUND(SUM(SUM(VLOOKUP(C9,'Raw - Fibre'!A:Q,16,FALSE)*VLOOKUP(C9,'Raw - Fibre'!A:Q,15,FALSE))/100),100)),SUM(MROUND(SUM(SUM(VLOOKUP(C$16,'Raw - Fibre'!A:Q,16,FALSE)*VLOOKUP(C9,'Raw - Fibre'!A:Q,15,FALSE))/100),100)-MROUND(SUM(SUM(VLOOKUP(C9,'Raw - Fibre'!A:Q,16,FALSE)*VLOOKUP(C9,'Raw - Fibre'!A:Q,15,FALSE))/100),100)))))))</f>
        <v>50300</v>
      </c>
    </row>
    <row r="10" spans="2:12" ht="19.5" customHeight="1">
      <c r="B10" s="296" t="s">
        <v>249</v>
      </c>
      <c r="C10" s="296" t="s">
        <v>29</v>
      </c>
      <c r="D10" s="297">
        <f>VLOOKUP($C10,'Raw - Fibre'!$A:$Q,4,FALSE)</f>
        <v>9.7543558983147669</v>
      </c>
      <c r="E10" s="297">
        <f>VLOOKUP($C10,'Raw - Fibre'!$A:$Q,8,FALSE)</f>
        <v>10.3</v>
      </c>
      <c r="F10" s="297">
        <f>VLOOKUP($C10,'Raw - Fibre'!$A:$Q,12,FALSE)</f>
        <v>12.4</v>
      </c>
      <c r="G10" s="297">
        <f>VLOOKUP($C10,'Raw - Fibre'!$A:$Q,16,FALSE)</f>
        <v>25.821929140372024</v>
      </c>
      <c r="H10" s="318">
        <f>VLOOKUP(C10,'Raw - Fibre'!A:Q,14,FALSE)</f>
        <v>10925</v>
      </c>
      <c r="I10" s="299">
        <f t="shared" si="0"/>
        <v>16.067573242057257</v>
      </c>
      <c r="J10" s="300">
        <f>SUM(VLOOKUP(C10,'Raw - Fibre'!A:Q,14,FALSE)-VLOOKUP(C10,'Raw - Fibre'!A:Q,2,FALSE))</f>
        <v>6827</v>
      </c>
      <c r="K10" s="301">
        <f t="shared" si="1"/>
        <v>60.087193237492428</v>
      </c>
      <c r="L10" s="302">
        <f>IF(K10="","",IF($K$5="lgbf family group",SUM(MROUND(SUM(SUM(VLOOKUP(C$17,'Raw - Fibre'!A:Q,16,FALSE)*VLOOKUP(C10,'Raw - Fibre'!A:Q,15,FALSE))/100),100)-MROUND(SUM(SUM(VLOOKUP(C10,'Raw - Fibre'!A:Q,16,FALSE)*VLOOKUP(C10,'Raw - Fibre'!A:Q,15,FALSE))/100),100)),IF($K$5="Glasgow City Region",SUM(MROUND(SUM(SUM(VLOOKUP(C$18,'Raw - Fibre'!A:Q,16,FALSE)*VLOOKUP(C10,'Raw - Fibre'!A:Q,15,FALSE))/100),100)-MROUND(SUM(SUM(VLOOKUP(C10,'Raw - Fibre'!A:Q,16,FALSE)*VLOOKUP(C10,'Raw - Fibre'!A:Q,15,FALSE))/100),100)),IF($K$5="Scotland",SUM(MROUND(SUM(SUM(VLOOKUP(C$19,'Raw - Fibre'!A:Q,16,FALSE)*VLOOKUP(C10,'Raw - Fibre'!A:Q,15,FALSE))/100),100)-MROUND(SUM(SUM(VLOOKUP(C10,'Raw - Fibre'!A:Q,16,FALSE)*VLOOKUP(C10,'Raw - Fibre'!A:Q,15,FALSE))/100),100)),IF($K$5="United Kingdom",SUM(MROUND(SUM(SUM(VLOOKUP(C$20,'Raw - Fibre'!A:Q,16,FALSE)*VLOOKUP(C10,'Raw - Fibre'!A:Q,15,FALSE))/100),100)-MROUND(SUM(SUM(VLOOKUP(C10,'Raw - Fibre'!A:Q,16,FALSE)*VLOOKUP(C10,'Raw - Fibre'!A:Q,15,FALSE))/100),100)),SUM(MROUND(SUM(SUM(VLOOKUP(C$16,'Raw - Fibre'!A:Q,16,FALSE)*VLOOKUP(C10,'Raw - Fibre'!A:Q,15,FALSE))/100),100)-MROUND(SUM(SUM(VLOOKUP(C10,'Raw - Fibre'!A:Q,16,FALSE)*VLOOKUP(C10,'Raw - Fibre'!A:Q,15,FALSE))/100),100)))))))</f>
        <v>25400</v>
      </c>
    </row>
    <row r="11" spans="2:12" ht="19.5" customHeight="1">
      <c r="B11" s="296" t="s">
        <v>249</v>
      </c>
      <c r="C11" s="296" t="s">
        <v>34</v>
      </c>
      <c r="D11" s="297">
        <f>VLOOKUP($C11,'Raw - Fibre'!$A:$Q,4,FALSE)</f>
        <v>9.7362246970312398</v>
      </c>
      <c r="E11" s="297">
        <f>VLOOKUP($C11,'Raw - Fibre'!$A:$Q,8,FALSE)</f>
        <v>14.4</v>
      </c>
      <c r="F11" s="297">
        <f>VLOOKUP($C11,'Raw - Fibre'!$A:$Q,12,FALSE)</f>
        <v>26.8</v>
      </c>
      <c r="G11" s="297">
        <f>VLOOKUP($C11,'Raw - Fibre'!$A:$Q,16,FALSE)</f>
        <v>31.827269092363053</v>
      </c>
      <c r="H11" s="318">
        <f>VLOOKUP(C11,'Raw - Fibre'!A:Q,14,FALSE)</f>
        <v>53332</v>
      </c>
      <c r="I11" s="299">
        <f t="shared" si="0"/>
        <v>22.091044395331814</v>
      </c>
      <c r="J11" s="300">
        <f>SUM(VLOOKUP(C11,'Raw - Fibre'!A:Q,14,FALSE)-VLOOKUP(C11,'Raw - Fibre'!A:Q,2,FALSE))</f>
        <v>37272</v>
      </c>
      <c r="K11" s="301">
        <f t="shared" si="1"/>
        <v>54.081853285501396</v>
      </c>
      <c r="L11" s="302">
        <f>IF(K11="","",IF($K$5="lgbf family group",SUM(MROUND(SUM(SUM(VLOOKUP(C$17,'Raw - Fibre'!A:Q,16,FALSE)*VLOOKUP(C11,'Raw - Fibre'!A:Q,15,FALSE))/100),100)-MROUND(SUM(SUM(VLOOKUP(C11,'Raw - Fibre'!A:Q,16,FALSE)*VLOOKUP(C11,'Raw - Fibre'!A:Q,15,FALSE))/100),100)),IF($K$5="Glasgow City Region",SUM(MROUND(SUM(SUM(VLOOKUP(C$18,'Raw - Fibre'!A:Q,16,FALSE)*VLOOKUP(C11,'Raw - Fibre'!A:Q,15,FALSE))/100),100)-MROUND(SUM(SUM(VLOOKUP(C11,'Raw - Fibre'!A:Q,16,FALSE)*VLOOKUP(C11,'Raw - Fibre'!A:Q,15,FALSE))/100),100)),IF($K$5="Scotland",SUM(MROUND(SUM(SUM(VLOOKUP(C$19,'Raw - Fibre'!A:Q,16,FALSE)*VLOOKUP(C11,'Raw - Fibre'!A:Q,15,FALSE))/100),100)-MROUND(SUM(SUM(VLOOKUP(C11,'Raw - Fibre'!A:Q,16,FALSE)*VLOOKUP(C11,'Raw - Fibre'!A:Q,15,FALSE))/100),100)),IF($K$5="United Kingdom",SUM(MROUND(SUM(SUM(VLOOKUP(C$20,'Raw - Fibre'!A:Q,16,FALSE)*VLOOKUP(C11,'Raw - Fibre'!A:Q,15,FALSE))/100),100)-MROUND(SUM(SUM(VLOOKUP(C11,'Raw - Fibre'!A:Q,16,FALSE)*VLOOKUP(C11,'Raw - Fibre'!A:Q,15,FALSE))/100),100)),SUM(MROUND(SUM(SUM(VLOOKUP(C$16,'Raw - Fibre'!A:Q,16,FALSE)*VLOOKUP(C11,'Raw - Fibre'!A:Q,15,FALSE))/100),100)-MROUND(SUM(SUM(VLOOKUP(C11,'Raw - Fibre'!A:Q,16,FALSE)*VLOOKUP(C11,'Raw - Fibre'!A:Q,15,FALSE))/100),100)))))))</f>
        <v>90700</v>
      </c>
    </row>
    <row r="12" spans="2:12" ht="19.5" customHeight="1">
      <c r="B12" s="296" t="s">
        <v>249</v>
      </c>
      <c r="C12" s="296" t="s">
        <v>37</v>
      </c>
      <c r="D12" s="297">
        <f>VLOOKUP($C12,'Raw - Fibre'!$A:$Q,4,FALSE)</f>
        <v>11.270952818530372</v>
      </c>
      <c r="E12" s="297">
        <f>VLOOKUP($C12,'Raw - Fibre'!$A:$Q,8,FALSE)</f>
        <v>37.299999999999997</v>
      </c>
      <c r="F12" s="297">
        <f>VLOOKUP($C12,'Raw - Fibre'!$A:$Q,12,FALSE)</f>
        <v>73.5</v>
      </c>
      <c r="G12" s="297">
        <f>VLOOKUP($C12,'Raw - Fibre'!$A:$Q,16,FALSE)</f>
        <v>80.599187958823777</v>
      </c>
      <c r="H12" s="318">
        <f>VLOOKUP(C12,'Raw - Fibre'!A:Q,14,FALSE)</f>
        <v>78610</v>
      </c>
      <c r="I12" s="299">
        <f t="shared" si="0"/>
        <v>69.328235140293401</v>
      </c>
      <c r="J12" s="300">
        <f>SUM(VLOOKUP(C12,'Raw - Fibre'!A:Q,14,FALSE)-VLOOKUP(C12,'Raw - Fibre'!A:Q,2,FALSE))</f>
        <v>67939</v>
      </c>
      <c r="K12" s="301">
        <f t="shared" si="1"/>
        <v>5.3099344190406725</v>
      </c>
      <c r="L12" s="302">
        <f>IF(K12="","",IF($K$5="lgbf family group",SUM(MROUND(SUM(SUM(VLOOKUP(C$17,'Raw - Fibre'!A:Q,16,FALSE)*VLOOKUP(C12,'Raw - Fibre'!A:Q,15,FALSE))/100),100)-MROUND(SUM(SUM(VLOOKUP(C12,'Raw - Fibre'!A:Q,16,FALSE)*VLOOKUP(C12,'Raw - Fibre'!A:Q,15,FALSE))/100),100)),IF($K$5="Glasgow City Region",SUM(MROUND(SUM(SUM(VLOOKUP(C$18,'Raw - Fibre'!A:Q,16,FALSE)*VLOOKUP(C12,'Raw - Fibre'!A:Q,15,FALSE))/100),100)-MROUND(SUM(SUM(VLOOKUP(C12,'Raw - Fibre'!A:Q,16,FALSE)*VLOOKUP(C12,'Raw - Fibre'!A:Q,15,FALSE))/100),100)),IF($K$5="Scotland",SUM(MROUND(SUM(SUM(VLOOKUP(C$19,'Raw - Fibre'!A:Q,16,FALSE)*VLOOKUP(C12,'Raw - Fibre'!A:Q,15,FALSE))/100),100)-MROUND(SUM(SUM(VLOOKUP(C12,'Raw - Fibre'!A:Q,16,FALSE)*VLOOKUP(C12,'Raw - Fibre'!A:Q,15,FALSE))/100),100)),IF($K$5="United Kingdom",SUM(MROUND(SUM(SUM(VLOOKUP(C$20,'Raw - Fibre'!A:Q,16,FALSE)*VLOOKUP(C12,'Raw - Fibre'!A:Q,15,FALSE))/100),100)-MROUND(SUM(SUM(VLOOKUP(C12,'Raw - Fibre'!A:Q,16,FALSE)*VLOOKUP(C12,'Raw - Fibre'!A:Q,15,FALSE))/100),100)),SUM(MROUND(SUM(SUM(VLOOKUP(C$16,'Raw - Fibre'!A:Q,16,FALSE)*VLOOKUP(C12,'Raw - Fibre'!A:Q,15,FALSE))/100),100)-MROUND(SUM(SUM(VLOOKUP(C12,'Raw - Fibre'!A:Q,16,FALSE)*VLOOKUP(C12,'Raw - Fibre'!A:Q,15,FALSE))/100),100)))))))</f>
        <v>5200</v>
      </c>
    </row>
    <row r="13" spans="2:12" ht="19.5" customHeight="1">
      <c r="B13" s="296" t="s">
        <v>249</v>
      </c>
      <c r="C13" s="296" t="s">
        <v>41</v>
      </c>
      <c r="D13" s="297">
        <f>VLOOKUP($C13,'Raw - Fibre'!$A:$Q,4,FALSE)</f>
        <v>10.862786833211972</v>
      </c>
      <c r="E13" s="297">
        <f>VLOOKUP($C13,'Raw - Fibre'!$A:$Q,8,FALSE)</f>
        <v>20.100000000000001</v>
      </c>
      <c r="F13" s="297">
        <f>VLOOKUP($C13,'Raw - Fibre'!$A:$Q,12,FALSE)</f>
        <v>27.6</v>
      </c>
      <c r="G13" s="297">
        <f>VLOOKUP($C13,'Raw - Fibre'!$A:$Q,16,FALSE)</f>
        <v>40.43048319048367</v>
      </c>
      <c r="H13" s="318">
        <f>VLOOKUP(C13,'Raw - Fibre'!A:Q,14,FALSE)</f>
        <v>66889</v>
      </c>
      <c r="I13" s="299">
        <f t="shared" si="0"/>
        <v>29.5676963572717</v>
      </c>
      <c r="J13" s="300">
        <f>SUM(VLOOKUP(C13,'Raw - Fibre'!A:Q,14,FALSE)-VLOOKUP(C13,'Raw - Fibre'!A:Q,2,FALSE))</f>
        <v>49435</v>
      </c>
      <c r="K13" s="301">
        <f t="shared" si="1"/>
        <v>45.478639187380779</v>
      </c>
      <c r="L13" s="302">
        <f>IF(K13="","",IF($K$5="lgbf family group",SUM(MROUND(SUM(SUM(VLOOKUP(C$17,'Raw - Fibre'!A:Q,16,FALSE)*VLOOKUP(C13,'Raw - Fibre'!A:Q,15,FALSE))/100),100)-MROUND(SUM(SUM(VLOOKUP(C13,'Raw - Fibre'!A:Q,16,FALSE)*VLOOKUP(C13,'Raw - Fibre'!A:Q,15,FALSE))/100),100)),IF($K$5="Glasgow City Region",SUM(MROUND(SUM(SUM(VLOOKUP(C$18,'Raw - Fibre'!A:Q,16,FALSE)*VLOOKUP(C13,'Raw - Fibre'!A:Q,15,FALSE))/100),100)-MROUND(SUM(SUM(VLOOKUP(C13,'Raw - Fibre'!A:Q,16,FALSE)*VLOOKUP(C13,'Raw - Fibre'!A:Q,15,FALSE))/100),100)),IF($K$5="Scotland",SUM(MROUND(SUM(SUM(VLOOKUP(C$19,'Raw - Fibre'!A:Q,16,FALSE)*VLOOKUP(C13,'Raw - Fibre'!A:Q,15,FALSE))/100),100)-MROUND(SUM(SUM(VLOOKUP(C13,'Raw - Fibre'!A:Q,16,FALSE)*VLOOKUP(C13,'Raw - Fibre'!A:Q,15,FALSE))/100),100)),IF($K$5="United Kingdom",SUM(MROUND(SUM(SUM(VLOOKUP(C$20,'Raw - Fibre'!A:Q,16,FALSE)*VLOOKUP(C13,'Raw - Fibre'!A:Q,15,FALSE))/100),100)-MROUND(SUM(SUM(VLOOKUP(C13,'Raw - Fibre'!A:Q,16,FALSE)*VLOOKUP(C13,'Raw - Fibre'!A:Q,15,FALSE))/100),100)),SUM(MROUND(SUM(SUM(VLOOKUP(C$16,'Raw - Fibre'!A:Q,16,FALSE)*VLOOKUP(C13,'Raw - Fibre'!A:Q,15,FALSE))/100),100)-MROUND(SUM(SUM(VLOOKUP(C13,'Raw - Fibre'!A:Q,16,FALSE)*VLOOKUP(C13,'Raw - Fibre'!A:Q,15,FALSE))/100),100)))))))</f>
        <v>75200</v>
      </c>
    </row>
    <row r="14" spans="2:12" ht="19.5" customHeight="1">
      <c r="B14" s="296" t="s">
        <v>249</v>
      </c>
      <c r="C14" s="296" t="s">
        <v>43</v>
      </c>
      <c r="D14" s="297">
        <f>VLOOKUP($C14,'Raw - Fibre'!$A:$Q,4,FALSE)</f>
        <v>0.63757890038892318</v>
      </c>
      <c r="E14" s="297">
        <f>VLOOKUP($C14,'Raw - Fibre'!$A:$Q,8,FALSE)</f>
        <v>1.3</v>
      </c>
      <c r="F14" s="297">
        <f>VLOOKUP($C14,'Raw - Fibre'!$A:$Q,12,FALSE)</f>
        <v>4.9000000000000004</v>
      </c>
      <c r="G14" s="297">
        <f>VLOOKUP($C14,'Raw - Fibre'!$A:$Q,16,FALSE)</f>
        <v>8.6135497763789974</v>
      </c>
      <c r="H14" s="318">
        <f>VLOOKUP(C14,'Raw - Fibre'!A:Q,14,FALSE)</f>
        <v>4160</v>
      </c>
      <c r="I14" s="299">
        <f t="shared" si="0"/>
        <v>7.9759708759900745</v>
      </c>
      <c r="J14" s="300">
        <f>SUM(VLOOKUP(C14,'Raw - Fibre'!A:Q,14,FALSE)-VLOOKUP(C14,'Raw - Fibre'!A:Q,2,FALSE))</f>
        <v>3860</v>
      </c>
      <c r="K14" s="301">
        <f t="shared" si="1"/>
        <v>77.295572601485446</v>
      </c>
      <c r="L14" s="302">
        <f>IF(K14="","",IF($K$5="lgbf family group",SUM(MROUND(SUM(SUM(VLOOKUP(C$17,'Raw - Fibre'!A:Q,16,FALSE)*VLOOKUP(C14,'Raw - Fibre'!A:Q,15,FALSE))/100),100)-MROUND(SUM(SUM(VLOOKUP(C14,'Raw - Fibre'!A:Q,16,FALSE)*VLOOKUP(C14,'Raw - Fibre'!A:Q,15,FALSE))/100),100)),IF($K$5="Glasgow City Region",SUM(MROUND(SUM(SUM(VLOOKUP(C$18,'Raw - Fibre'!A:Q,16,FALSE)*VLOOKUP(C14,'Raw - Fibre'!A:Q,15,FALSE))/100),100)-MROUND(SUM(SUM(VLOOKUP(C14,'Raw - Fibre'!A:Q,16,FALSE)*VLOOKUP(C14,'Raw - Fibre'!A:Q,15,FALSE))/100),100)),IF($K$5="Scotland",SUM(MROUND(SUM(SUM(VLOOKUP(C$19,'Raw - Fibre'!A:Q,16,FALSE)*VLOOKUP(C14,'Raw - Fibre'!A:Q,15,FALSE))/100),100)-MROUND(SUM(SUM(VLOOKUP(C14,'Raw - Fibre'!A:Q,16,FALSE)*VLOOKUP(C14,'Raw - Fibre'!A:Q,15,FALSE))/100),100)),IF($K$5="United Kingdom",SUM(MROUND(SUM(SUM(VLOOKUP(C$20,'Raw - Fibre'!A:Q,16,FALSE)*VLOOKUP(C14,'Raw - Fibre'!A:Q,15,FALSE))/100),100)-MROUND(SUM(SUM(VLOOKUP(C14,'Raw - Fibre'!A:Q,16,FALSE)*VLOOKUP(C14,'Raw - Fibre'!A:Q,15,FALSE))/100),100)),SUM(MROUND(SUM(SUM(VLOOKUP(C$16,'Raw - Fibre'!A:Q,16,FALSE)*VLOOKUP(C14,'Raw - Fibre'!A:Q,15,FALSE))/100),100)-MROUND(SUM(SUM(VLOOKUP(C14,'Raw - Fibre'!A:Q,16,FALSE)*VLOOKUP(C14,'Raw - Fibre'!A:Q,15,FALSE))/100),100)))))))</f>
        <v>37300</v>
      </c>
    </row>
    <row r="15" spans="2:12" ht="19.5" customHeight="1">
      <c r="B15" s="303"/>
      <c r="C15" s="303"/>
      <c r="D15" s="304"/>
      <c r="E15" s="304"/>
      <c r="F15" s="304"/>
      <c r="G15" s="304"/>
      <c r="H15" s="304"/>
      <c r="I15" s="306"/>
      <c r="J15" s="306"/>
      <c r="K15" s="306"/>
      <c r="L15" s="306"/>
    </row>
    <row r="16" spans="2:12" ht="19.5" customHeight="1">
      <c r="B16" s="307" t="s">
        <v>51</v>
      </c>
      <c r="C16" s="296" t="str">
        <f>INDEX('Raw - Fibre'!$A$6:$A$35,MATCH(MAX('Raw - Fibre'!P6:P35),'Raw - Fibre'!P6:P35,0))</f>
        <v>Aberdeen City</v>
      </c>
      <c r="D16" s="297">
        <f>VLOOKUP($C16,'Raw - Fibre'!$A:$Q,4,FALSE)</f>
        <v>34.912344661425308</v>
      </c>
      <c r="E16" s="297">
        <f>VLOOKUP($C16,'Raw - Fibre'!$A:$Q,8,FALSE)</f>
        <v>58.4</v>
      </c>
      <c r="F16" s="297">
        <f>VLOOKUP($C16,'Raw - Fibre'!$A:$Q,12,FALSE)</f>
        <v>74.400000000000006</v>
      </c>
      <c r="G16" s="297">
        <f>VLOOKUP($C16,'Raw - Fibre'!$A:$Q,16,FALSE)</f>
        <v>85.909122377864449</v>
      </c>
      <c r="H16" s="318">
        <f>VLOOKUP(C16,'Raw - Fibre'!A:Q,14,FALSE)</f>
        <v>111681</v>
      </c>
      <c r="I16" s="299">
        <f>SUM(G16-D16)</f>
        <v>50.996777716439141</v>
      </c>
      <c r="J16" s="300">
        <f>SUM(VLOOKUP(C16,'Raw - Fibre'!A:Q,14,FALSE)-VLOOKUP(C16,'Raw - Fibre'!A:Q,2,FALSE))</f>
        <v>67630</v>
      </c>
    </row>
    <row r="17" spans="2:12" ht="19.5" customHeight="1">
      <c r="B17" s="307" t="s">
        <v>542</v>
      </c>
      <c r="C17" s="308" t="s">
        <v>546</v>
      </c>
      <c r="D17" s="297">
        <f>VLOOKUP($C17,'Raw - Fibre'!$A:$Q,4,FALSE)</f>
        <v>20.105389884744053</v>
      </c>
      <c r="E17" s="297">
        <f>VLOOKUP($C17,'Raw - Fibre'!$A:$Q,8,FALSE)</f>
        <v>32.038057286396246</v>
      </c>
      <c r="F17" s="297">
        <f>VLOOKUP($C17,'Raw - Fibre'!$A:$Q,12,FALSE)</f>
        <v>46.379611598174222</v>
      </c>
      <c r="G17" s="297">
        <f>VLOOKUP($C17,'Raw - Fibre'!$A:$Q,16,FALSE)</f>
        <v>61.864839535502206</v>
      </c>
      <c r="H17" s="318">
        <f>VLOOKUP(C17,'Raw - Fibre'!A:Q,14,FALSE)</f>
        <v>728104</v>
      </c>
      <c r="I17" s="299">
        <f>SUM(G17-D17)</f>
        <v>41.759449650758157</v>
      </c>
      <c r="J17" s="300">
        <f>SUM(VLOOKUP(C17,'Raw - Fibre'!A:Q,14,FALSE)-VLOOKUP(C17,'Raw - Fibre'!A:Q,2,FALSE))</f>
        <v>498644</v>
      </c>
    </row>
    <row r="18" spans="2:12" ht="19.5" customHeight="1">
      <c r="B18" s="307" t="s">
        <v>250</v>
      </c>
      <c r="C18" s="296" t="s">
        <v>47</v>
      </c>
      <c r="D18" s="297">
        <f>VLOOKUP($C18,'Raw - Fibre'!$A:$Q,4,FALSE)</f>
        <v>11.714599214599215</v>
      </c>
      <c r="E18" s="297">
        <f>VLOOKUP($C18,'Raw - Fibre'!$A:$Q,8,FALSE)</f>
        <v>21.220836749688534</v>
      </c>
      <c r="F18" s="297">
        <f>VLOOKUP($C18,'Raw - Fibre'!$A:$Q,12,FALSE)</f>
        <v>35.371111373468374</v>
      </c>
      <c r="G18" s="297">
        <f>VLOOKUP($C18,'Raw - Fibre'!$A:$Q,16,FALSE)</f>
        <v>52.789980401353475</v>
      </c>
      <c r="H18" s="318">
        <f>VLOOKUP(C18,'Raw - Fibre'!A:Q,14,FALSE)</f>
        <v>504233</v>
      </c>
      <c r="I18" s="299">
        <f>SUM(G18-D18)</f>
        <v>41.075381186754257</v>
      </c>
      <c r="J18" s="300">
        <f>SUM(VLOOKUP(C18,'Raw - Fibre'!A:Q,14,FALSE)-VLOOKUP(C18,'Raw - Fibre'!A:Q,2,FALSE))</f>
        <v>394694</v>
      </c>
    </row>
    <row r="19" spans="2:12" ht="19.5" customHeight="1">
      <c r="B19" s="307" t="s">
        <v>251</v>
      </c>
      <c r="C19" s="296" t="s">
        <v>45</v>
      </c>
      <c r="D19" s="297">
        <f>VLOOKUP($C19,'Raw - Fibre'!$A:$Q,4,FALSE)</f>
        <v>9.0203717889563499</v>
      </c>
      <c r="E19" s="297">
        <f>VLOOKUP($C19,'Raw - Fibre'!$A:$Q,8,FALSE)</f>
        <v>26.687575715427464</v>
      </c>
      <c r="F19" s="297">
        <f>VLOOKUP($C19,'Raw - Fibre'!$A:$Q,12,FALSE)</f>
        <v>39.720757296229543</v>
      </c>
      <c r="G19" s="297">
        <f>VLOOKUP($C19,'Raw - Fibre'!$A:$Q,16,FALSE)</f>
        <v>52.148654751465969</v>
      </c>
      <c r="H19" s="318">
        <f>VLOOKUP(C19,'Raw - Fibre'!A:Q,14,FALSE)</f>
        <v>1483830</v>
      </c>
      <c r="I19" s="299">
        <f>SUM(G19-D19)</f>
        <v>43.128282962509616</v>
      </c>
      <c r="J19" s="300">
        <f>SUM(VLOOKUP(C19,'Raw - Fibre'!A:Q,14,FALSE)-VLOOKUP(C19,'Raw - Fibre'!A:Q,2,FALSE))</f>
        <v>1033073</v>
      </c>
    </row>
    <row r="20" spans="2:12" ht="19.5" customHeight="1">
      <c r="B20" s="307" t="s">
        <v>251</v>
      </c>
      <c r="C20" s="296" t="s">
        <v>46</v>
      </c>
      <c r="D20" s="297">
        <f>VLOOKUP($C20,'Raw - Fibre'!$A:$Q,4,FALSE)</f>
        <v>17.384130486779263</v>
      </c>
      <c r="E20" s="297">
        <f>VLOOKUP($C20,'Raw - Fibre'!$A:$Q,8,FALSE)</f>
        <v>27.15614280765115</v>
      </c>
      <c r="F20" s="297">
        <f>VLOOKUP($C20,'Raw - Fibre'!$A:$Q,12,FALSE)</f>
        <v>41.171057455483137</v>
      </c>
      <c r="G20" s="297">
        <f>VLOOKUP($C20,'Raw - Fibre'!$A:$Q,16,FALSE)</f>
        <v>55.79323835754397</v>
      </c>
      <c r="H20" s="318">
        <f>VLOOKUP(C20,'Raw - Fibre'!A:Q,14,FALSE)</f>
        <v>17821065</v>
      </c>
      <c r="I20" s="299">
        <f>SUM(G20-D20)</f>
        <v>38.409107870764707</v>
      </c>
      <c r="J20" s="300">
        <f>SUM(VLOOKUP(C20,'Raw - Fibre'!A:Q,14,FALSE)-VLOOKUP(C20,'Raw - Fibre'!A:Q,2,FALSE))</f>
        <v>12413613</v>
      </c>
    </row>
    <row r="21" spans="2:12" ht="19.5" customHeight="1">
      <c r="C21" s="309"/>
      <c r="D21" s="310"/>
      <c r="E21" s="310"/>
      <c r="F21" s="310"/>
      <c r="G21" s="310"/>
      <c r="H21" s="310"/>
      <c r="I21" s="310"/>
      <c r="J21" s="310"/>
      <c r="K21" s="310"/>
      <c r="L21" s="310"/>
    </row>
    <row r="22" spans="2:12">
      <c r="D22" s="311"/>
      <c r="E22" s="311"/>
      <c r="F22" s="311"/>
      <c r="G22" s="312" t="str">
        <f>CONCATENATE(H22,I22)</f>
        <v>Volume Change Required to match Geographic Area - Top Performing Scottish Local Authority</v>
      </c>
      <c r="H22" s="312" t="s">
        <v>519</v>
      </c>
      <c r="I22" s="312" t="str">
        <f>K5</f>
        <v>Top Performing Scottish Local Authority</v>
      </c>
    </row>
    <row r="23" spans="2:12">
      <c r="B23" s="313" t="s">
        <v>467</v>
      </c>
    </row>
    <row r="24" spans="2:12">
      <c r="I24" s="314"/>
      <c r="J24" s="314"/>
      <c r="K24" s="314"/>
      <c r="L24" s="311"/>
    </row>
  </sheetData>
  <sheetProtection algorithmName="SHA-512" hashValue="dztPatx+VGEljrH5WX1n3SFYchEaRqdo+1dzhFay/1nw1/cXCT/2Pbghq64M7hcaI9Xg6/lKdKER9Mq2k5yl0g==" saltValue="MlpeBhCkKQ8HxeX6VwSuNA==" spinCount="100000" sheet="1" objects="1" scenarios="1"/>
  <autoFilter ref="C6:L14" xr:uid="{00000000-0009-0000-0000-00001E000000}">
    <sortState xmlns:xlrd2="http://schemas.microsoft.com/office/spreadsheetml/2017/richdata2" ref="B7:I14">
      <sortCondition descending="1" ref="H6"/>
    </sortState>
  </autoFilter>
  <mergeCells count="4">
    <mergeCell ref="K4:L4"/>
    <mergeCell ref="I5:J5"/>
    <mergeCell ref="K5:L5"/>
    <mergeCell ref="G2:H2"/>
  </mergeCells>
  <dataValidations count="1">
    <dataValidation type="list" allowBlank="1" showInputMessage="1" showErrorMessage="1" sqref="C17" xr:uid="{00000000-0002-0000-1E00-000000000000}">
      <formula1>IF(B17="LGBF Family Group 1",LGBF_5,IF(B17="LGBF Family Group 3",LGBF_7,IF(B17="LGBF Family Group 4",LGBF_8,LGBF_6)))</formula1>
    </dataValidation>
  </dataValidations>
  <hyperlinks>
    <hyperlink ref="G2:H2" location="'Index RAG'!A1" display="Return to Index RAG" xr:uid="{00000000-0004-0000-1E00-000001000000}"/>
    <hyperlink ref="C3" r:id="rId1" xr:uid="{FA728C8E-9866-432A-90A3-C4D997ECBE2A}"/>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0-000001000000}">
          <x14:formula1>
            <xm:f>Lookups!$L$8:$O$8</xm:f>
          </x14:formula1>
          <xm:sqref>B17</xm:sqref>
        </x14:dataValidation>
        <x14:dataValidation type="list" allowBlank="1" showInputMessage="1" showErrorMessage="1" xr:uid="{00000000-0002-0000-1E00-000002000000}">
          <x14:formula1>
            <xm:f>Lookups!$B$3:$B$7</xm:f>
          </x14:formula1>
          <xm:sqref>K5:L5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B2:N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4" width="14" style="251" customWidth="1"/>
    <col min="15" max="16384" width="9.1796875" style="251"/>
  </cols>
  <sheetData>
    <row r="2" spans="2:14" ht="13">
      <c r="B2" s="286" t="s">
        <v>48</v>
      </c>
      <c r="C2" s="287" t="s">
        <v>526</v>
      </c>
      <c r="F2" s="595" t="s">
        <v>507</v>
      </c>
      <c r="G2" s="596"/>
      <c r="H2" s="327"/>
    </row>
    <row r="3" spans="2:14" ht="13">
      <c r="B3" s="286" t="s">
        <v>49</v>
      </c>
      <c r="C3" s="288" t="s">
        <v>307</v>
      </c>
    </row>
    <row r="4" spans="2:14" ht="13">
      <c r="B4" s="287"/>
      <c r="C4" s="289" t="s">
        <v>478</v>
      </c>
      <c r="D4" s="290"/>
      <c r="K4" s="591" t="s">
        <v>52</v>
      </c>
      <c r="L4" s="591"/>
    </row>
    <row r="5" spans="2:14" ht="22" customHeight="1">
      <c r="C5" s="291"/>
      <c r="D5" s="292"/>
      <c r="E5" s="292"/>
      <c r="F5" s="292"/>
      <c r="G5" s="292"/>
      <c r="H5" s="292"/>
      <c r="I5" s="597" t="s">
        <v>50</v>
      </c>
      <c r="J5" s="598"/>
      <c r="K5" s="594" t="s">
        <v>51</v>
      </c>
      <c r="L5" s="594"/>
    </row>
    <row r="6" spans="2:14" ht="26.15" customHeight="1">
      <c r="B6" s="293" t="s">
        <v>271</v>
      </c>
      <c r="C6" s="293" t="s">
        <v>5</v>
      </c>
      <c r="D6" s="294">
        <v>2020</v>
      </c>
      <c r="E6" s="294">
        <v>2021</v>
      </c>
      <c r="F6" s="294">
        <v>2022</v>
      </c>
      <c r="G6" s="294">
        <v>2023</v>
      </c>
      <c r="H6" s="294" t="s">
        <v>737</v>
      </c>
      <c r="I6" s="295" t="s">
        <v>53</v>
      </c>
      <c r="J6" s="295" t="s">
        <v>54</v>
      </c>
      <c r="K6" s="295" t="s">
        <v>79</v>
      </c>
      <c r="L6" s="295" t="s">
        <v>57</v>
      </c>
    </row>
    <row r="7" spans="2:14" ht="19.5" customHeight="1">
      <c r="B7" s="296" t="s">
        <v>249</v>
      </c>
      <c r="C7" s="296" t="s">
        <v>22</v>
      </c>
      <c r="D7" s="298">
        <f>VLOOKUP($C7,'Raw - New Builds'!$A$8:$Q$41,4,FALSE)</f>
        <v>18.758620689655171</v>
      </c>
      <c r="E7" s="298">
        <f>VLOOKUP($C7,'Raw - New Builds'!$A$8:$Q$41,8,FALSE)</f>
        <v>26.354453627180899</v>
      </c>
      <c r="F7" s="298">
        <f>VLOOKUP($C7,'Raw - New Builds'!$A$8:$Q$41,12,FALSE)</f>
        <v>13.396953569462287</v>
      </c>
      <c r="G7" s="298">
        <f>VLOOKUP($C7,'Raw - New Builds'!$A$8:$Q$41,16,FALSE)</f>
        <v>15.966232336208479</v>
      </c>
      <c r="H7" s="318">
        <f>VLOOKUP($C7,'Raw - New Builds'!$A$8:$Q$41,14,FALSE)</f>
        <v>174</v>
      </c>
      <c r="I7" s="299">
        <f>SUM(G7-D7)</f>
        <v>-2.7923883534466913</v>
      </c>
      <c r="J7" s="300">
        <f>SUM(VLOOKUP(C7,'Raw - New Builds'!A:Q,14,FALSE)-VLOOKUP(C7,'Raw - New Builds'!A:Q,2,FALSE))</f>
        <v>-30</v>
      </c>
      <c r="K7" s="301">
        <f>IF(IF($K$5="lgbf family group",SUM(G$17-G7),IF($K$5="Glasgow City Region",SUM(G$18-G7),IF($K$5="Scotland",SUM(G$19-G7),IF($K$5="United Kingdom","n/a",SUM(G$16-G7)))))&lt;0,"",IF($K$5="lgbf family group",SUM(G$17-G7),IF($K$5="Glasgow City Region",SUM(G$18-G7),IF($K$5="Scotland",SUM(G$19-G7),IF($K$5="United Kingdom",SUM(G$20-G7),SUM(G$16-G7))))))</f>
        <v>104.61503119053583</v>
      </c>
      <c r="L7" s="302">
        <f>IF(K7="","",IF($K$5="lgbf family group",SUM(MROUND(SUM(SUM(VLOOKUP(C$17,'Raw - New Builds'!A:Q,16,FALSE)*VLOOKUP(C7,'Raw - New Builds'!A:Q,15,FALSE))),100)-MROUND(SUM(SUM(VLOOKUP(C7,'Raw - New Builds'!A:Q,16,FALSE)*VLOOKUP(C7,'Raw - New Builds'!A:Q,15,FALSE))),100)),IF($K$5="Glasgow City Region",SUM(MROUND(SUM(SUM(VLOOKUP(C$18,'Raw - New Builds'!A:Q,16,FALSE)*VLOOKUP(C7,'Raw - New Builds'!A:Q,15,FALSE))),100)-MROUND(SUM(SUM(VLOOKUP(C7,'Raw - New Builds'!A:Q,16,FALSE)*VLOOKUP(C7,'Raw - New Builds'!A:Q,15,FALSE))),100)),IF($K$5="Scotland",SUM(MROUND(SUM(SUM(VLOOKUP(C$19,'Raw - New Builds'!A:Q,16,FALSE)*VLOOKUP(C7,'Raw - New Builds'!A:Q,15,FALSE))),100)-MROUND(SUM(SUM(VLOOKUP(C7,'Raw - New Builds'!A:Q,16,FALSE)*VLOOKUP(C7,'Raw - New Builds'!A:Q,15,FALSE))),100)),IF($K$5="United Kingdom",SUM(MROUND(SUM(SUM(VLOOKUP(C$20,'Raw - New Builds'!A:Q,16,FALSE)*VLOOKUP(C7,'Raw - New Builds'!A:Q,15,FALSE))),100)-MROUND(SUM(SUM(VLOOKUP(C7,'Raw - New Builds'!A:Q,16,FALSE)*VLOOKUP(C7,'Raw - New Builds'!A:Q,15,FALSE))),100)),SUM(MROUND(SUM(SUM(VLOOKUP(C$16,'Raw - New Builds'!A:Q,16,FALSE)*VLOOKUP(C7,'Raw - New Builds'!A:Q,15,FALSE))),100)-MROUND(SUM(SUM(VLOOKUP(C7,'Raw - New Builds'!A:Q,16,FALSE)*VLOOKUP(C7,'Raw - New Builds'!A:Q,15,FALSE))),100)))))))</f>
        <v>1100</v>
      </c>
    </row>
    <row r="8" spans="2:14" ht="19.5" customHeight="1">
      <c r="B8" s="296" t="s">
        <v>249</v>
      </c>
      <c r="C8" s="296" t="s">
        <v>24</v>
      </c>
      <c r="D8" s="298">
        <f>VLOOKUP($C8,'Raw - New Builds'!$A$8:$Q$41,4,FALSE)</f>
        <v>17.801374141161773</v>
      </c>
      <c r="E8" s="298">
        <f>VLOOKUP($C8,'Raw - New Builds'!$A$8:$Q$41,8,FALSE)</f>
        <v>44.108511078898324</v>
      </c>
      <c r="F8" s="298">
        <f>VLOOKUP($C8,'Raw - New Builds'!$A$8:$Q$41,12,FALSE)</f>
        <v>57.739810621655003</v>
      </c>
      <c r="G8" s="298">
        <f>VLOOKUP($C8,'Raw - New Builds'!$A$8:$Q$41,16,FALSE)</f>
        <v>48.888431453272958</v>
      </c>
      <c r="H8" s="318">
        <f>VLOOKUP($C8,'Raw - New Builds'!$A$8:$Q$41,14,FALSE)</f>
        <v>475</v>
      </c>
      <c r="I8" s="299">
        <f t="shared" ref="I8:I14" si="0">SUM(G8-D8)</f>
        <v>31.087057312111185</v>
      </c>
      <c r="J8" s="300">
        <f>SUM(VLOOKUP(C8,'Raw - New Builds'!A:Q,14,FALSE)-VLOOKUP(C8,'Raw - New Builds'!A:Q,2,FALSE))</f>
        <v>304</v>
      </c>
      <c r="K8" s="301">
        <f t="shared" ref="K8:K14" si="1">IF(IF($K$5="lgbf family group",SUM(G$17-G8),IF($K$5="Glasgow City Region",SUM(G$18-G8),IF($K$5="Scotland",SUM(G$19-G8),IF($K$5="United Kingdom",SUM(G$20-G8),SUM(G$16-G8)))))&lt;0,"",IF($K$5="lgbf family group",SUM(G$17-G8),IF($K$5="Glasgow City Region",SUM(G$18-G8),IF($K$5="Scotland",SUM(G$19-G8),IF($K$5="United Kingdom",SUM(G$20-G8),SUM(G$16-G8))))))</f>
        <v>71.692832073471351</v>
      </c>
      <c r="L8" s="302">
        <f>IF(K8="","",IF($K$5="lgbf family group",SUM(MROUND(SUM(SUM(VLOOKUP(C$17,'Raw - New Builds'!A:Q,16,FALSE)*VLOOKUP(C8,'Raw - New Builds'!A:Q,15,FALSE))),100)-MROUND(SUM(SUM(VLOOKUP(C8,'Raw - New Builds'!A:Q,16,FALSE)*VLOOKUP(C8,'Raw - New Builds'!A:Q,15,FALSE))),100)),IF($K$5="Glasgow City Region",SUM(MROUND(SUM(SUM(VLOOKUP(C$18,'Raw - New Builds'!A:Q,16,FALSE)*VLOOKUP(C8,'Raw - New Builds'!A:Q,15,FALSE))),100)-MROUND(SUM(SUM(VLOOKUP(C8,'Raw - New Builds'!A:Q,16,FALSE)*VLOOKUP(C8,'Raw - New Builds'!A:Q,15,FALSE))),100)),IF($K$5="Scotland",SUM(MROUND(SUM(SUM(VLOOKUP(C$19,'Raw - New Builds'!A:Q,16,FALSE)*VLOOKUP(C8,'Raw - New Builds'!A:Q,15,FALSE))),100)-MROUND(SUM(SUM(VLOOKUP(C8,'Raw - New Builds'!A:Q,16,FALSE)*VLOOKUP(C8,'Raw - New Builds'!A:Q,15,FALSE))),100)),IF($K$5="United Kingdom",SUM(MROUND(SUM(SUM(VLOOKUP(C$20,'Raw - New Builds'!A:Q,16,FALSE)*VLOOKUP(C8,'Raw - New Builds'!A:Q,15,FALSE))),100)-MROUND(SUM(SUM(VLOOKUP(C8,'Raw - New Builds'!A:Q,16,FALSE)*VLOOKUP(C8,'Raw - New Builds'!A:Q,15,FALSE))),100)),SUM(MROUND(SUM(SUM(VLOOKUP(C$16,'Raw - New Builds'!A:Q,16,FALSE)*VLOOKUP(C8,'Raw - New Builds'!A:Q,15,FALSE))),100)-MROUND(SUM(SUM(VLOOKUP(C8,'Raw - New Builds'!A:Q,16,FALSE)*VLOOKUP(C8,'Raw - New Builds'!A:Q,15,FALSE))),100)))))))</f>
        <v>700</v>
      </c>
    </row>
    <row r="9" spans="2:14" ht="19.5" customHeight="1">
      <c r="B9" s="296" t="s">
        <v>249</v>
      </c>
      <c r="C9" s="296" t="s">
        <v>27</v>
      </c>
      <c r="D9" s="298">
        <f>VLOOKUP($C9,'Raw - New Builds'!$A$8:$Q$41,4,FALSE)</f>
        <v>27.389717450129005</v>
      </c>
      <c r="E9" s="298">
        <f>VLOOKUP($C9,'Raw - New Builds'!$A$8:$Q$41,8,FALSE)</f>
        <v>24.357218207296146</v>
      </c>
      <c r="F9" s="298">
        <f>VLOOKUP($C9,'Raw - New Builds'!$A$8:$Q$41,12,FALSE)</f>
        <v>31.469766545711444</v>
      </c>
      <c r="G9" s="298">
        <f>VLOOKUP($C9,'Raw - New Builds'!$A$8:$Q$41,16,FALSE)</f>
        <v>34.263511126810315</v>
      </c>
      <c r="H9" s="318">
        <f>VLOOKUP($C9,'Raw - New Builds'!$A$8:$Q$41,14,FALSE)</f>
        <v>2134</v>
      </c>
      <c r="I9" s="299">
        <f t="shared" si="0"/>
        <v>6.8737936766813093</v>
      </c>
      <c r="J9" s="300">
        <f>SUM(VLOOKUP(C9,'Raw - New Builds'!A:Q,14,FALSE)-VLOOKUP(C9,'Raw - New Builds'!A:Q,2,FALSE))</f>
        <v>393</v>
      </c>
      <c r="K9" s="301">
        <f t="shared" si="1"/>
        <v>86.317752399933994</v>
      </c>
      <c r="L9" s="302">
        <f>IF(K9="","",IF($K$5="lgbf family group",SUM(MROUND(SUM(SUM(VLOOKUP(C$17,'Raw - New Builds'!A:Q,16,FALSE)*VLOOKUP(C9,'Raw - New Builds'!A:Q,15,FALSE))),100)-MROUND(SUM(SUM(VLOOKUP(C9,'Raw - New Builds'!A:Q,16,FALSE)*VLOOKUP(C9,'Raw - New Builds'!A:Q,15,FALSE))),100)),IF($K$5="Glasgow City Region",SUM(MROUND(SUM(SUM(VLOOKUP(C$18,'Raw - New Builds'!A:Q,16,FALSE)*VLOOKUP(C9,'Raw - New Builds'!A:Q,15,FALSE))),100)-MROUND(SUM(SUM(VLOOKUP(C9,'Raw - New Builds'!A:Q,16,FALSE)*VLOOKUP(C9,'Raw - New Builds'!A:Q,15,FALSE))),100)),IF($K$5="Scotland",SUM(MROUND(SUM(SUM(VLOOKUP(C$19,'Raw - New Builds'!A:Q,16,FALSE)*VLOOKUP(C9,'Raw - New Builds'!A:Q,15,FALSE))),100)-MROUND(SUM(SUM(VLOOKUP(C9,'Raw - New Builds'!A:Q,16,FALSE)*VLOOKUP(C9,'Raw - New Builds'!A:Q,15,FALSE))),100)),IF($K$5="United Kingdom",SUM(MROUND(SUM(SUM(VLOOKUP(C$20,'Raw - New Builds'!A:Q,16,FALSE)*VLOOKUP(C9,'Raw - New Builds'!A:Q,15,FALSE))),100)-MROUND(SUM(SUM(VLOOKUP(C9,'Raw - New Builds'!A:Q,16,FALSE)*VLOOKUP(C9,'Raw - New Builds'!A:Q,15,FALSE))),100)),SUM(MROUND(SUM(SUM(VLOOKUP(C$16,'Raw - New Builds'!A:Q,16,FALSE)*VLOOKUP(C9,'Raw - New Builds'!A:Q,15,FALSE))),100)-MROUND(SUM(SUM(VLOOKUP(C9,'Raw - New Builds'!A:Q,16,FALSE)*VLOOKUP(C9,'Raw - New Builds'!A:Q,15,FALSE))),100)))))))</f>
        <v>5400</v>
      </c>
    </row>
    <row r="10" spans="2:14" ht="19.5" customHeight="1">
      <c r="B10" s="296" t="s">
        <v>249</v>
      </c>
      <c r="C10" s="296" t="s">
        <v>29</v>
      </c>
      <c r="D10" s="298">
        <f>VLOOKUP($C10,'Raw - New Builds'!$A$8:$Q$41,4,FALSE)</f>
        <v>13.106670127173631</v>
      </c>
      <c r="E10" s="298">
        <f>VLOOKUP($C10,'Raw - New Builds'!$A$8:$Q$41,8,FALSE)</f>
        <v>58.279009126466754</v>
      </c>
      <c r="F10" s="298">
        <f>VLOOKUP($C10,'Raw - New Builds'!$A$8:$Q$41,12,FALSE)</f>
        <v>38.805208067398524</v>
      </c>
      <c r="G10" s="298">
        <f>VLOOKUP($C10,'Raw - New Builds'!$A$8:$Q$41,16,FALSE)</f>
        <v>32.678069951493491</v>
      </c>
      <c r="H10" s="318">
        <f>VLOOKUP($C10,'Raw - New Builds'!$A$8:$Q$41,14,FALSE)</f>
        <v>256</v>
      </c>
      <c r="I10" s="299">
        <f t="shared" si="0"/>
        <v>19.571399824319862</v>
      </c>
      <c r="J10" s="300">
        <f>SUM(VLOOKUP(C10,'Raw - New Builds'!A:Q,14,FALSE)-VLOOKUP(C10,'Raw - New Builds'!A:Q,2,FALSE))</f>
        <v>155</v>
      </c>
      <c r="K10" s="301">
        <f t="shared" si="1"/>
        <v>87.90319357525081</v>
      </c>
      <c r="L10" s="302">
        <f>IF(K10="","",IF($K$5="lgbf family group",SUM(MROUND(SUM(SUM(VLOOKUP(C$17,'Raw - New Builds'!A:Q,16,FALSE)*VLOOKUP(C10,'Raw - New Builds'!A:Q,15,FALSE))),100)-MROUND(SUM(SUM(VLOOKUP(C10,'Raw - New Builds'!A:Q,16,FALSE)*VLOOKUP(C10,'Raw - New Builds'!A:Q,15,FALSE))),100)),IF($K$5="Glasgow City Region",SUM(MROUND(SUM(SUM(VLOOKUP(C$18,'Raw - New Builds'!A:Q,16,FALSE)*VLOOKUP(C10,'Raw - New Builds'!A:Q,15,FALSE))),100)-MROUND(SUM(SUM(VLOOKUP(C10,'Raw - New Builds'!A:Q,16,FALSE)*VLOOKUP(C10,'Raw - New Builds'!A:Q,15,FALSE))),100)),IF($K$5="Scotland",SUM(MROUND(SUM(SUM(VLOOKUP(C$19,'Raw - New Builds'!A:Q,16,FALSE)*VLOOKUP(C10,'Raw - New Builds'!A:Q,15,FALSE))),100)-MROUND(SUM(SUM(VLOOKUP(C10,'Raw - New Builds'!A:Q,16,FALSE)*VLOOKUP(C10,'Raw - New Builds'!A:Q,15,FALSE))),100)),IF($K$5="United Kingdom",SUM(MROUND(SUM(SUM(VLOOKUP(C$20,'Raw - New Builds'!A:Q,16,FALSE)*VLOOKUP(C10,'Raw - New Builds'!A:Q,15,FALSE))),100)-MROUND(SUM(SUM(VLOOKUP(C10,'Raw - New Builds'!A:Q,16,FALSE)*VLOOKUP(C10,'Raw - New Builds'!A:Q,15,FALSE))),100)),SUM(MROUND(SUM(SUM(VLOOKUP(C$16,'Raw - New Builds'!A:Q,16,FALSE)*VLOOKUP(C10,'Raw - New Builds'!A:Q,15,FALSE))),100)-MROUND(SUM(SUM(VLOOKUP(C10,'Raw - New Builds'!A:Q,16,FALSE)*VLOOKUP(C10,'Raw - New Builds'!A:Q,15,FALSE))),100)))))))</f>
        <v>600</v>
      </c>
    </row>
    <row r="11" spans="2:14" ht="19.5" customHeight="1">
      <c r="B11" s="296" t="s">
        <v>249</v>
      </c>
      <c r="C11" s="296" t="s">
        <v>34</v>
      </c>
      <c r="D11" s="298">
        <f>VLOOKUP($C11,'Raw - New Builds'!$A$8:$Q$41,4,FALSE)</f>
        <v>18.291610482499856</v>
      </c>
      <c r="E11" s="298">
        <f>VLOOKUP($C11,'Raw - New Builds'!$A$8:$Q$41,8,FALSE)</f>
        <v>23.579379027533683</v>
      </c>
      <c r="F11" s="298">
        <f>VLOOKUP($C11,'Raw - New Builds'!$A$8:$Q$41,12,FALSE)</f>
        <v>27.248995394949105</v>
      </c>
      <c r="G11" s="298">
        <f>VLOOKUP($C11,'Raw - New Builds'!$A$8:$Q$41,16,FALSE)</f>
        <v>24.57982577068606</v>
      </c>
      <c r="H11" s="318">
        <f>VLOOKUP($C11,'Raw - New Builds'!$A$8:$Q$41,14,FALSE)</f>
        <v>838</v>
      </c>
      <c r="I11" s="299">
        <f>SUM(G11-D11)</f>
        <v>6.2882152881862048</v>
      </c>
      <c r="J11" s="300">
        <f>SUM(VLOOKUP(C11,'Raw - New Builds'!A:Q,14,FALSE)-VLOOKUP(C11,'Raw - New Builds'!A:Q,2,FALSE))</f>
        <v>214</v>
      </c>
      <c r="K11" s="301">
        <f t="shared" si="1"/>
        <v>96.001437756058252</v>
      </c>
      <c r="L11" s="302">
        <f>IF(K11="","",IF($K$5="lgbf family group",SUM(MROUND(SUM(SUM(VLOOKUP(C$17,'Raw - New Builds'!A:Q,16,FALSE)*VLOOKUP(C11,'Raw - New Builds'!A:Q,15,FALSE))),100)-MROUND(SUM(SUM(VLOOKUP(C11,'Raw - New Builds'!A:Q,16,FALSE)*VLOOKUP(C11,'Raw - New Builds'!A:Q,15,FALSE))),100)),IF($K$5="Glasgow City Region",SUM(MROUND(SUM(SUM(VLOOKUP(C$18,'Raw - New Builds'!A:Q,16,FALSE)*VLOOKUP(C11,'Raw - New Builds'!A:Q,15,FALSE))),100)-MROUND(SUM(SUM(VLOOKUP(C11,'Raw - New Builds'!A:Q,16,FALSE)*VLOOKUP(C11,'Raw - New Builds'!A:Q,15,FALSE))),100)),IF($K$5="Scotland",SUM(MROUND(SUM(SUM(VLOOKUP(C$19,'Raw - New Builds'!A:Q,16,FALSE)*VLOOKUP(C11,'Raw - New Builds'!A:Q,15,FALSE))),100)-MROUND(SUM(SUM(VLOOKUP(C11,'Raw - New Builds'!A:Q,16,FALSE)*VLOOKUP(C11,'Raw - New Builds'!A:Q,15,FALSE))),100)),IF($K$5="United Kingdom",SUM(MROUND(SUM(SUM(VLOOKUP(C$20,'Raw - New Builds'!A:Q,16,FALSE)*VLOOKUP(C11,'Raw - New Builds'!A:Q,15,FALSE))),100)-MROUND(SUM(SUM(VLOOKUP(C11,'Raw - New Builds'!A:Q,16,FALSE)*VLOOKUP(C11,'Raw - New Builds'!A:Q,15,FALSE))),100)),SUM(MROUND(SUM(SUM(VLOOKUP(C$16,'Raw - New Builds'!A:Q,16,FALSE)*VLOOKUP(C11,'Raw - New Builds'!A:Q,15,FALSE))),100)-MROUND(SUM(SUM(VLOOKUP(C11,'Raw - New Builds'!A:Q,16,FALSE)*VLOOKUP(C11,'Raw - New Builds'!A:Q,15,FALSE))),100)))))))</f>
        <v>3300</v>
      </c>
    </row>
    <row r="12" spans="2:14" ht="19.5" customHeight="1">
      <c r="B12" s="296" t="s">
        <v>249</v>
      </c>
      <c r="C12" s="296" t="s">
        <v>37</v>
      </c>
      <c r="D12" s="298">
        <f>VLOOKUP($C12,'Raw - New Builds'!$A$8:$Q$41,4,FALSE)</f>
        <v>32.276046602374713</v>
      </c>
      <c r="E12" s="298">
        <f>VLOOKUP($C12,'Raw - New Builds'!$A$8:$Q$41,8,FALSE)</f>
        <v>40.291208180504611</v>
      </c>
      <c r="F12" s="298">
        <f>VLOOKUP($C12,'Raw - New Builds'!$A$8:$Q$41,12,FALSE)</f>
        <v>45.133991537376588</v>
      </c>
      <c r="G12" s="298">
        <f>VLOOKUP($C12,'Raw - New Builds'!$A$8:$Q$41,16,FALSE)</f>
        <v>61.679505262015837</v>
      </c>
      <c r="H12" s="318">
        <f>VLOOKUP($C12,'Raw - New Builds'!$A$8:$Q$41,14,FALSE)</f>
        <v>1137</v>
      </c>
      <c r="I12" s="299">
        <f t="shared" si="0"/>
        <v>29.403458659641124</v>
      </c>
      <c r="J12" s="300">
        <f>SUM(VLOOKUP(C12,'Raw - New Builds'!A:Q,14,FALSE)-VLOOKUP(C12,'Raw - New Builds'!A:Q,2,FALSE))</f>
        <v>558</v>
      </c>
      <c r="K12" s="301">
        <f t="shared" si="1"/>
        <v>58.901758264728471</v>
      </c>
      <c r="L12" s="302">
        <f>IF(K12="","",IF($K$5="lgbf family group",SUM(MROUND(SUM(SUM(VLOOKUP(C$17,'Raw - New Builds'!A:Q,16,FALSE)*VLOOKUP(C12,'Raw - New Builds'!A:Q,15,FALSE))),100)-MROUND(SUM(SUM(VLOOKUP(C12,'Raw - New Builds'!A:Q,16,FALSE)*VLOOKUP(C12,'Raw - New Builds'!A:Q,15,FALSE))),100)),IF($K$5="Glasgow City Region",SUM(MROUND(SUM(SUM(VLOOKUP(C$18,'Raw - New Builds'!A:Q,16,FALSE)*VLOOKUP(C12,'Raw - New Builds'!A:Q,15,FALSE))),100)-MROUND(SUM(SUM(VLOOKUP(C12,'Raw - New Builds'!A:Q,16,FALSE)*VLOOKUP(C12,'Raw - New Builds'!A:Q,15,FALSE))),100)),IF($K$5="Scotland",SUM(MROUND(SUM(SUM(VLOOKUP(C$19,'Raw - New Builds'!A:Q,16,FALSE)*VLOOKUP(C12,'Raw - New Builds'!A:Q,15,FALSE))),100)-MROUND(SUM(SUM(VLOOKUP(C12,'Raw - New Builds'!A:Q,16,FALSE)*VLOOKUP(C12,'Raw - New Builds'!A:Q,15,FALSE))),100)),IF($K$5="United Kingdom",SUM(MROUND(SUM(SUM(VLOOKUP(C$20,'Raw - New Builds'!A:Q,16,FALSE)*VLOOKUP(C12,'Raw - New Builds'!A:Q,15,FALSE))),100)-MROUND(SUM(SUM(VLOOKUP(C12,'Raw - New Builds'!A:Q,16,FALSE)*VLOOKUP(C12,'Raw - New Builds'!A:Q,15,FALSE))),100)),SUM(MROUND(SUM(SUM(VLOOKUP(C$16,'Raw - New Builds'!A:Q,16,FALSE)*VLOOKUP(C12,'Raw - New Builds'!A:Q,15,FALSE))),100)-MROUND(SUM(SUM(VLOOKUP(C12,'Raw - New Builds'!A:Q,16,FALSE)*VLOOKUP(C12,'Raw - New Builds'!A:Q,15,FALSE))),100)))))))</f>
        <v>1100</v>
      </c>
    </row>
    <row r="13" spans="2:14" ht="19.5" customHeight="1">
      <c r="B13" s="296" t="s">
        <v>249</v>
      </c>
      <c r="C13" s="296" t="s">
        <v>41</v>
      </c>
      <c r="D13" s="298">
        <f>VLOOKUP($C13,'Raw - New Builds'!$A$8:$Q$41,4,FALSE)</f>
        <v>33.258525029611619</v>
      </c>
      <c r="E13" s="298">
        <f>VLOOKUP($C13,'Raw - New Builds'!$A$8:$Q$41,8,FALSE)</f>
        <v>55.264544524687729</v>
      </c>
      <c r="F13" s="298">
        <f>VLOOKUP($C13,'Raw - New Builds'!$A$8:$Q$41,12,FALSE)</f>
        <v>54.912500381760985</v>
      </c>
      <c r="G13" s="298">
        <f>VLOOKUP($C13,'Raw - New Builds'!$A$8:$Q$41,16,FALSE)</f>
        <v>39.672601777479152</v>
      </c>
      <c r="H13" s="318">
        <f>VLOOKUP($C13,'Raw - New Builds'!$A$8:$Q$41,14,FALSE)</f>
        <v>1299</v>
      </c>
      <c r="I13" s="299">
        <f t="shared" si="0"/>
        <v>6.4140767478675329</v>
      </c>
      <c r="J13" s="300">
        <f>SUM(VLOOKUP(C13,'Raw - New Builds'!A:Q,14,FALSE)-VLOOKUP(C13,'Raw - New Builds'!A:Q,2,FALSE))</f>
        <v>232</v>
      </c>
      <c r="K13" s="301">
        <f t="shared" si="1"/>
        <v>80.90866174926515</v>
      </c>
      <c r="L13" s="302">
        <f>IF(K13="","",IF($K$5="lgbf family group",SUM(MROUND(SUM(SUM(VLOOKUP(C$17,'Raw - New Builds'!A:Q,16,FALSE)*VLOOKUP(C13,'Raw - New Builds'!A:Q,15,FALSE))),100)-MROUND(SUM(SUM(VLOOKUP(C13,'Raw - New Builds'!A:Q,16,FALSE)*VLOOKUP(C13,'Raw - New Builds'!A:Q,15,FALSE))),100)),IF($K$5="Glasgow City Region",SUM(MROUND(SUM(SUM(VLOOKUP(C$18,'Raw - New Builds'!A:Q,16,FALSE)*VLOOKUP(C13,'Raw - New Builds'!A:Q,15,FALSE))),100)-MROUND(SUM(SUM(VLOOKUP(C13,'Raw - New Builds'!A:Q,16,FALSE)*VLOOKUP(C13,'Raw - New Builds'!A:Q,15,FALSE))),100)),IF($K$5="Scotland",SUM(MROUND(SUM(SUM(VLOOKUP(C$19,'Raw - New Builds'!A:Q,16,FALSE)*VLOOKUP(C13,'Raw - New Builds'!A:Q,15,FALSE))),100)-MROUND(SUM(SUM(VLOOKUP(C13,'Raw - New Builds'!A:Q,16,FALSE)*VLOOKUP(C13,'Raw - New Builds'!A:Q,15,FALSE))),100)),IF($K$5="United Kingdom",SUM(MROUND(SUM(SUM(VLOOKUP(C$20,'Raw - New Builds'!A:Q,16,FALSE)*VLOOKUP(C13,'Raw - New Builds'!A:Q,15,FALSE))),100)-MROUND(SUM(SUM(VLOOKUP(C13,'Raw - New Builds'!A:Q,16,FALSE)*VLOOKUP(C13,'Raw - New Builds'!A:Q,15,FALSE))),100)),SUM(MROUND(SUM(SUM(VLOOKUP(C$16,'Raw - New Builds'!A:Q,16,FALSE)*VLOOKUP(C13,'Raw - New Builds'!A:Q,15,FALSE))),100)-MROUND(SUM(SUM(VLOOKUP(C13,'Raw - New Builds'!A:Q,16,FALSE)*VLOOKUP(C13,'Raw - New Builds'!A:Q,15,FALSE))),100)))))))</f>
        <v>2600</v>
      </c>
    </row>
    <row r="14" spans="2:14" ht="19.5" customHeight="1">
      <c r="B14" s="296" t="s">
        <v>249</v>
      </c>
      <c r="C14" s="296" t="s">
        <v>43</v>
      </c>
      <c r="D14" s="298">
        <f>VLOOKUP($C14,'Raw - New Builds'!$A$8:$Q$41,4,FALSE)</f>
        <v>19.130631650441476</v>
      </c>
      <c r="E14" s="298">
        <f>VLOOKUP($C14,'Raw - New Builds'!$A$8:$Q$41,8,FALSE)</f>
        <v>58.662717849413376</v>
      </c>
      <c r="F14" s="298">
        <f>VLOOKUP($C14,'Raw - New Builds'!$A$8:$Q$41,12,FALSE)</f>
        <v>36.81885125184094</v>
      </c>
      <c r="G14" s="298">
        <f>VLOOKUP($C14,'Raw - New Builds'!$A$8:$Q$41,16,FALSE)</f>
        <v>17.446471054718476</v>
      </c>
      <c r="H14" s="318">
        <f>VLOOKUP($C14,'Raw - New Builds'!$A$8:$Q$41,14,FALSE)</f>
        <v>154</v>
      </c>
      <c r="I14" s="299">
        <f t="shared" si="0"/>
        <v>-1.6841605957230001</v>
      </c>
      <c r="J14" s="300">
        <f>SUM(VLOOKUP(C14,'Raw - New Builds'!A:Q,14,FALSE)-VLOOKUP(C14,'Raw - New Builds'!A:Q,2,FALSE))</f>
        <v>-15</v>
      </c>
      <c r="K14" s="301">
        <f t="shared" si="1"/>
        <v>103.13479247202584</v>
      </c>
      <c r="L14" s="302">
        <f>IF(K14="","",IF($K$5="lgbf family group",SUM(MROUND(SUM(SUM(VLOOKUP(C$17,'Raw - New Builds'!A:Q,16,FALSE)*VLOOKUP(C14,'Raw - New Builds'!A:Q,15,FALSE))),100)-MROUND(SUM(SUM(VLOOKUP(C14,'Raw - New Builds'!A:Q,16,FALSE)*VLOOKUP(C14,'Raw - New Builds'!A:Q,15,FALSE))),100)),IF($K$5="Glasgow City Region",SUM(MROUND(SUM(SUM(VLOOKUP(C$18,'Raw - New Builds'!A:Q,16,FALSE)*VLOOKUP(C14,'Raw - New Builds'!A:Q,15,FALSE))),100)-MROUND(SUM(SUM(VLOOKUP(C14,'Raw - New Builds'!A:Q,16,FALSE)*VLOOKUP(C14,'Raw - New Builds'!A:Q,15,FALSE))),100)),IF($K$5="Scotland",SUM(MROUND(SUM(SUM(VLOOKUP(C$19,'Raw - New Builds'!A:Q,16,FALSE)*VLOOKUP(C14,'Raw - New Builds'!A:Q,15,FALSE))),100)-MROUND(SUM(SUM(VLOOKUP(C14,'Raw - New Builds'!A:Q,16,FALSE)*VLOOKUP(C14,'Raw - New Builds'!A:Q,15,FALSE))),100)),IF($K$5="United Kingdom",SUM(MROUND(SUM(SUM(VLOOKUP(C$20,'Raw - New Builds'!A:Q,16,FALSE)*VLOOKUP(C14,'Raw - New Builds'!A:Q,15,FALSE))),100)-MROUND(SUM(SUM(VLOOKUP(C14,'Raw - New Builds'!A:Q,16,FALSE)*VLOOKUP(C14,'Raw - New Builds'!A:Q,15,FALSE))),100)),SUM(MROUND(SUM(SUM(VLOOKUP(C$16,'Raw - New Builds'!A:Q,16,FALSE)*VLOOKUP(C14,'Raw - New Builds'!A:Q,15,FALSE))),100)-MROUND(SUM(SUM(VLOOKUP(C14,'Raw - New Builds'!A:Q,16,FALSE)*VLOOKUP(C14,'Raw - New Builds'!A:Q,15,FALSE))),100)))))))</f>
        <v>900</v>
      </c>
    </row>
    <row r="15" spans="2:14" ht="19.5" customHeight="1">
      <c r="B15" s="303"/>
      <c r="C15" s="303"/>
      <c r="D15" s="304"/>
      <c r="E15" s="304"/>
      <c r="F15" s="304"/>
      <c r="G15" s="304"/>
      <c r="H15" s="304"/>
      <c r="I15" s="306"/>
      <c r="J15" s="306"/>
      <c r="K15" s="306"/>
      <c r="L15" s="306"/>
      <c r="N15" s="306"/>
    </row>
    <row r="16" spans="2:14" ht="19.5" customHeight="1">
      <c r="B16" s="307" t="s">
        <v>51</v>
      </c>
      <c r="C16" s="296" t="str">
        <f>INDEX('Raw - New Builds'!A9:A40,MATCH(MAX('Raw - New Builds'!P9:P40),'Raw - New Builds'!P9:P40,0))</f>
        <v>Midlothian</v>
      </c>
      <c r="D16" s="298">
        <f>VLOOKUP($C16,'Raw - New Builds'!$A$8:$Q$49,4,FALSE)</f>
        <v>56.790123456790127</v>
      </c>
      <c r="E16" s="298">
        <f>VLOOKUP($C16,'Raw - New Builds'!$A$8:$Q$49,8,FALSE)</f>
        <v>89.459231094212086</v>
      </c>
      <c r="F16" s="298">
        <f>VLOOKUP($C16,'Raw - New Builds'!$A$8:$Q$49,12,FALSE)</f>
        <v>85.746676285684842</v>
      </c>
      <c r="G16" s="298">
        <f>VLOOKUP($C16,'Raw - New Builds'!$A$8:$Q$49,16,FALSE)</f>
        <v>120.58126352674431</v>
      </c>
      <c r="H16" s="318">
        <f>VLOOKUP($C16,'Raw - New Builds'!$A$8:$Q$49,14,FALSE)</f>
        <v>1170</v>
      </c>
      <c r="I16" s="299">
        <f>SUM(G16-D16)</f>
        <v>63.791140069954182</v>
      </c>
      <c r="J16" s="300">
        <f>SUM(VLOOKUP(C16,'Raw - New Builds'!A:Q,14,FALSE)-VLOOKUP(C16,'Raw - New Builds'!A:Q,2,FALSE))</f>
        <v>641</v>
      </c>
      <c r="K16" s="305"/>
    </row>
    <row r="17" spans="2:14" ht="19.5" customHeight="1">
      <c r="B17" s="307" t="s">
        <v>540</v>
      </c>
      <c r="C17" s="308" t="s">
        <v>16</v>
      </c>
      <c r="D17" s="298">
        <f>VLOOKUP($C17,'Raw - New Builds'!$A$8:$Q$49,4,FALSE)</f>
        <v>18.822310481782075</v>
      </c>
      <c r="E17" s="298">
        <f>VLOOKUP($C17,'Raw - New Builds'!$A$8:$Q$49,8,FALSE)</f>
        <v>26.868756458835687</v>
      </c>
      <c r="F17" s="298">
        <f>VLOOKUP($C17,'Raw - New Builds'!$A$8:$Q$49,12,FALSE)</f>
        <v>36.455607884179315</v>
      </c>
      <c r="G17" s="298">
        <f>VLOOKUP($C17,'Raw - New Builds'!$A$8:$Q$49,16,FALSE)</f>
        <v>22.065236350950638</v>
      </c>
      <c r="H17" s="318">
        <f>VLOOKUP($C17,'Raw - New Builds'!$A$8:$Q$49,14,FALSE)</f>
        <v>253</v>
      </c>
      <c r="I17" s="299">
        <f>SUM(G17-D17)</f>
        <v>3.2429258691685625</v>
      </c>
      <c r="J17" s="300">
        <f>SUM(VLOOKUP(C17,'Raw - New Builds'!A:Q,14,FALSE)-VLOOKUP(C17,'Raw - New Builds'!A:Q,2,FALSE))</f>
        <v>35</v>
      </c>
    </row>
    <row r="18" spans="2:14" ht="19.5" customHeight="1">
      <c r="B18" s="307" t="s">
        <v>250</v>
      </c>
      <c r="C18" s="296" t="s">
        <v>47</v>
      </c>
      <c r="D18" s="298">
        <f>VLOOKUP($C18,'Raw - New Builds'!$A$8:$Q$49,4,FALSE)</f>
        <v>25.205716760502384</v>
      </c>
      <c r="E18" s="298">
        <f>VLOOKUP($C18,'Raw - New Builds'!$A$8:$Q$49,8,FALSE)</f>
        <v>35.342090888933356</v>
      </c>
      <c r="F18" s="298">
        <f>VLOOKUP($C18,'Raw - New Builds'!$A$8:$Q$49,12,FALSE)</f>
        <v>37.08873703517343</v>
      </c>
      <c r="G18" s="298">
        <f>VLOOKUP($C18,'Raw - New Builds'!$A$8:$Q$49,16,FALSE)</f>
        <v>34.989476645728161</v>
      </c>
      <c r="H18" s="318">
        <f>VLOOKUP($C18,'Raw - New Builds'!$A$8:$Q$49,14,FALSE)</f>
        <v>6467</v>
      </c>
      <c r="I18" s="299">
        <f>SUM(G18-D18)</f>
        <v>9.783759885225777</v>
      </c>
      <c r="J18" s="300">
        <f>SUM(VLOOKUP(C18,'Raw - New Builds'!A:Q,14,FALSE)-VLOOKUP(C18,'Raw - New Builds'!A:Q,2,FALSE))</f>
        <v>1811</v>
      </c>
      <c r="K18" s="305"/>
    </row>
    <row r="19" spans="2:14" ht="19.5" customHeight="1">
      <c r="B19" s="307" t="s">
        <v>251</v>
      </c>
      <c r="C19" s="296" t="s">
        <v>45</v>
      </c>
      <c r="D19" s="298">
        <f>VLOOKUP($C19,'Raw - New Builds'!$A$8:$Q$49,4,FALSE)</f>
        <v>28.728503476033662</v>
      </c>
      <c r="E19" s="298">
        <f>VLOOKUP($C19,'Raw - New Builds'!$A$8:$Q$49,8,FALSE)</f>
        <v>38.602894213398052</v>
      </c>
      <c r="F19" s="298">
        <f>VLOOKUP($C19,'Raw - New Builds'!$A$8:$Q$49,12,FALSE)</f>
        <v>43.491748811425005</v>
      </c>
      <c r="G19" s="298">
        <f>VLOOKUP($C19,'Raw - New Builds'!$A$8:$Q$49,16,FALSE)</f>
        <v>38.533693118196673</v>
      </c>
      <c r="H19" s="318">
        <f>VLOOKUP($C19,'Raw - New Builds'!$A$8:$Q$49,14,FALSE)</f>
        <v>20992</v>
      </c>
      <c r="I19" s="299">
        <f>SUM(G19-D19)</f>
        <v>9.8051896421630111</v>
      </c>
      <c r="J19" s="300">
        <f>SUM(VLOOKUP(C19,'Raw - New Builds'!A:Q,14,FALSE)-VLOOKUP(C19,'Raw - New Builds'!A:Q,2,FALSE))</f>
        <v>5289</v>
      </c>
      <c r="K19" s="305"/>
    </row>
    <row r="20" spans="2:14" ht="19.5" customHeight="1">
      <c r="B20" s="307" t="s">
        <v>251</v>
      </c>
      <c r="C20" s="296" t="s">
        <v>46</v>
      </c>
      <c r="D20" s="318" t="s">
        <v>69</v>
      </c>
      <c r="E20" s="318" t="s">
        <v>69</v>
      </c>
      <c r="F20" s="318" t="s">
        <v>69</v>
      </c>
      <c r="G20" s="318" t="s">
        <v>69</v>
      </c>
      <c r="H20" s="318"/>
      <c r="I20" s="320" t="s">
        <v>69</v>
      </c>
      <c r="J20" s="300" t="s">
        <v>69</v>
      </c>
      <c r="K20" s="305"/>
    </row>
    <row r="21" spans="2:14" ht="19.5" customHeight="1">
      <c r="C21" s="309"/>
      <c r="D21" s="310"/>
      <c r="E21" s="310"/>
      <c r="F21" s="310"/>
      <c r="G21" s="310"/>
      <c r="H21" s="310"/>
      <c r="I21" s="310"/>
      <c r="J21" s="310"/>
      <c r="K21" s="310"/>
      <c r="L21" s="310"/>
      <c r="N21" s="310"/>
    </row>
    <row r="22" spans="2:14">
      <c r="D22" s="311"/>
      <c r="E22" s="311"/>
      <c r="F22" s="312" t="str">
        <f>CONCATENATE(G22,I22)</f>
        <v>Volume Change Required to match Geographic Area - Top Performing Scottish Local Authority</v>
      </c>
      <c r="G22" s="312" t="s">
        <v>519</v>
      </c>
      <c r="H22" s="312"/>
      <c r="I22" s="312" t="str">
        <f>K5</f>
        <v>Top Performing Scottish Local Authority</v>
      </c>
    </row>
    <row r="23" spans="2:14">
      <c r="B23" s="313" t="s">
        <v>467</v>
      </c>
    </row>
    <row r="24" spans="2:14">
      <c r="I24" s="314"/>
      <c r="J24" s="314"/>
      <c r="K24" s="314"/>
      <c r="L24" s="314"/>
      <c r="N24" s="311"/>
    </row>
  </sheetData>
  <sheetProtection algorithmName="SHA-512" hashValue="S7HzkUh3wEFoyafH11jn5tF/rwOhw9/moWlx9tfWhShty5F3scKu2B0HfzyKMUS9OmUL+5j2BV+rZ6tJQvhVWQ==" saltValue="UPxBSliKn/E/095MZzN+4w==" spinCount="100000" sheet="1" objects="1" scenarios="1"/>
  <autoFilter ref="B6:L14" xr:uid="{00000000-0009-0000-0000-00001F000000}"/>
  <mergeCells count="4">
    <mergeCell ref="K4:L4"/>
    <mergeCell ref="I5:J5"/>
    <mergeCell ref="K5:L5"/>
    <mergeCell ref="F2:G2"/>
  </mergeCells>
  <dataValidations count="1">
    <dataValidation type="list" allowBlank="1" showInputMessage="1" showErrorMessage="1" sqref="C17" xr:uid="{00000000-0002-0000-1F00-000000000000}">
      <formula1>IF(B17="LGBF Family Group 1",LGBF_1,IF(B17="LGBF Family Group 3",LGBF_3,IF(B17="LGBF Family Group 4",LGBF_4,LGBF_2)))</formula1>
    </dataValidation>
  </dataValidations>
  <hyperlinks>
    <hyperlink ref="C3" r:id="rId1" xr:uid="{00000000-0004-0000-1F00-000000000000}"/>
    <hyperlink ref="F2:G2" location="'Index RAG'!A1" display="Return to Index RAG" xr:uid="{00000000-0004-0000-1F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1000000}">
          <x14:formula1>
            <xm:f>Lookups!$B$3:$B$6</xm:f>
          </x14:formula1>
          <xm:sqref>M5</xm:sqref>
        </x14:dataValidation>
        <x14:dataValidation type="list" allowBlank="1" showInputMessage="1" showErrorMessage="1" xr:uid="{00000000-0002-0000-1F00-000002000000}">
          <x14:formula1>
            <xm:f>Lookups!$L$8:$O$8</xm:f>
          </x14:formula1>
          <xm:sqref>B17</xm:sqref>
        </x14:dataValidation>
        <x14:dataValidation type="list" allowBlank="1" showInputMessage="1" showErrorMessage="1" xr:uid="{00000000-0002-0000-1F00-000003000000}">
          <x14:formula1>
            <xm:f>Lookups!$B$9:$B$12</xm:f>
          </x14:formula1>
          <xm:sqref>K5:L5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B2:N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4" width="14" style="251" customWidth="1"/>
    <col min="15" max="16384" width="9.1796875" style="251"/>
  </cols>
  <sheetData>
    <row r="2" spans="2:14" ht="13">
      <c r="B2" s="286" t="s">
        <v>48</v>
      </c>
      <c r="C2" s="287" t="s">
        <v>527</v>
      </c>
      <c r="F2" s="595" t="s">
        <v>507</v>
      </c>
      <c r="G2" s="596"/>
      <c r="H2" s="327"/>
    </row>
    <row r="3" spans="2:14" ht="13">
      <c r="B3" s="286" t="s">
        <v>49</v>
      </c>
      <c r="C3" s="288" t="s">
        <v>307</v>
      </c>
    </row>
    <row r="4" spans="2:14" ht="13">
      <c r="B4" s="287"/>
      <c r="C4" s="289" t="s">
        <v>478</v>
      </c>
      <c r="D4" s="290"/>
      <c r="K4" s="591" t="s">
        <v>52</v>
      </c>
      <c r="L4" s="591"/>
    </row>
    <row r="5" spans="2:14" ht="22" customHeight="1">
      <c r="C5" s="291"/>
      <c r="D5" s="292"/>
      <c r="E5" s="292"/>
      <c r="F5" s="292"/>
      <c r="G5" s="292"/>
      <c r="H5" s="292"/>
      <c r="I5" s="597" t="s">
        <v>50</v>
      </c>
      <c r="J5" s="598"/>
      <c r="K5" s="594" t="s">
        <v>51</v>
      </c>
      <c r="L5" s="594"/>
    </row>
    <row r="6" spans="2:14" ht="26.15" customHeight="1">
      <c r="B6" s="293" t="s">
        <v>271</v>
      </c>
      <c r="C6" s="293" t="s">
        <v>5</v>
      </c>
      <c r="D6" s="294">
        <v>2020</v>
      </c>
      <c r="E6" s="294">
        <v>2021</v>
      </c>
      <c r="F6" s="294">
        <v>2022</v>
      </c>
      <c r="G6" s="294">
        <v>2023</v>
      </c>
      <c r="H6" s="294" t="s">
        <v>737</v>
      </c>
      <c r="I6" s="295" t="s">
        <v>53</v>
      </c>
      <c r="J6" s="295" t="s">
        <v>54</v>
      </c>
      <c r="K6" s="295" t="s">
        <v>79</v>
      </c>
      <c r="L6" s="295" t="s">
        <v>57</v>
      </c>
    </row>
    <row r="7" spans="2:14" ht="19.5" customHeight="1">
      <c r="B7" s="296" t="s">
        <v>249</v>
      </c>
      <c r="C7" s="296" t="s">
        <v>22</v>
      </c>
      <c r="D7" s="298">
        <f>VLOOKUP($C7,'Raw - Social Builds'!$A$8:$Q$41,4,FALSE)</f>
        <v>10.022988505747126</v>
      </c>
      <c r="E7" s="298">
        <f>VLOOKUP($C7,'Raw - Social Builds'!$A$8:$Q$41,8,FALSE)</f>
        <v>15.886134067952248</v>
      </c>
      <c r="F7" s="298">
        <f>VLOOKUP($C7,'Raw - Social Builds'!$A$8:$Q$41,12,FALSE)</f>
        <v>2.2939988988805284</v>
      </c>
      <c r="G7" s="298">
        <f>VLOOKUP($C7,'Raw - Social Builds'!$A$8:$Q$41,16,FALSE)</f>
        <v>6.1479170489998163</v>
      </c>
      <c r="H7" s="318">
        <f>VLOOKUP($C7,'Raw - Social Builds'!$A$8:$Q$41,14,FALSE)</f>
        <v>67</v>
      </c>
      <c r="I7" s="299">
        <f>SUM(G7-D7)</f>
        <v>-3.8750714567473095</v>
      </c>
      <c r="J7" s="300">
        <f>SUM(VLOOKUP(C7,'Raw - Social Builds'!A:Q,14,FALSE)-VLOOKUP(C7,'Raw - Social Builds'!A:Q,2,FALSE))</f>
        <v>-42</v>
      </c>
      <c r="K7" s="301">
        <f t="shared" ref="K7:K14" si="0">IF(IF($K$5="lgbf family group",SUM(G$17-G7),IF($K$5="Glasgow City Region",SUM(G$18-G7),IF($K$5="Scotland",SUM(G$19-G7),IF($K$5="United Kingdom",SUM(G$20-G7),SUM(G$16-G7)))))&lt;0,"",IF($K$5="lgbf family group",SUM(G$17-G7),IF($K$5="Glasgow City Region",SUM(G$18-G7),IF($K$5="Scotland",SUM(G$19-G7),IF($K$5="United Kingdom",SUM(G$20-G7),SUM(G$16-G7))))))</f>
        <v>34.251959277909393</v>
      </c>
      <c r="L7" s="302">
        <f>IF(K7="","",IF($K$5="lgbf family group",SUM(MROUND(SUM(SUM(VLOOKUP(C$17,'Raw - Social Builds'!A:Q,16,FALSE)*VLOOKUP(C7,'Raw - Social Builds'!A:Q,15,FALSE))),100)-MROUND(SUM(SUM(VLOOKUP(C7,'Raw - Social Builds'!A:Q,16,FALSE)*VLOOKUP(C7,'Raw - Social Builds'!A:Q,15,FALSE))),100)),IF($K$5="Glasgow City Region",SUM(MROUND(SUM(SUM(VLOOKUP(C$18,'Raw - Social Builds'!A:Q,16,FALSE)*VLOOKUP(C7,'Raw - Social Builds'!A:Q,15,FALSE))),100)-MROUND(SUM(SUM(VLOOKUP(C7,'Raw - Social Builds'!A:Q,16,FALSE)*VLOOKUP(C7,'Raw - Social Builds'!A:Q,15,FALSE))),100)),IF($K$5="Scotland",SUM(MROUND(SUM(SUM(VLOOKUP(C$19,'Raw - Social Builds'!A:Q,16,FALSE)*VLOOKUP(C7,'Raw - Social Builds'!A:Q,15,FALSE))),100)-MROUND(SUM(SUM(VLOOKUP(C7,'Raw - Social Builds'!A:Q,16,FALSE)*VLOOKUP(C7,'Raw - Social Builds'!A:Q,15,FALSE))),100)),IF($K$5="United Kingdom",SUM(MROUND(SUM(SUM(VLOOKUP(C$20,'Raw - Social Builds'!A:Q,16,FALSE)*VLOOKUP(C7,'Raw - Social Builds'!A:Q,15,FALSE))),100)-MROUND(SUM(SUM(VLOOKUP(C7,'Raw - Social Builds'!A:Q,16,FALSE)*VLOOKUP(C7,'Raw - Social Builds'!A:Q,15,FALSE))),100)),SUM(MROUND(SUM(SUM(VLOOKUP(C$16,'Raw - Social Builds'!A:Q,16,FALSE)*VLOOKUP(C7,'Raw - Social Builds'!A:Q,15,FALSE))),100)-MROUND(SUM(SUM(VLOOKUP(C7,'Raw - Social Builds'!A:Q,16,FALSE)*VLOOKUP(C7,'Raw - Social Builds'!A:Q,15,FALSE))),100)))))))</f>
        <v>300</v>
      </c>
    </row>
    <row r="8" spans="2:14" ht="19.5" customHeight="1">
      <c r="B8" s="296" t="s">
        <v>249</v>
      </c>
      <c r="C8" s="296" t="s">
        <v>24</v>
      </c>
      <c r="D8" s="298">
        <f>VLOOKUP($C8,'Raw - Social Builds'!$A$8:$Q$41,4,FALSE)</f>
        <v>1.2492192379762648</v>
      </c>
      <c r="E8" s="298">
        <f>VLOOKUP($C8,'Raw - Social Builds'!$A$8:$Q$41,8,FALSE)</f>
        <v>10.457651687720025</v>
      </c>
      <c r="F8" s="298">
        <f>VLOOKUP($C8,'Raw - Social Builds'!$A$8:$Q$41,12,FALSE)</f>
        <v>10.395224372169618</v>
      </c>
      <c r="G8" s="298">
        <f>VLOOKUP($C8,'Raw - Social Builds'!$A$8:$Q$41,16,FALSE)</f>
        <v>8.027995059695348</v>
      </c>
      <c r="H8" s="318">
        <f>VLOOKUP($C8,'Raw - Social Builds'!$A$8:$Q$41,14,FALSE)</f>
        <v>78</v>
      </c>
      <c r="I8" s="299">
        <f t="shared" ref="I8:I14" si="1">SUM(G8-D8)</f>
        <v>6.7787758217190834</v>
      </c>
      <c r="J8" s="300">
        <f>SUM(VLOOKUP(C8,'Raw - Social Builds'!A:Q,14,FALSE)-VLOOKUP(C8,'Raw - Social Builds'!A:Q,2,FALSE))</f>
        <v>66</v>
      </c>
      <c r="K8" s="301">
        <f t="shared" si="0"/>
        <v>32.371881267213858</v>
      </c>
      <c r="L8" s="302">
        <f>IF(K8="","",IF($K$5="lgbf family group",SUM(MROUND(SUM(SUM(VLOOKUP(C$17,'Raw - Social Builds'!A:Q,16,FALSE)*VLOOKUP(C8,'Raw - Social Builds'!A:Q,15,FALSE))),100)-MROUND(SUM(SUM(VLOOKUP(C8,'Raw - Social Builds'!A:Q,16,FALSE)*VLOOKUP(C8,'Raw - Social Builds'!A:Q,15,FALSE))),100)),IF($K$5="Glasgow City Region",SUM(MROUND(SUM(SUM(VLOOKUP(C$18,'Raw - Social Builds'!A:Q,16,FALSE)*VLOOKUP(C8,'Raw - Social Builds'!A:Q,15,FALSE))),100)-MROUND(SUM(SUM(VLOOKUP(C8,'Raw - Social Builds'!A:Q,16,FALSE)*VLOOKUP(C8,'Raw - Social Builds'!A:Q,15,FALSE))),100)),IF($K$5="Scotland",SUM(MROUND(SUM(SUM(VLOOKUP(C$19,'Raw - Social Builds'!A:Q,16,FALSE)*VLOOKUP(C8,'Raw - Social Builds'!A:Q,15,FALSE))),100)-MROUND(SUM(SUM(VLOOKUP(C8,'Raw - Social Builds'!A:Q,16,FALSE)*VLOOKUP(C8,'Raw - Social Builds'!A:Q,15,FALSE))),100)),IF($K$5="United Kingdom",SUM(MROUND(SUM(SUM(VLOOKUP(C$20,'Raw - Social Builds'!A:Q,16,FALSE)*VLOOKUP(C8,'Raw - Social Builds'!A:Q,15,FALSE))),100)-MROUND(SUM(SUM(VLOOKUP(C8,'Raw - Social Builds'!A:Q,16,FALSE)*VLOOKUP(C8,'Raw - Social Builds'!A:Q,15,FALSE))),100)),SUM(MROUND(SUM(SUM(VLOOKUP(C$16,'Raw - Social Builds'!A:Q,16,FALSE)*VLOOKUP(C8,'Raw - Social Builds'!A:Q,15,FALSE))),100)-MROUND(SUM(SUM(VLOOKUP(C8,'Raw - Social Builds'!A:Q,16,FALSE)*VLOOKUP(C8,'Raw - Social Builds'!A:Q,15,FALSE))),100)))))))</f>
        <v>300</v>
      </c>
    </row>
    <row r="9" spans="2:14" ht="19.5" customHeight="1">
      <c r="B9" s="296" t="s">
        <v>249</v>
      </c>
      <c r="C9" s="296" t="s">
        <v>27</v>
      </c>
      <c r="D9" s="298">
        <f>VLOOKUP($C9,'Raw - Social Builds'!$A$8:$Q$41,4,FALSE)</f>
        <v>12.25536467182682</v>
      </c>
      <c r="E9" s="298">
        <f>VLOOKUP($C9,'Raw - Social Builds'!$A$8:$Q$41,8,FALSE)</f>
        <v>10.328594146080331</v>
      </c>
      <c r="F9" s="298">
        <f>VLOOKUP($C9,'Raw - Social Builds'!$A$8:$Q$41,12,FALSE)</f>
        <v>9.4248739603737839</v>
      </c>
      <c r="G9" s="298">
        <f>VLOOKUP($C9,'Raw - Social Builds'!$A$8:$Q$41,16,FALSE)</f>
        <v>10.243730130695868</v>
      </c>
      <c r="H9" s="318">
        <f>VLOOKUP($C9,'Raw - Social Builds'!$A$8:$Q$41,14,FALSE)</f>
        <v>638</v>
      </c>
      <c r="I9" s="299">
        <f>SUM(G9-D9)</f>
        <v>-2.0116345411309524</v>
      </c>
      <c r="J9" s="300">
        <f>SUM(VLOOKUP(C9,'Raw - Social Builds'!A:Q,14,FALSE)-VLOOKUP(C9,'Raw - Social Builds'!A:Q,2,FALSE))</f>
        <v>-141</v>
      </c>
      <c r="K9" s="301">
        <f t="shared" si="0"/>
        <v>30.156146196213342</v>
      </c>
      <c r="L9" s="302">
        <f>IF(K9="","",IF($K$5="lgbf family group",SUM(MROUND(SUM(SUM(VLOOKUP(C$17,'Raw - Social Builds'!A:Q,16,FALSE)*VLOOKUP(C9,'Raw - Social Builds'!A:Q,15,FALSE))),100)-MROUND(SUM(SUM(VLOOKUP(C9,'Raw - Social Builds'!A:Q,16,FALSE)*VLOOKUP(C9,'Raw - Social Builds'!A:Q,15,FALSE))),100)),IF($K$5="Glasgow City Region",SUM(MROUND(SUM(SUM(VLOOKUP(C$18,'Raw - Social Builds'!A:Q,16,FALSE)*VLOOKUP(C9,'Raw - Social Builds'!A:Q,15,FALSE))),100)-MROUND(SUM(SUM(VLOOKUP(C9,'Raw - Social Builds'!A:Q,16,FALSE)*VLOOKUP(C9,'Raw - Social Builds'!A:Q,15,FALSE))),100)),IF($K$5="Scotland",SUM(MROUND(SUM(SUM(VLOOKUP(C$19,'Raw - Social Builds'!A:Q,16,FALSE)*VLOOKUP(C9,'Raw - Social Builds'!A:Q,15,FALSE))),100)-MROUND(SUM(SUM(VLOOKUP(C9,'Raw - Social Builds'!A:Q,16,FALSE)*VLOOKUP(C9,'Raw - Social Builds'!A:Q,15,FALSE))),100)),IF($K$5="United Kingdom",SUM(MROUND(SUM(SUM(VLOOKUP(C$20,'Raw - Social Builds'!A:Q,16,FALSE)*VLOOKUP(C9,'Raw - Social Builds'!A:Q,15,FALSE))),100)-MROUND(SUM(SUM(VLOOKUP(C9,'Raw - Social Builds'!A:Q,16,FALSE)*VLOOKUP(C9,'Raw - Social Builds'!A:Q,15,FALSE))),100)),SUM(MROUND(SUM(SUM(VLOOKUP(C$16,'Raw - Social Builds'!A:Q,16,FALSE)*VLOOKUP(C9,'Raw - Social Builds'!A:Q,15,FALSE))),100)-MROUND(SUM(SUM(VLOOKUP(C9,'Raw - Social Builds'!A:Q,16,FALSE)*VLOOKUP(C9,'Raw - Social Builds'!A:Q,15,FALSE))),100)))))))</f>
        <v>1900</v>
      </c>
    </row>
    <row r="10" spans="2:14" ht="19.5" customHeight="1">
      <c r="B10" s="296" t="s">
        <v>249</v>
      </c>
      <c r="C10" s="296" t="s">
        <v>29</v>
      </c>
      <c r="D10" s="298">
        <f>VLOOKUP($C10,'Raw - Social Builds'!$A$8:$Q$41,4,FALSE)</f>
        <v>4.6716844017648587</v>
      </c>
      <c r="E10" s="298">
        <f>VLOOKUP($C10,'Raw - Social Builds'!$A$8:$Q$41,8,FALSE)</f>
        <v>46.544980443285532</v>
      </c>
      <c r="F10" s="298">
        <f>VLOOKUP($C10,'Raw - Social Builds'!$A$8:$Q$41,12,FALSE)</f>
        <v>37.401072249170284</v>
      </c>
      <c r="G10" s="298">
        <f>VLOOKUP($C10,'Raw - Social Builds'!$A$8:$Q$41,16,FALSE)</f>
        <v>25.274444728108246</v>
      </c>
      <c r="H10" s="318">
        <f>VLOOKUP($C10,'Raw - Social Builds'!$A$8:$Q$41,14,FALSE)</f>
        <v>198</v>
      </c>
      <c r="I10" s="299">
        <f t="shared" si="1"/>
        <v>20.602760326343386</v>
      </c>
      <c r="J10" s="300">
        <f>SUM(VLOOKUP(C10,'Raw - Social Builds'!A:Q,14,FALSE)-VLOOKUP(C10,'Raw - Social Builds'!A:Q,2,FALSE))</f>
        <v>162</v>
      </c>
      <c r="K10" s="301">
        <f t="shared" si="0"/>
        <v>15.125431598800962</v>
      </c>
      <c r="L10" s="302">
        <f>IF(K10="","",IF($K$5="lgbf family group",SUM(MROUND(SUM(SUM(VLOOKUP(C$17,'Raw - Social Builds'!A:Q,16,FALSE)*VLOOKUP(C10,'Raw - Social Builds'!A:Q,15,FALSE))),100)-MROUND(SUM(SUM(VLOOKUP(C10,'Raw - Social Builds'!A:Q,16,FALSE)*VLOOKUP(C10,'Raw - Social Builds'!A:Q,15,FALSE))),100)),IF($K$5="Glasgow City Region",SUM(MROUND(SUM(SUM(VLOOKUP(C$18,'Raw - Social Builds'!A:Q,16,FALSE)*VLOOKUP(C10,'Raw - Social Builds'!A:Q,15,FALSE))),100)-MROUND(SUM(SUM(VLOOKUP(C10,'Raw - Social Builds'!A:Q,16,FALSE)*VLOOKUP(C10,'Raw - Social Builds'!A:Q,15,FALSE))),100)),IF($K$5="Scotland",SUM(MROUND(SUM(SUM(VLOOKUP(C$19,'Raw - Social Builds'!A:Q,16,FALSE)*VLOOKUP(C10,'Raw - Social Builds'!A:Q,15,FALSE))),100)-MROUND(SUM(SUM(VLOOKUP(C10,'Raw - Social Builds'!A:Q,16,FALSE)*VLOOKUP(C10,'Raw - Social Builds'!A:Q,15,FALSE))),100)),IF($K$5="United Kingdom",SUM(MROUND(SUM(SUM(VLOOKUP(C$20,'Raw - Social Builds'!A:Q,16,FALSE)*VLOOKUP(C10,'Raw - Social Builds'!A:Q,15,FALSE))),100)-MROUND(SUM(SUM(VLOOKUP(C10,'Raw - Social Builds'!A:Q,16,FALSE)*VLOOKUP(C10,'Raw - Social Builds'!A:Q,15,FALSE))),100)),SUM(MROUND(SUM(SUM(VLOOKUP(C$16,'Raw - Social Builds'!A:Q,16,FALSE)*VLOOKUP(C10,'Raw - Social Builds'!A:Q,15,FALSE))),100)-MROUND(SUM(SUM(VLOOKUP(C10,'Raw - Social Builds'!A:Q,16,FALSE)*VLOOKUP(C10,'Raw - Social Builds'!A:Q,15,FALSE))),100)))))))</f>
        <v>100</v>
      </c>
    </row>
    <row r="11" spans="2:14" ht="19.5" customHeight="1">
      <c r="B11" s="296" t="s">
        <v>249</v>
      </c>
      <c r="C11" s="296" t="s">
        <v>34</v>
      </c>
      <c r="D11" s="298">
        <f>VLOOKUP($C11,'Raw - Social Builds'!$A$8:$Q$41,4,FALSE)</f>
        <v>2.5795860936858768</v>
      </c>
      <c r="E11" s="298">
        <f>VLOOKUP($C11,'Raw - Social Builds'!$A$8:$Q$41,8,FALSE)</f>
        <v>10.515524311657879</v>
      </c>
      <c r="F11" s="298">
        <f>VLOOKUP($C11,'Raw - Social Builds'!$A$8:$Q$41,12,FALSE)</f>
        <v>13.404511189980347</v>
      </c>
      <c r="G11" s="298">
        <f>VLOOKUP($C11,'Raw - Social Builds'!$A$8:$Q$41,16,FALSE)</f>
        <v>12.524565160003519</v>
      </c>
      <c r="H11" s="318">
        <f>VLOOKUP($C11,'Raw - Social Builds'!$A$8:$Q$41,14,FALSE)</f>
        <v>427</v>
      </c>
      <c r="I11" s="299">
        <f>SUM(G11-D11)</f>
        <v>9.9449790663176429</v>
      </c>
      <c r="J11" s="300">
        <f>SUM(VLOOKUP(C11,'Raw - Social Builds'!A:Q,14,FALSE)-VLOOKUP(C11,'Raw - Social Builds'!A:Q,2,FALSE))</f>
        <v>339</v>
      </c>
      <c r="K11" s="301">
        <f t="shared" si="0"/>
        <v>27.875311166905689</v>
      </c>
      <c r="L11" s="302">
        <f>IF(K11="","",IF($K$5="lgbf family group",SUM(MROUND(SUM(SUM(VLOOKUP(C$17,'Raw - Social Builds'!A:Q,16,FALSE)*VLOOKUP(C11,'Raw - Social Builds'!A:Q,15,FALSE))),100)-MROUND(SUM(SUM(VLOOKUP(C11,'Raw - Social Builds'!A:Q,16,FALSE)*VLOOKUP(C11,'Raw - Social Builds'!A:Q,15,FALSE))),100)),IF($K$5="Glasgow City Region",SUM(MROUND(SUM(SUM(VLOOKUP(C$18,'Raw - Social Builds'!A:Q,16,FALSE)*VLOOKUP(C11,'Raw - Social Builds'!A:Q,15,FALSE))),100)-MROUND(SUM(SUM(VLOOKUP(C11,'Raw - Social Builds'!A:Q,16,FALSE)*VLOOKUP(C11,'Raw - Social Builds'!A:Q,15,FALSE))),100)),IF($K$5="Scotland",SUM(MROUND(SUM(SUM(VLOOKUP(C$19,'Raw - Social Builds'!A:Q,16,FALSE)*VLOOKUP(C11,'Raw - Social Builds'!A:Q,15,FALSE))),100)-MROUND(SUM(SUM(VLOOKUP(C11,'Raw - Social Builds'!A:Q,16,FALSE)*VLOOKUP(C11,'Raw - Social Builds'!A:Q,15,FALSE))),100)),IF($K$5="United Kingdom",SUM(MROUND(SUM(SUM(VLOOKUP(C$20,'Raw - Social Builds'!A:Q,16,FALSE)*VLOOKUP(C11,'Raw - Social Builds'!A:Q,15,FALSE))),100)-MROUND(SUM(SUM(VLOOKUP(C11,'Raw - Social Builds'!A:Q,16,FALSE)*VLOOKUP(C11,'Raw - Social Builds'!A:Q,15,FALSE))),100)),SUM(MROUND(SUM(SUM(VLOOKUP(C$16,'Raw - Social Builds'!A:Q,16,FALSE)*VLOOKUP(C11,'Raw - Social Builds'!A:Q,15,FALSE))),100)-MROUND(SUM(SUM(VLOOKUP(C11,'Raw - Social Builds'!A:Q,16,FALSE)*VLOOKUP(C11,'Raw - Social Builds'!A:Q,15,FALSE))),100)))))))</f>
        <v>1000</v>
      </c>
    </row>
    <row r="12" spans="2:14" ht="19.5" customHeight="1">
      <c r="B12" s="296" t="s">
        <v>249</v>
      </c>
      <c r="C12" s="296" t="s">
        <v>37</v>
      </c>
      <c r="D12" s="298">
        <f>VLOOKUP($C12,'Raw - Social Builds'!$A$8:$Q$41,4,FALSE)</f>
        <v>9.4208149841128268</v>
      </c>
      <c r="E12" s="298">
        <f>VLOOKUP($C12,'Raw - Social Builds'!$A$8:$Q$41,8,FALSE)</f>
        <v>5.6129821051461599</v>
      </c>
      <c r="F12" s="298">
        <f>VLOOKUP($C12,'Raw - Social Builds'!$A$8:$Q$41,12,FALSE)</f>
        <v>14.592600629271997</v>
      </c>
      <c r="G12" s="298">
        <f>VLOOKUP($C12,'Raw - Social Builds'!$A$8:$Q$41,16,FALSE)</f>
        <v>14.538353043289574</v>
      </c>
      <c r="H12" s="318">
        <f>VLOOKUP($C12,'Raw - Social Builds'!$A$8:$Q$41,14,FALSE)</f>
        <v>268</v>
      </c>
      <c r="I12" s="299">
        <f t="shared" si="1"/>
        <v>5.1175380591767468</v>
      </c>
      <c r="J12" s="300">
        <f>SUM(VLOOKUP(C12,'Raw - Social Builds'!A:Q,14,FALSE)-VLOOKUP(C12,'Raw - Social Builds'!A:Q,2,FALSE))</f>
        <v>99</v>
      </c>
      <c r="K12" s="301">
        <f t="shared" si="0"/>
        <v>25.861523283619633</v>
      </c>
      <c r="L12" s="302">
        <f>IF(K12="","",IF($K$5="lgbf family group",SUM(MROUND(SUM(SUM(VLOOKUP(C$17,'Raw - Social Builds'!A:Q,16,FALSE)*VLOOKUP(C12,'Raw - Social Builds'!A:Q,15,FALSE))),100)-MROUND(SUM(SUM(VLOOKUP(C12,'Raw - Social Builds'!A:Q,16,FALSE)*VLOOKUP(C12,'Raw - Social Builds'!A:Q,15,FALSE))),100)),IF($K$5="Glasgow City Region",SUM(MROUND(SUM(SUM(VLOOKUP(C$18,'Raw - Social Builds'!A:Q,16,FALSE)*VLOOKUP(C12,'Raw - Social Builds'!A:Q,15,FALSE))),100)-MROUND(SUM(SUM(VLOOKUP(C12,'Raw - Social Builds'!A:Q,16,FALSE)*VLOOKUP(C12,'Raw - Social Builds'!A:Q,15,FALSE))),100)),IF($K$5="Scotland",SUM(MROUND(SUM(SUM(VLOOKUP(C$19,'Raw - Social Builds'!A:Q,16,FALSE)*VLOOKUP(C12,'Raw - Social Builds'!A:Q,15,FALSE))),100)-MROUND(SUM(SUM(VLOOKUP(C12,'Raw - Social Builds'!A:Q,16,FALSE)*VLOOKUP(C12,'Raw - Social Builds'!A:Q,15,FALSE))),100)),IF($K$5="United Kingdom",SUM(MROUND(SUM(SUM(VLOOKUP(C$20,'Raw - Social Builds'!A:Q,16,FALSE)*VLOOKUP(C12,'Raw - Social Builds'!A:Q,15,FALSE))),100)-MROUND(SUM(SUM(VLOOKUP(C12,'Raw - Social Builds'!A:Q,16,FALSE)*VLOOKUP(C12,'Raw - Social Builds'!A:Q,15,FALSE))),100)),SUM(MROUND(SUM(SUM(VLOOKUP(C$16,'Raw - Social Builds'!A:Q,16,FALSE)*VLOOKUP(C12,'Raw - Social Builds'!A:Q,15,FALSE))),100)-MROUND(SUM(SUM(VLOOKUP(C12,'Raw - Social Builds'!A:Q,16,FALSE)*VLOOKUP(C12,'Raw - Social Builds'!A:Q,15,FALSE))),100)))))))</f>
        <v>400</v>
      </c>
    </row>
    <row r="13" spans="2:14" ht="19.5" customHeight="1">
      <c r="B13" s="296" t="s">
        <v>249</v>
      </c>
      <c r="C13" s="296" t="s">
        <v>41</v>
      </c>
      <c r="D13" s="298">
        <f>VLOOKUP($C13,'Raw - Social Builds'!$A$8:$Q$41,4,FALSE)</f>
        <v>7.792531637678449</v>
      </c>
      <c r="E13" s="298">
        <f>VLOOKUP($C13,'Raw - Social Builds'!$A$8:$Q$41,8,FALSE)</f>
        <v>16.458481852276602</v>
      </c>
      <c r="F13" s="298">
        <f>VLOOKUP($C13,'Raw - Social Builds'!$A$8:$Q$41,12,FALSE)</f>
        <v>9.04010017408301</v>
      </c>
      <c r="G13" s="298">
        <f>VLOOKUP($C13,'Raw - Social Builds'!$A$8:$Q$41,16,FALSE)</f>
        <v>4.8254588767064712</v>
      </c>
      <c r="H13" s="318">
        <f>VLOOKUP($C13,'Raw - Social Builds'!$A$8:$Q$41,14,FALSE)</f>
        <v>158</v>
      </c>
      <c r="I13" s="299">
        <f t="shared" si="1"/>
        <v>-2.9670727609719778</v>
      </c>
      <c r="J13" s="300">
        <f>SUM(VLOOKUP(C13,'Raw - Social Builds'!A:Q,14,FALSE)-VLOOKUP(C13,'Raw - Social Builds'!A:Q,2,FALSE))</f>
        <v>-92</v>
      </c>
      <c r="K13" s="301">
        <f t="shared" si="0"/>
        <v>35.574417450202738</v>
      </c>
      <c r="L13" s="302">
        <f>IF(K13="","",IF($K$5="lgbf family group",SUM(MROUND(SUM(SUM(VLOOKUP(C$17,'Raw - Social Builds'!A:Q,16,FALSE)*VLOOKUP(C13,'Raw - Social Builds'!A:Q,15,FALSE))),100)-MROUND(SUM(SUM(VLOOKUP(C13,'Raw - Social Builds'!A:Q,16,FALSE)*VLOOKUP(C13,'Raw - Social Builds'!A:Q,15,FALSE))),100)),IF($K$5="Glasgow City Region",SUM(MROUND(SUM(SUM(VLOOKUP(C$18,'Raw - Social Builds'!A:Q,16,FALSE)*VLOOKUP(C13,'Raw - Social Builds'!A:Q,15,FALSE))),100)-MROUND(SUM(SUM(VLOOKUP(C13,'Raw - Social Builds'!A:Q,16,FALSE)*VLOOKUP(C13,'Raw - Social Builds'!A:Q,15,FALSE))),100)),IF($K$5="Scotland",SUM(MROUND(SUM(SUM(VLOOKUP(C$19,'Raw - Social Builds'!A:Q,16,FALSE)*VLOOKUP(C13,'Raw - Social Builds'!A:Q,15,FALSE))),100)-MROUND(SUM(SUM(VLOOKUP(C13,'Raw - Social Builds'!A:Q,16,FALSE)*VLOOKUP(C13,'Raw - Social Builds'!A:Q,15,FALSE))),100)),IF($K$5="United Kingdom",SUM(MROUND(SUM(SUM(VLOOKUP(C$20,'Raw - Social Builds'!A:Q,16,FALSE)*VLOOKUP(C13,'Raw - Social Builds'!A:Q,15,FALSE))),100)-MROUND(SUM(SUM(VLOOKUP(C13,'Raw - Social Builds'!A:Q,16,FALSE)*VLOOKUP(C13,'Raw - Social Builds'!A:Q,15,FALSE))),100)),SUM(MROUND(SUM(SUM(VLOOKUP(C$16,'Raw - Social Builds'!A:Q,16,FALSE)*VLOOKUP(C13,'Raw - Social Builds'!A:Q,15,FALSE))),100)-MROUND(SUM(SUM(VLOOKUP(C13,'Raw - Social Builds'!A:Q,16,FALSE)*VLOOKUP(C13,'Raw - Social Builds'!A:Q,15,FALSE))),100)))))))</f>
        <v>1100</v>
      </c>
    </row>
    <row r="14" spans="2:14" ht="19.5" customHeight="1">
      <c r="B14" s="296" t="s">
        <v>249</v>
      </c>
      <c r="C14" s="296" t="s">
        <v>43</v>
      </c>
      <c r="D14" s="298">
        <f>VLOOKUP($C14,'Raw - Social Builds'!$A$8:$Q$41,4,FALSE)</f>
        <v>9.9615123386914206</v>
      </c>
      <c r="E14" s="298">
        <f>VLOOKUP($C14,'Raw - Social Builds'!$A$8:$Q$41,8,FALSE)</f>
        <v>47.157990659528423</v>
      </c>
      <c r="F14" s="298">
        <f>VLOOKUP($C14,'Raw - Social Builds'!$A$8:$Q$41,12,FALSE)</f>
        <v>29.001925909142404</v>
      </c>
      <c r="G14" s="298">
        <f>VLOOKUP($C14,'Raw - Social Builds'!$A$8:$Q$41,16,FALSE)</f>
        <v>7.4770590234507761</v>
      </c>
      <c r="H14" s="318">
        <f>VLOOKUP($C14,'Raw - Social Builds'!$A$8:$Q$41,14,FALSE)</f>
        <v>66</v>
      </c>
      <c r="I14" s="299">
        <f t="shared" si="1"/>
        <v>-2.4844533152406445</v>
      </c>
      <c r="J14" s="300">
        <f>SUM(VLOOKUP(C14,'Raw - Social Builds'!A:Q,14,FALSE)-VLOOKUP(C14,'Raw - Social Builds'!A:Q,2,FALSE))</f>
        <v>-22</v>
      </c>
      <c r="K14" s="301">
        <f t="shared" si="0"/>
        <v>32.92281730345843</v>
      </c>
      <c r="L14" s="302">
        <f>IF(K14="","",IF($K$5="lgbf family group",SUM(MROUND(SUM(SUM(VLOOKUP(C$17,'Raw - Social Builds'!A:Q,16,FALSE)*VLOOKUP(C14,'Raw - Social Builds'!A:Q,15,FALSE))),100)-MROUND(SUM(SUM(VLOOKUP(C14,'Raw - Social Builds'!A:Q,16,FALSE)*VLOOKUP(C14,'Raw - Social Builds'!A:Q,15,FALSE))),100)),IF($K$5="Glasgow City Region",SUM(MROUND(SUM(SUM(VLOOKUP(C$18,'Raw - Social Builds'!A:Q,16,FALSE)*VLOOKUP(C14,'Raw - Social Builds'!A:Q,15,FALSE))),100)-MROUND(SUM(SUM(VLOOKUP(C14,'Raw - Social Builds'!A:Q,16,FALSE)*VLOOKUP(C14,'Raw - Social Builds'!A:Q,15,FALSE))),100)),IF($K$5="Scotland",SUM(MROUND(SUM(SUM(VLOOKUP(C$19,'Raw - Social Builds'!A:Q,16,FALSE)*VLOOKUP(C14,'Raw - Social Builds'!A:Q,15,FALSE))),100)-MROUND(SUM(SUM(VLOOKUP(C14,'Raw - Social Builds'!A:Q,16,FALSE)*VLOOKUP(C14,'Raw - Social Builds'!A:Q,15,FALSE))),100)),IF($K$5="United Kingdom",SUM(MROUND(SUM(SUM(VLOOKUP(C$20,'Raw - Social Builds'!A:Q,16,FALSE)*VLOOKUP(C14,'Raw - Social Builds'!A:Q,15,FALSE))),100)-MROUND(SUM(SUM(VLOOKUP(C14,'Raw - Social Builds'!A:Q,16,FALSE)*VLOOKUP(C14,'Raw - Social Builds'!A:Q,15,FALSE))),100)),SUM(MROUND(SUM(SUM(VLOOKUP(C$16,'Raw - Social Builds'!A:Q,16,FALSE)*VLOOKUP(C14,'Raw - Social Builds'!A:Q,15,FALSE))),100)-MROUND(SUM(SUM(VLOOKUP(C14,'Raw - Social Builds'!A:Q,16,FALSE)*VLOOKUP(C14,'Raw - Social Builds'!A:Q,15,FALSE))),100)))))))</f>
        <v>300</v>
      </c>
    </row>
    <row r="15" spans="2:14" ht="19.5" customHeight="1">
      <c r="B15" s="303"/>
      <c r="C15" s="303"/>
      <c r="D15" s="304"/>
      <c r="E15" s="304"/>
      <c r="F15" s="304"/>
      <c r="G15" s="304"/>
      <c r="H15" s="304"/>
      <c r="I15" s="306"/>
      <c r="J15" s="306"/>
      <c r="K15" s="306"/>
      <c r="L15" s="306"/>
      <c r="N15" s="306"/>
    </row>
    <row r="16" spans="2:14" ht="19.5" customHeight="1">
      <c r="B16" s="307" t="s">
        <v>51</v>
      </c>
      <c r="C16" s="296" t="str">
        <f>INDEX('Raw - Social Builds'!A9:A40,MATCH(MAX('Raw - Social Builds'!P9:P40),'Raw - Social Builds'!P9:P40,0))</f>
        <v>Midlothian</v>
      </c>
      <c r="D16" s="298">
        <f>VLOOKUP($C16,'Raw - Social Builds'!$A$8:$Q$51,4,FALSE)</f>
        <v>3.3279656468062266</v>
      </c>
      <c r="E16" s="298">
        <f>VLOOKUP($C16,'Raw - Social Builds'!$A$8:$Q$51,8,FALSE)</f>
        <v>14.575411913814955</v>
      </c>
      <c r="F16" s="298">
        <f>VLOOKUP($C16,'Raw - Social Builds'!$A$8:$Q$51,12,FALSE)</f>
        <v>12.573430897660518</v>
      </c>
      <c r="G16" s="298">
        <f>VLOOKUP($C16,'Raw - Social Builds'!$A$8:$Q$51,16,FALSE)</f>
        <v>40.399876326909208</v>
      </c>
      <c r="H16" s="318">
        <f>VLOOKUP($C16,'Raw - Social Builds'!$A$8:$Q$51,14,FALSE)</f>
        <v>392</v>
      </c>
      <c r="I16" s="299">
        <f>SUM(G16-D16)</f>
        <v>37.071910680102981</v>
      </c>
      <c r="J16" s="300">
        <f>SUM(VLOOKUP(C16,'Raw - Social Builds'!A:Q,14,FALSE)-VLOOKUP(C16,'Raw - Social Builds'!A:Q,2,FALSE))</f>
        <v>361</v>
      </c>
      <c r="K16" s="305"/>
    </row>
    <row r="17" spans="2:14" ht="19.5" customHeight="1">
      <c r="B17" s="307" t="s">
        <v>540</v>
      </c>
      <c r="C17" s="308" t="s">
        <v>544</v>
      </c>
      <c r="D17" s="298">
        <f>VLOOKUP($C17,'Raw - Social Builds'!$A$8:$Q$51,4,FALSE)</f>
        <v>6.597649454792311</v>
      </c>
      <c r="E17" s="298">
        <f>VLOOKUP($C17,'Raw - Social Builds'!$A$8:$Q$51,8,FALSE)</f>
        <v>15.180525164113787</v>
      </c>
      <c r="F17" s="298">
        <f>VLOOKUP($C17,'Raw - Social Builds'!$A$8:$Q$51,12,FALSE)</f>
        <v>11.057389110784106</v>
      </c>
      <c r="G17" s="298">
        <f>VLOOKUP($C17,'Raw - Social Builds'!$A$8:$Q$51,16,FALSE)</f>
        <v>15.419381963422323</v>
      </c>
      <c r="H17" s="318">
        <f>VLOOKUP($C17,'Raw - Social Builds'!$A$8:$Q$51,14,FALSE)</f>
        <v>1467</v>
      </c>
      <c r="I17" s="299">
        <f>SUM(G17-D17)</f>
        <v>8.8217325086300118</v>
      </c>
      <c r="J17" s="300">
        <f>SUM(VLOOKUP(C17,'Raw - Social Builds'!A:Q,14,FALSE)-VLOOKUP(C17,'Raw - Social Builds'!A:Q,2,FALSE))</f>
        <v>845</v>
      </c>
    </row>
    <row r="18" spans="2:14" ht="19.5" customHeight="1">
      <c r="B18" s="307" t="s">
        <v>250</v>
      </c>
      <c r="C18" s="296" t="s">
        <v>47</v>
      </c>
      <c r="D18" s="298">
        <f>VLOOKUP($C18,'Raw - Social Builds'!$A$8:$Q$51,4,FALSE)</f>
        <v>8.2882200086617583</v>
      </c>
      <c r="E18" s="298">
        <f>VLOOKUP($C18,'Raw - Social Builds'!$A$8:$Q$51,8,FALSE)</f>
        <v>14.558670034125264</v>
      </c>
      <c r="F18" s="298">
        <f>VLOOKUP($C18,'Raw - Social Builds'!$A$8:$Q$51,12,FALSE)</f>
        <v>12.357501880136558</v>
      </c>
      <c r="G18" s="298">
        <f>VLOOKUP($C18,'Raw - Social Builds'!$A$8:$Q$51,16,FALSE)</f>
        <v>10.279883350376297</v>
      </c>
      <c r="H18" s="318">
        <f>VLOOKUP($C18,'Raw - Social Builds'!$A$8:$Q$51,14,FALSE)</f>
        <v>1900</v>
      </c>
      <c r="I18" s="299">
        <f>SUM(G18-D18)</f>
        <v>1.9916633417145384</v>
      </c>
      <c r="J18" s="300">
        <f>SUM(VLOOKUP(C18,'Raw - Social Builds'!A:Q,14,FALSE)-VLOOKUP(C18,'Raw - Social Builds'!A:Q,2,FALSE))</f>
        <v>369</v>
      </c>
      <c r="K18" s="305"/>
    </row>
    <row r="19" spans="2:14" ht="19.5" customHeight="1">
      <c r="B19" s="307" t="s">
        <v>251</v>
      </c>
      <c r="C19" s="296" t="s">
        <v>45</v>
      </c>
      <c r="D19" s="298">
        <f>VLOOKUP($C19,'Raw - Social Builds'!$A$8:$Q$51,4,FALSE)</f>
        <v>7.7570435418953529</v>
      </c>
      <c r="E19" s="298">
        <f>VLOOKUP($C19,'Raw - Social Builds'!$A$8:$Q$51,8,FALSE)</f>
        <v>11.08231902042008</v>
      </c>
      <c r="F19" s="298">
        <f>VLOOKUP($C19,'Raw - Social Builds'!$A$8:$Q$51,12,FALSE)</f>
        <v>12.864144501349193</v>
      </c>
      <c r="G19" s="298">
        <f>VLOOKUP($C19,'Raw - Social Builds'!$A$8:$Q$51,16,FALSE)</f>
        <v>10.565926904932358</v>
      </c>
      <c r="H19" s="318">
        <f>VLOOKUP($C19,'Raw - Social Builds'!$A$8:$Q$51,14,FALSE)</f>
        <v>5756</v>
      </c>
      <c r="I19" s="299">
        <f>SUM(G19-D19)</f>
        <v>2.8088833630370047</v>
      </c>
      <c r="J19" s="300">
        <f>SUM(VLOOKUP(C19,'Raw - Social Builds'!A:Q,14,FALSE)-VLOOKUP(C19,'Raw - Social Builds'!A:Q,2,FALSE))</f>
        <v>1516</v>
      </c>
      <c r="K19" s="305"/>
    </row>
    <row r="20" spans="2:14" ht="19.5" customHeight="1">
      <c r="B20" s="307" t="s">
        <v>251</v>
      </c>
      <c r="C20" s="296" t="s">
        <v>46</v>
      </c>
      <c r="D20" s="318" t="s">
        <v>69</v>
      </c>
      <c r="E20" s="318" t="s">
        <v>69</v>
      </c>
      <c r="F20" s="318" t="s">
        <v>69</v>
      </c>
      <c r="G20" s="318" t="s">
        <v>69</v>
      </c>
      <c r="H20" s="318"/>
      <c r="I20" s="320" t="s">
        <v>69</v>
      </c>
      <c r="J20" s="300" t="s">
        <v>69</v>
      </c>
      <c r="K20" s="305"/>
    </row>
    <row r="21" spans="2:14" ht="19.5" customHeight="1">
      <c r="C21" s="309"/>
      <c r="D21" s="310"/>
      <c r="E21" s="310"/>
      <c r="F21" s="310"/>
      <c r="G21" s="310"/>
      <c r="H21" s="310"/>
      <c r="I21" s="310"/>
      <c r="J21" s="310"/>
      <c r="K21" s="310"/>
      <c r="L21" s="310"/>
      <c r="N21" s="310"/>
    </row>
    <row r="22" spans="2:14">
      <c r="D22" s="311"/>
      <c r="E22" s="311"/>
      <c r="F22" s="312" t="str">
        <f>CONCATENATE(G22,I22)</f>
        <v>Volume Change Required to match Geographic Area - Top Performing Scottish Local Authority</v>
      </c>
      <c r="G22" s="312" t="s">
        <v>519</v>
      </c>
      <c r="H22" s="312"/>
      <c r="I22" s="312" t="str">
        <f>K5</f>
        <v>Top Performing Scottish Local Authority</v>
      </c>
    </row>
    <row r="23" spans="2:14">
      <c r="B23" s="313" t="s">
        <v>467</v>
      </c>
    </row>
    <row r="24" spans="2:14">
      <c r="I24" s="314"/>
      <c r="J24" s="314"/>
      <c r="K24" s="314"/>
      <c r="L24" s="314"/>
      <c r="N24" s="311"/>
    </row>
  </sheetData>
  <sheetProtection algorithmName="SHA-512" hashValue="f6vLrsH7xGXZhIxWm4bIQRcq1xg+kUQtCNkNJ5Kmz9zYsoMSZeMWGknbgXAL7NMixj0KhEhugum0f7bNMOpPQw==" saltValue="cAMPAiLZ+yG8PGw+qnbd8A==" spinCount="100000" sheet="1" objects="1" scenarios="1"/>
  <autoFilter ref="B6:L14" xr:uid="{00000000-0009-0000-0000-000020000000}"/>
  <mergeCells count="4">
    <mergeCell ref="K4:L4"/>
    <mergeCell ref="I5:J5"/>
    <mergeCell ref="K5:L5"/>
    <mergeCell ref="F2:G2"/>
  </mergeCells>
  <dataValidations count="1">
    <dataValidation type="list" allowBlank="1" showInputMessage="1" showErrorMessage="1" sqref="C17" xr:uid="{00000000-0002-0000-2000-000000000000}">
      <formula1>IF(B17="LGBF Family Group 1",LGBF_1,IF(B17="LGBF Family Group 3",LGBF_3,IF(B17="LGBF Family Group 4",LGBF_4,LGBF_2)))</formula1>
    </dataValidation>
  </dataValidations>
  <hyperlinks>
    <hyperlink ref="C3" r:id="rId1" xr:uid="{00000000-0004-0000-2000-000000000000}"/>
    <hyperlink ref="F2:G2" location="'Index RAG'!A1" display="Return to Index RAG" xr:uid="{00000000-0004-0000-20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1000000}">
          <x14:formula1>
            <xm:f>Lookups!$B$3:$B$6</xm:f>
          </x14:formula1>
          <xm:sqref>M5</xm:sqref>
        </x14:dataValidation>
        <x14:dataValidation type="list" allowBlank="1" showInputMessage="1" showErrorMessage="1" xr:uid="{00000000-0002-0000-2000-000002000000}">
          <x14:formula1>
            <xm:f>Lookups!$L$8:$O$8</xm:f>
          </x14:formula1>
          <xm:sqref>B17</xm:sqref>
        </x14:dataValidation>
        <x14:dataValidation type="list" allowBlank="1" showInputMessage="1" showErrorMessage="1" xr:uid="{6AF8F47A-16BD-40AE-867E-A0CCE40E5DA3}">
          <x14:formula1>
            <xm:f>Lookups!$B$9:$B$12</xm:f>
          </x14:formula1>
          <xm:sqref>K5:L5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fitToPage="1"/>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272</v>
      </c>
      <c r="F2" s="595" t="s">
        <v>507</v>
      </c>
      <c r="G2" s="596"/>
    </row>
    <row r="3" spans="2:12" ht="13">
      <c r="B3" s="286" t="s">
        <v>49</v>
      </c>
      <c r="C3" s="288" t="s">
        <v>273</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t="s">
        <v>265</v>
      </c>
      <c r="E6" s="294" t="s">
        <v>266</v>
      </c>
      <c r="F6" s="294" t="s">
        <v>267</v>
      </c>
      <c r="G6" s="294" t="s">
        <v>582</v>
      </c>
      <c r="H6" s="294" t="s">
        <v>583</v>
      </c>
      <c r="I6" s="295" t="s">
        <v>53</v>
      </c>
      <c r="J6" s="295" t="s">
        <v>54</v>
      </c>
      <c r="K6" s="295" t="s">
        <v>56</v>
      </c>
      <c r="L6" s="295" t="s">
        <v>57</v>
      </c>
    </row>
    <row r="7" spans="2:12" ht="19.5" customHeight="1">
      <c r="B7" s="296" t="s">
        <v>249</v>
      </c>
      <c r="C7" s="296" t="s">
        <v>22</v>
      </c>
      <c r="D7" s="328">
        <f>VLOOKUP($C7,'Raw - Adaptations'!$A:$Q,4,FALSE)</f>
        <v>0.14996000000000001</v>
      </c>
      <c r="E7" s="328">
        <f>VLOOKUP($C7,'Raw - Adaptations'!$A:$Q,8,FALSE)</f>
        <v>0.19287000000000001</v>
      </c>
      <c r="F7" s="328">
        <f>VLOOKUP($C7,'Raw - Adaptations'!$A:$Q,12,FALSE)</f>
        <v>0.15014000000000002</v>
      </c>
      <c r="G7" s="328">
        <f>VLOOKUP($C7,'Raw - Adaptations'!$A:$Q,16,FALSE)</f>
        <v>0.16434000000000001</v>
      </c>
      <c r="H7" s="318">
        <f>VLOOKUP(C7,'Raw - Adaptations'!A:Q,14,FALSE)</f>
        <v>7597.1095200000009</v>
      </c>
      <c r="I7" s="320">
        <f>SUM(G7-D7)</f>
        <v>1.4380000000000004E-2</v>
      </c>
      <c r="J7" s="300">
        <f>ROUND(SUM(VLOOKUP(C7,'Raw - Adaptations'!A:Q,14,FALSE)-VLOOKUP(C7,'Raw - Adaptations'!A:Q,2,FALSE)),-2)</f>
        <v>800</v>
      </c>
      <c r="K7" s="322">
        <f t="shared" ref="K7:K14" si="0">IF(IF($K$5="LGBF FAMILY GROUP",SUM(G$17-G7),IF($K$5="Glasgow City Region",SUM(G$18-G7),IF($K$5="Scotland",SUM(G$19-G7),IF($K$5="United Kingdom",SUM(G$20-G7),SUM(G$16-G7)))))&lt;0,"",IF($K$5="LGBF FAMILY GROUP",SUM(G$17-G7),IF($K$5="Glasgow City Region",SUM(G$18-G7),IF($K$5="Scotland",SUM(G$19-G7),IF($K$5="United Kingdom",SUM(G$20-G7),SUM(G$16-G7))))))</f>
        <v>0.16958000000000004</v>
      </c>
      <c r="L7" s="302">
        <f>IF(K7="","",IF($K$5="LGBF FAMILY GROUP",SUM(MROUND(SUM(SUM(VLOOKUP(C$17,'Raw - Adaptations'!A:Q,16,FALSE)*VLOOKUP(C7,'Raw - Adaptations'!A:Q,15,FALSE))),100)-MROUND(SUM(SUM(VLOOKUP(C7,'Raw - Adaptations'!A:Q,16,FALSE)*VLOOKUP(C7,'Raw - Adaptations'!A:Q,15,FALSE))),100)),IF($K$5="Glasgow City Region",SUM(MROUND(SUM(SUM(VLOOKUP(C$18,'Raw - Adaptations'!A:Q,16,FALSE)*VLOOKUP(C7,'Raw - Adaptations'!A:Q,15,FALSE))),100)-MROUND(SUM(SUM(VLOOKUP(C7,'Raw - Adaptations'!A:Q,16,FALSE)*VLOOKUP(C7,'Raw - Adaptations'!A:Q,15,FALSE))),100)),IF($K$5="Scotland",SUM(MROUND(SUM(SUM(VLOOKUP(C$19,'Raw - Adaptations'!A:Q,16,FALSE)*VLOOKUP(C7,'Raw - Adaptations'!A:Q,15,FALSE))),100)-MROUND(SUM(SUM(VLOOKUP(C7,'Raw - Adaptations'!A:Q,16,FALSE)*VLOOKUP(C7,'Raw - Adaptations'!A:Q,15,FALSE))),100)),IF($K$5="United Kingdom",SUM(MROUND(SUM(SUM(VLOOKUP(C$20,'Raw - Adaptations'!A:Q,16,FALSE)*VLOOKUP(C7,'Raw - Adaptations'!A:Q,15,FALSE))),100)-MROUND(SUM(SUM(VLOOKUP(C7,'Raw - Adaptations'!A:Q,16,FALSE)*VLOOKUP(C7,'Raw - Adaptations'!A:Q,15,FALSE))),100)),SUM(MROUND(SUM(SUM(VLOOKUP(C$16,'Raw - Adaptations'!A:Q,16,FALSE)*VLOOKUP(C7,'Raw - Adaptations'!A:Q,15,FALSE))),100)-MROUND(SUM(SUM(VLOOKUP(C7,'Raw - Adaptations'!A:Q,16,FALSE)*VLOOKUP(C7,'Raw - Adaptations'!A:Q,15,FALSE))),100)))))))</f>
        <v>7800</v>
      </c>
    </row>
    <row r="8" spans="2:12" ht="19.5" customHeight="1">
      <c r="B8" s="296" t="s">
        <v>249</v>
      </c>
      <c r="C8" s="296" t="s">
        <v>24</v>
      </c>
      <c r="D8" s="328">
        <f>VLOOKUP($C8,'Raw - Adaptations'!$A:$Q,4,FALSE)</f>
        <v>0.17175000000000001</v>
      </c>
      <c r="E8" s="328">
        <f>VLOOKUP($C8,'Raw - Adaptations'!$A:$Q,8,FALSE)</f>
        <v>0.16667000000000001</v>
      </c>
      <c r="F8" s="328">
        <f>VLOOKUP($C8,'Raw - Adaptations'!$A:$Q,12,FALSE)</f>
        <v>0.17758000000000002</v>
      </c>
      <c r="G8" s="328">
        <f>VLOOKUP($C8,'Raw - Adaptations'!$A:$Q,16,FALSE)</f>
        <v>0.16718000000000002</v>
      </c>
      <c r="H8" s="318">
        <f>VLOOKUP(C8,'Raw - Adaptations'!A:Q,14,FALSE)</f>
        <v>6577.6971000000012</v>
      </c>
      <c r="I8" s="320">
        <f t="shared" ref="I8:I19" si="1">SUM(G8-D8)</f>
        <v>-4.5699999999999907E-3</v>
      </c>
      <c r="J8" s="300">
        <f>ROUND(SUM(VLOOKUP(C8,'Raw - Adaptations'!A:Q,14,FALSE)-VLOOKUP(C8,'Raw - Adaptations'!A:Q,2,FALSE)),-2)</f>
        <v>0</v>
      </c>
      <c r="K8" s="322">
        <f t="shared" si="0"/>
        <v>0.16674000000000003</v>
      </c>
      <c r="L8" s="302">
        <f>IF(K8="","",IF($K$5="LGBF FAMILY GROUP",SUM(MROUND(SUM(SUM(VLOOKUP(C$17,'Raw - Adaptations'!A:Q,16,FALSE)*VLOOKUP(C8,'Raw - Adaptations'!A:Q,15,FALSE))),100)-MROUND(SUM(SUM(VLOOKUP(C8,'Raw - Adaptations'!A:Q,16,FALSE)*VLOOKUP(C8,'Raw - Adaptations'!A:Q,15,FALSE))),100)),IF($K$5="Glasgow City Region",SUM(MROUND(SUM(SUM(VLOOKUP(C$18,'Raw - Adaptations'!A:Q,16,FALSE)*VLOOKUP(C8,'Raw - Adaptations'!A:Q,15,FALSE))),100)-MROUND(SUM(SUM(VLOOKUP(C8,'Raw - Adaptations'!A:Q,16,FALSE)*VLOOKUP(C8,'Raw - Adaptations'!A:Q,15,FALSE))),100)),IF($K$5="Scotland",SUM(MROUND(SUM(SUM(VLOOKUP(C$19,'Raw - Adaptations'!A:Q,16,FALSE)*VLOOKUP(C8,'Raw - Adaptations'!A:Q,15,FALSE))),100)-MROUND(SUM(SUM(VLOOKUP(C8,'Raw - Adaptations'!A:Q,16,FALSE)*VLOOKUP(C8,'Raw - Adaptations'!A:Q,15,FALSE))),100)),IF($K$5="United Kingdom",SUM(MROUND(SUM(SUM(VLOOKUP(C$20,'Raw - Adaptations'!A:Q,16,FALSE)*VLOOKUP(C8,'Raw - Adaptations'!A:Q,15,FALSE))),100)-MROUND(SUM(SUM(VLOOKUP(C8,'Raw - Adaptations'!A:Q,16,FALSE)*VLOOKUP(C8,'Raw - Adaptations'!A:Q,15,FALSE))),100)),SUM(MROUND(SUM(SUM(VLOOKUP(C$16,'Raw - Adaptations'!A:Q,16,FALSE)*VLOOKUP(C8,'Raw - Adaptations'!A:Q,15,FALSE))),100)-MROUND(SUM(SUM(VLOOKUP(C8,'Raw - Adaptations'!A:Q,16,FALSE)*VLOOKUP(C8,'Raw - Adaptations'!A:Q,15,FALSE))),100)))))))</f>
        <v>6500</v>
      </c>
    </row>
    <row r="9" spans="2:12" ht="19.5" customHeight="1">
      <c r="B9" s="296" t="s">
        <v>249</v>
      </c>
      <c r="C9" s="296" t="s">
        <v>27</v>
      </c>
      <c r="D9" s="328">
        <f>VLOOKUP($C9,'Raw - Adaptations'!$A:$Q,4,FALSE)</f>
        <v>0.20409000000000002</v>
      </c>
      <c r="E9" s="328">
        <f>VLOOKUP($C9,'Raw - Adaptations'!$A:$Q,8,FALSE)</f>
        <v>0.21801000000000001</v>
      </c>
      <c r="F9" s="328">
        <f>VLOOKUP($C9,'Raw - Adaptations'!$A:$Q,12,FALSE)</f>
        <v>0.22092000000000001</v>
      </c>
      <c r="G9" s="328">
        <f>VLOOKUP($C9,'Raw - Adaptations'!$A:$Q,16,FALSE)</f>
        <v>0.24669000000000002</v>
      </c>
      <c r="H9" s="318">
        <f>VLOOKUP(C9,'Raw - Adaptations'!A:Q,14,FALSE)</f>
        <v>72680.301180000009</v>
      </c>
      <c r="I9" s="320">
        <f t="shared" si="1"/>
        <v>4.2599999999999999E-2</v>
      </c>
      <c r="J9" s="300">
        <f>ROUND(SUM(VLOOKUP(C9,'Raw - Adaptations'!A:Q,14,FALSE)-VLOOKUP(C9,'Raw - Adaptations'!A:Q,2,FALSE)),-2)</f>
        <v>13600</v>
      </c>
      <c r="K9" s="322">
        <f t="shared" si="0"/>
        <v>8.723000000000003E-2</v>
      </c>
      <c r="L9" s="302">
        <f>IF(K9="","",IF($K$5="LGBF FAMILY GROUP",SUM(MROUND(SUM(SUM(VLOOKUP(C$17,'Raw - Adaptations'!A:Q,16,FALSE)*VLOOKUP(C9,'Raw - Adaptations'!A:Q,15,FALSE))),100)-MROUND(SUM(SUM(VLOOKUP(C9,'Raw - Adaptations'!A:Q,16,FALSE)*VLOOKUP(C9,'Raw - Adaptations'!A:Q,15,FALSE))),100)),IF($K$5="Glasgow City Region",SUM(MROUND(SUM(SUM(VLOOKUP(C$18,'Raw - Adaptations'!A:Q,16,FALSE)*VLOOKUP(C9,'Raw - Adaptations'!A:Q,15,FALSE))),100)-MROUND(SUM(SUM(VLOOKUP(C9,'Raw - Adaptations'!A:Q,16,FALSE)*VLOOKUP(C9,'Raw - Adaptations'!A:Q,15,FALSE))),100)),IF($K$5="Scotland",SUM(MROUND(SUM(SUM(VLOOKUP(C$19,'Raw - Adaptations'!A:Q,16,FALSE)*VLOOKUP(C9,'Raw - Adaptations'!A:Q,15,FALSE))),100)-MROUND(SUM(SUM(VLOOKUP(C9,'Raw - Adaptations'!A:Q,16,FALSE)*VLOOKUP(C9,'Raw - Adaptations'!A:Q,15,FALSE))),100)),IF($K$5="United Kingdom",SUM(MROUND(SUM(SUM(VLOOKUP(C$20,'Raw - Adaptations'!A:Q,16,FALSE)*VLOOKUP(C9,'Raw - Adaptations'!A:Q,15,FALSE))),100)-MROUND(SUM(SUM(VLOOKUP(C9,'Raw - Adaptations'!A:Q,16,FALSE)*VLOOKUP(C9,'Raw - Adaptations'!A:Q,15,FALSE))),100)),SUM(MROUND(SUM(SUM(VLOOKUP(C$16,'Raw - Adaptations'!A:Q,16,FALSE)*VLOOKUP(C9,'Raw - Adaptations'!A:Q,15,FALSE))),100)-MROUND(SUM(SUM(VLOOKUP(C9,'Raw - Adaptations'!A:Q,16,FALSE)*VLOOKUP(C9,'Raw - Adaptations'!A:Q,15,FALSE))),100)))))))</f>
        <v>25700</v>
      </c>
    </row>
    <row r="10" spans="2:12" ht="19.5" customHeight="1">
      <c r="B10" s="296" t="s">
        <v>249</v>
      </c>
      <c r="C10" s="296" t="s">
        <v>29</v>
      </c>
      <c r="D10" s="328">
        <f>VLOOKUP($C10,'Raw - Adaptations'!$A:$Q,4,FALSE)</f>
        <v>0.12978000000000001</v>
      </c>
      <c r="E10" s="328">
        <f>VLOOKUP($C10,'Raw - Adaptations'!$A:$Q,8,FALSE)</f>
        <v>0.15246000000000001</v>
      </c>
      <c r="F10" s="328">
        <f>VLOOKUP($C10,'Raw - Adaptations'!$A:$Q,12,FALSE)</f>
        <v>0.13125000000000001</v>
      </c>
      <c r="G10" s="328">
        <f>VLOOKUP($C10,'Raw - Adaptations'!$A:$Q,16,FALSE)</f>
        <v>0.10979000000000001</v>
      </c>
      <c r="H10" s="318">
        <f>VLOOKUP(C10,'Raw - Adaptations'!A:Q,14,FALSE)</f>
        <v>4129.6410600000008</v>
      </c>
      <c r="I10" s="320">
        <f t="shared" si="1"/>
        <v>-1.9989999999999994E-2</v>
      </c>
      <c r="J10" s="300">
        <f>ROUND(SUM(VLOOKUP(C10,'Raw - Adaptations'!A:Q,14,FALSE)-VLOOKUP(C10,'Raw - Adaptations'!A:Q,2,FALSE)),-2)</f>
        <v>-700</v>
      </c>
      <c r="K10" s="322">
        <f t="shared" si="0"/>
        <v>0.22413000000000005</v>
      </c>
      <c r="L10" s="302">
        <f>IF(K10="","",IF($K$5="LGBF FAMILY GROUP",SUM(MROUND(SUM(SUM(VLOOKUP(C$17,'Raw - Adaptations'!A:Q,16,FALSE)*VLOOKUP(C10,'Raw - Adaptations'!A:Q,15,FALSE))),100)-MROUND(SUM(SUM(VLOOKUP(C10,'Raw - Adaptations'!A:Q,16,FALSE)*VLOOKUP(C10,'Raw - Adaptations'!A:Q,15,FALSE))),100)),IF($K$5="Glasgow City Region",SUM(MROUND(SUM(SUM(VLOOKUP(C$18,'Raw - Adaptations'!A:Q,16,FALSE)*VLOOKUP(C10,'Raw - Adaptations'!A:Q,15,FALSE))),100)-MROUND(SUM(SUM(VLOOKUP(C10,'Raw - Adaptations'!A:Q,16,FALSE)*VLOOKUP(C10,'Raw - Adaptations'!A:Q,15,FALSE))),100)),IF($K$5="Scotland",SUM(MROUND(SUM(SUM(VLOOKUP(C$19,'Raw - Adaptations'!A:Q,16,FALSE)*VLOOKUP(C10,'Raw - Adaptations'!A:Q,15,FALSE))),100)-MROUND(SUM(SUM(VLOOKUP(C10,'Raw - Adaptations'!A:Q,16,FALSE)*VLOOKUP(C10,'Raw - Adaptations'!A:Q,15,FALSE))),100)),IF($K$5="United Kingdom",SUM(MROUND(SUM(SUM(VLOOKUP(C$20,'Raw - Adaptations'!A:Q,16,FALSE)*VLOOKUP(C10,'Raw - Adaptations'!A:Q,15,FALSE))),100)-MROUND(SUM(SUM(VLOOKUP(C10,'Raw - Adaptations'!A:Q,16,FALSE)*VLOOKUP(C10,'Raw - Adaptations'!A:Q,15,FALSE))),100)),SUM(MROUND(SUM(SUM(VLOOKUP(C$16,'Raw - Adaptations'!A:Q,16,FALSE)*VLOOKUP(C10,'Raw - Adaptations'!A:Q,15,FALSE))),100)-MROUND(SUM(SUM(VLOOKUP(C10,'Raw - Adaptations'!A:Q,16,FALSE)*VLOOKUP(C10,'Raw - Adaptations'!A:Q,15,FALSE))),100)))))))</f>
        <v>8500</v>
      </c>
    </row>
    <row r="11" spans="2:12" ht="19.5" customHeight="1">
      <c r="B11" s="296" t="s">
        <v>249</v>
      </c>
      <c r="C11" s="296" t="s">
        <v>34</v>
      </c>
      <c r="D11" s="328">
        <f>VLOOKUP($C11,'Raw - Adaptations'!$A:$Q,4,FALSE)</f>
        <v>0.16087000000000001</v>
      </c>
      <c r="E11" s="328">
        <f>VLOOKUP($C11,'Raw - Adaptations'!$A:$Q,8,FALSE)</f>
        <v>0.22366000000000003</v>
      </c>
      <c r="F11" s="328">
        <f>VLOOKUP($C11,'Raw - Adaptations'!$A:$Q,12,FALSE)</f>
        <v>0.29853000000000002</v>
      </c>
      <c r="G11" s="328">
        <f>VLOOKUP($C11,'Raw - Adaptations'!$A:$Q,16,FALSE)</f>
        <v>0.33126000000000005</v>
      </c>
      <c r="H11" s="318">
        <f>VLOOKUP(C11,'Raw - Adaptations'!A:Q,14,FALSE)</f>
        <v>50498.268180000006</v>
      </c>
      <c r="I11" s="320">
        <f t="shared" si="1"/>
        <v>0.17039000000000004</v>
      </c>
      <c r="J11" s="300">
        <f>ROUND(SUM(VLOOKUP(C11,'Raw - Adaptations'!A:Q,14,FALSE)-VLOOKUP(C11,'Raw - Adaptations'!A:Q,2,FALSE)),-2)</f>
        <v>26300</v>
      </c>
      <c r="K11" s="322">
        <f t="shared" si="0"/>
        <v>2.6599999999999957E-3</v>
      </c>
      <c r="L11" s="302">
        <f>IF(K11="","",IF($K$5="LGBF FAMILY GROUP",SUM(MROUND(SUM(SUM(VLOOKUP(C$17,'Raw - Adaptations'!A:Q,16,FALSE)*VLOOKUP(C11,'Raw - Adaptations'!A:Q,15,FALSE))),100)-MROUND(SUM(SUM(VLOOKUP(C11,'Raw - Adaptations'!A:Q,16,FALSE)*VLOOKUP(C11,'Raw - Adaptations'!A:Q,15,FALSE))),100)),IF($K$5="Glasgow City Region",SUM(MROUND(SUM(SUM(VLOOKUP(C$18,'Raw - Adaptations'!A:Q,16,FALSE)*VLOOKUP(C11,'Raw - Adaptations'!A:Q,15,FALSE))),100)-MROUND(SUM(SUM(VLOOKUP(C11,'Raw - Adaptations'!A:Q,16,FALSE)*VLOOKUP(C11,'Raw - Adaptations'!A:Q,15,FALSE))),100)),IF($K$5="Scotland",SUM(MROUND(SUM(SUM(VLOOKUP(C$19,'Raw - Adaptations'!A:Q,16,FALSE)*VLOOKUP(C11,'Raw - Adaptations'!A:Q,15,FALSE))),100)-MROUND(SUM(SUM(VLOOKUP(C11,'Raw - Adaptations'!A:Q,16,FALSE)*VLOOKUP(C11,'Raw - Adaptations'!A:Q,15,FALSE))),100)),IF($K$5="United Kingdom",SUM(MROUND(SUM(SUM(VLOOKUP(C$20,'Raw - Adaptations'!A:Q,16,FALSE)*VLOOKUP(C11,'Raw - Adaptations'!A:Q,15,FALSE))),100)-MROUND(SUM(SUM(VLOOKUP(C11,'Raw - Adaptations'!A:Q,16,FALSE)*VLOOKUP(C11,'Raw - Adaptations'!A:Q,15,FALSE))),100)),SUM(MROUND(SUM(SUM(VLOOKUP(C$16,'Raw - Adaptations'!A:Q,16,FALSE)*VLOOKUP(C11,'Raw - Adaptations'!A:Q,15,FALSE))),100)-MROUND(SUM(SUM(VLOOKUP(C11,'Raw - Adaptations'!A:Q,16,FALSE)*VLOOKUP(C11,'Raw - Adaptations'!A:Q,15,FALSE))),100)))))))</f>
        <v>400</v>
      </c>
    </row>
    <row r="12" spans="2:12" ht="19.5" customHeight="1">
      <c r="B12" s="296" t="s">
        <v>249</v>
      </c>
      <c r="C12" s="296" t="s">
        <v>37</v>
      </c>
      <c r="D12" s="328">
        <f>VLOOKUP($C12,'Raw - Adaptations'!$A:$Q,4,FALSE)</f>
        <v>0.13517000000000001</v>
      </c>
      <c r="E12" s="328">
        <f>VLOOKUP($C12,'Raw - Adaptations'!$A:$Q,8,FALSE)</f>
        <v>0.15754000000000001</v>
      </c>
      <c r="F12" s="328">
        <f>VLOOKUP($C12,'Raw - Adaptations'!$A:$Q,12,FALSE)</f>
        <v>0.15523000000000001</v>
      </c>
      <c r="G12" s="328">
        <f>VLOOKUP($C12,'Raw - Adaptations'!$A:$Q,16,FALSE)</f>
        <v>0.15057000000000001</v>
      </c>
      <c r="H12" s="318">
        <f>VLOOKUP(C12,'Raw - Adaptations'!A:Q,14,FALSE)</f>
        <v>13051.859310000002</v>
      </c>
      <c r="I12" s="320">
        <f t="shared" si="1"/>
        <v>1.5399999999999997E-2</v>
      </c>
      <c r="J12" s="300">
        <f>ROUND(SUM(VLOOKUP(C12,'Raw - Adaptations'!A:Q,14,FALSE)-VLOOKUP(C12,'Raw - Adaptations'!A:Q,2,FALSE)),-2)</f>
        <v>1700</v>
      </c>
      <c r="K12" s="322">
        <f t="shared" si="0"/>
        <v>0.18335000000000004</v>
      </c>
      <c r="L12" s="302">
        <f>IF(K12="","",IF($K$5="LGBF FAMILY GROUP",SUM(MROUND(SUM(SUM(VLOOKUP(C$17,'Raw - Adaptations'!A:Q,16,FALSE)*VLOOKUP(C12,'Raw - Adaptations'!A:Q,15,FALSE))),100)-MROUND(SUM(SUM(VLOOKUP(C12,'Raw - Adaptations'!A:Q,16,FALSE)*VLOOKUP(C12,'Raw - Adaptations'!A:Q,15,FALSE))),100)),IF($K$5="Glasgow City Region",SUM(MROUND(SUM(SUM(VLOOKUP(C$18,'Raw - Adaptations'!A:Q,16,FALSE)*VLOOKUP(C12,'Raw - Adaptations'!A:Q,15,FALSE))),100)-MROUND(SUM(SUM(VLOOKUP(C12,'Raw - Adaptations'!A:Q,16,FALSE)*VLOOKUP(C12,'Raw - Adaptations'!A:Q,15,FALSE))),100)),IF($K$5="Scotland",SUM(MROUND(SUM(SUM(VLOOKUP(C$19,'Raw - Adaptations'!A:Q,16,FALSE)*VLOOKUP(C12,'Raw - Adaptations'!A:Q,15,FALSE))),100)-MROUND(SUM(SUM(VLOOKUP(C12,'Raw - Adaptations'!A:Q,16,FALSE)*VLOOKUP(C12,'Raw - Adaptations'!A:Q,15,FALSE))),100)),IF($K$5="United Kingdom",SUM(MROUND(SUM(SUM(VLOOKUP(C$20,'Raw - Adaptations'!A:Q,16,FALSE)*VLOOKUP(C12,'Raw - Adaptations'!A:Q,15,FALSE))),100)-MROUND(SUM(SUM(VLOOKUP(C12,'Raw - Adaptations'!A:Q,16,FALSE)*VLOOKUP(C12,'Raw - Adaptations'!A:Q,15,FALSE))),100)),SUM(MROUND(SUM(SUM(VLOOKUP(C$16,'Raw - Adaptations'!A:Q,16,FALSE)*VLOOKUP(C12,'Raw - Adaptations'!A:Q,15,FALSE))),100)-MROUND(SUM(SUM(VLOOKUP(C12,'Raw - Adaptations'!A:Q,16,FALSE)*VLOOKUP(C12,'Raw - Adaptations'!A:Q,15,FALSE))),100)))))))</f>
        <v>15800</v>
      </c>
    </row>
    <row r="13" spans="2:12" ht="19.5" customHeight="1">
      <c r="B13" s="296" t="s">
        <v>249</v>
      </c>
      <c r="C13" s="296" t="s">
        <v>41</v>
      </c>
      <c r="D13" s="328">
        <f>VLOOKUP($C13,'Raw - Adaptations'!$A:$Q,4,FALSE)</f>
        <v>0.15392</v>
      </c>
      <c r="E13" s="328">
        <f>VLOOKUP($C13,'Raw - Adaptations'!$A:$Q,8,FALSE)</f>
        <v>0.17685000000000001</v>
      </c>
      <c r="F13" s="328">
        <f>VLOOKUP($C13,'Raw - Adaptations'!$A:$Q,12,FALSE)</f>
        <v>0.20499000000000001</v>
      </c>
      <c r="G13" s="328">
        <f>VLOOKUP($C13,'Raw - Adaptations'!$A:$Q,16,FALSE)</f>
        <v>0.23742000000000002</v>
      </c>
      <c r="H13" s="318">
        <f>VLOOKUP(C13,'Raw - Adaptations'!A:Q,14,FALSE)</f>
        <v>35003.780280000006</v>
      </c>
      <c r="I13" s="320">
        <f t="shared" si="1"/>
        <v>8.3500000000000019E-2</v>
      </c>
      <c r="J13" s="300">
        <f>ROUND(SUM(VLOOKUP(C13,'Raw - Adaptations'!A:Q,14,FALSE)-VLOOKUP(C13,'Raw - Adaptations'!A:Q,2,FALSE)),-2)</f>
        <v>12800</v>
      </c>
      <c r="K13" s="322">
        <f t="shared" si="0"/>
        <v>9.650000000000003E-2</v>
      </c>
      <c r="L13" s="302">
        <f>IF(K13="","",IF($K$5="LGBF FAMILY GROUP",SUM(MROUND(SUM(SUM(VLOOKUP(C$17,'Raw - Adaptations'!A:Q,16,FALSE)*VLOOKUP(C13,'Raw - Adaptations'!A:Q,15,FALSE))),100)-MROUND(SUM(SUM(VLOOKUP(C13,'Raw - Adaptations'!A:Q,16,FALSE)*VLOOKUP(C13,'Raw - Adaptations'!A:Q,15,FALSE))),100)),IF($K$5="Glasgow City Region",SUM(MROUND(SUM(SUM(VLOOKUP(C$18,'Raw - Adaptations'!A:Q,16,FALSE)*VLOOKUP(C13,'Raw - Adaptations'!A:Q,15,FALSE))),100)-MROUND(SUM(SUM(VLOOKUP(C13,'Raw - Adaptations'!A:Q,16,FALSE)*VLOOKUP(C13,'Raw - Adaptations'!A:Q,15,FALSE))),100)),IF($K$5="Scotland",SUM(MROUND(SUM(SUM(VLOOKUP(C$19,'Raw - Adaptations'!A:Q,16,FALSE)*VLOOKUP(C13,'Raw - Adaptations'!A:Q,15,FALSE))),100)-MROUND(SUM(SUM(VLOOKUP(C13,'Raw - Adaptations'!A:Q,16,FALSE)*VLOOKUP(C13,'Raw - Adaptations'!A:Q,15,FALSE))),100)),IF($K$5="United Kingdom",SUM(MROUND(SUM(SUM(VLOOKUP(C$20,'Raw - Adaptations'!A:Q,16,FALSE)*VLOOKUP(C13,'Raw - Adaptations'!A:Q,15,FALSE))),100)-MROUND(SUM(SUM(VLOOKUP(C13,'Raw - Adaptations'!A:Q,16,FALSE)*VLOOKUP(C13,'Raw - Adaptations'!A:Q,15,FALSE))),100)),SUM(MROUND(SUM(SUM(VLOOKUP(C$16,'Raw - Adaptations'!A:Q,16,FALSE)*VLOOKUP(C13,'Raw - Adaptations'!A:Q,15,FALSE))),100)-MROUND(SUM(SUM(VLOOKUP(C13,'Raw - Adaptations'!A:Q,16,FALSE)*VLOOKUP(C13,'Raw - Adaptations'!A:Q,15,FALSE))),100)))))))</f>
        <v>14200</v>
      </c>
    </row>
    <row r="14" spans="2:12" ht="19.5" customHeight="1">
      <c r="B14" s="296" t="s">
        <v>249</v>
      </c>
      <c r="C14" s="296" t="s">
        <v>43</v>
      </c>
      <c r="D14" s="328">
        <f>VLOOKUP($C14,'Raw - Adaptations'!$A:$Q,4,FALSE)</f>
        <v>9.5620000000000011E-2</v>
      </c>
      <c r="E14" s="328">
        <f>VLOOKUP($C14,'Raw - Adaptations'!$A:$Q,8,FALSE)</f>
        <v>0.10655000000000001</v>
      </c>
      <c r="F14" s="328">
        <f>VLOOKUP($C14,'Raw - Adaptations'!$A:$Q,12,FALSE)</f>
        <v>7.955000000000001E-2</v>
      </c>
      <c r="G14" s="328">
        <f>VLOOKUP($C14,'Raw - Adaptations'!$A:$Q,16,FALSE)</f>
        <v>0.12798000000000001</v>
      </c>
      <c r="H14" s="318">
        <f>VLOOKUP(C14,'Raw - Adaptations'!A:Q,14,FALSE)</f>
        <v>5506.9794000000002</v>
      </c>
      <c r="I14" s="320">
        <f t="shared" si="1"/>
        <v>3.236E-2</v>
      </c>
      <c r="J14" s="300">
        <f>ROUND(SUM(VLOOKUP(C14,'Raw - Adaptations'!A:Q,14,FALSE)-VLOOKUP(C14,'Raw - Adaptations'!A:Q,2,FALSE)),-2)</f>
        <v>1400</v>
      </c>
      <c r="K14" s="322">
        <f t="shared" si="0"/>
        <v>0.20594000000000004</v>
      </c>
      <c r="L14" s="302">
        <f>IF(K14="","",IF($K$5="LGBF FAMILY GROUP",SUM(MROUND(SUM(SUM(VLOOKUP(C$17,'Raw - Adaptations'!A:Q,16,FALSE)*VLOOKUP(C14,'Raw - Adaptations'!A:Q,15,FALSE))),100)-MROUND(SUM(SUM(VLOOKUP(C14,'Raw - Adaptations'!A:Q,16,FALSE)*VLOOKUP(C14,'Raw - Adaptations'!A:Q,15,FALSE))),100)),IF($K$5="Glasgow City Region",SUM(MROUND(SUM(SUM(VLOOKUP(C$18,'Raw - Adaptations'!A:Q,16,FALSE)*VLOOKUP(C14,'Raw - Adaptations'!A:Q,15,FALSE))),100)-MROUND(SUM(SUM(VLOOKUP(C14,'Raw - Adaptations'!A:Q,16,FALSE)*VLOOKUP(C14,'Raw - Adaptations'!A:Q,15,FALSE))),100)),IF($K$5="Scotland",SUM(MROUND(SUM(SUM(VLOOKUP(C$19,'Raw - Adaptations'!A:Q,16,FALSE)*VLOOKUP(C14,'Raw - Adaptations'!A:Q,15,FALSE))),100)-MROUND(SUM(SUM(VLOOKUP(C14,'Raw - Adaptations'!A:Q,16,FALSE)*VLOOKUP(C14,'Raw - Adaptations'!A:Q,15,FALSE))),100)),IF($K$5="United Kingdom",SUM(MROUND(SUM(SUM(VLOOKUP(C$20,'Raw - Adaptations'!A:Q,16,FALSE)*VLOOKUP(C14,'Raw - Adaptations'!A:Q,15,FALSE))),100)-MROUND(SUM(SUM(VLOOKUP(C14,'Raw - Adaptations'!A:Q,16,FALSE)*VLOOKUP(C14,'Raw - Adaptations'!A:Q,15,FALSE))),100)),SUM(MROUND(SUM(SUM(VLOOKUP(C$16,'Raw - Adaptations'!A:Q,16,FALSE)*VLOOKUP(C14,'Raw - Adaptations'!A:Q,15,FALSE))),100)-MROUND(SUM(SUM(VLOOKUP(C14,'Raw - Adaptations'!A:Q,16,FALSE)*VLOOKUP(C14,'Raw - Adaptations'!A:Q,15,FALSE))),100)))))))</f>
        <v>8900</v>
      </c>
    </row>
    <row r="15" spans="2:12" ht="19.5" customHeight="1">
      <c r="B15" s="303"/>
      <c r="C15" s="303"/>
      <c r="D15" s="306"/>
      <c r="E15" s="306"/>
      <c r="F15" s="306"/>
      <c r="G15" s="306"/>
      <c r="H15" s="304"/>
      <c r="I15" s="306"/>
      <c r="J15" s="306"/>
      <c r="K15" s="306"/>
      <c r="L15" s="306"/>
    </row>
    <row r="16" spans="2:12" ht="19.5" customHeight="1">
      <c r="B16" s="307" t="s">
        <v>51</v>
      </c>
      <c r="C16" s="296" t="str">
        <f>INDEX('Raw - Adaptations'!$A$9:$A$40,MATCH(MAX('Raw - Adaptations'!P9:P40),'Raw - Adaptations'!P9:P40,0))</f>
        <v>Dundee City</v>
      </c>
      <c r="D16" s="328">
        <f>VLOOKUP($C16,'Raw - Adaptations'!$A:$Q,4,FALSE)</f>
        <v>0.30962000000000001</v>
      </c>
      <c r="E16" s="328">
        <f>VLOOKUP($C16,'Raw - Adaptations'!$A:$Q,8,FALSE)</f>
        <v>0.31585000000000002</v>
      </c>
      <c r="F16" s="328">
        <f>VLOOKUP($C16,'Raw - Adaptations'!$A:$Q,12,FALSE)</f>
        <v>0.32808000000000004</v>
      </c>
      <c r="G16" s="328">
        <f>MAX('Raw - Adaptations'!P9:P40)</f>
        <v>0.33392000000000005</v>
      </c>
      <c r="H16" s="318">
        <f>VLOOKUP(C16,'Raw - Adaptations'!A:Q,14,FALSE)</f>
        <v>23603.135200000004</v>
      </c>
      <c r="I16" s="320">
        <f t="shared" si="1"/>
        <v>2.4300000000000044E-2</v>
      </c>
      <c r="J16" s="300">
        <f>SUM(VLOOKUP(C16,'Raw - Adaptations'!A:Q,14,FALSE)-VLOOKUP(C16,'Raw - Adaptations'!A:Q,2,FALSE))</f>
        <v>2042.7465000000047</v>
      </c>
    </row>
    <row r="17" spans="2:12" ht="19.5" customHeight="1">
      <c r="B17" s="307" t="s">
        <v>540</v>
      </c>
      <c r="C17" s="308" t="s">
        <v>544</v>
      </c>
      <c r="D17" s="328">
        <f>VLOOKUP($C17,'Raw - Adaptations'!$A:$Q,4,FALSE)</f>
        <v>0.20717764082927762</v>
      </c>
      <c r="E17" s="328">
        <f>VLOOKUP($C17,'Raw - Adaptations'!$A:$Q,8,FALSE)</f>
        <v>0.20825386085238431</v>
      </c>
      <c r="F17" s="328">
        <f>VLOOKUP($C17,'Raw - Adaptations'!$A:$Q,12,FALSE)</f>
        <v>0.20218760784221654</v>
      </c>
      <c r="G17" s="328">
        <f>VLOOKUP($C17,'Raw - Adaptations'!$A:$Q,16,FALSE)</f>
        <v>0.19304812584288508</v>
      </c>
      <c r="H17" s="318">
        <f>VLOOKUP(C17,'Raw - Adaptations'!A:Q,14,FALSE)</f>
        <v>82881.158820000011</v>
      </c>
      <c r="I17" s="320">
        <f>SUM(G17-D17)</f>
        <v>-1.4129514986392533E-2</v>
      </c>
      <c r="J17" s="300">
        <f>SUM(VLOOKUP(C17,'Raw - Adaptations'!A:Q,14,FALSE)-VLOOKUP(C17,'Raw - Adaptations'!A:Q,2,FALSE))</f>
        <v>-3959.4211099999957</v>
      </c>
    </row>
    <row r="18" spans="2:12" ht="19.5" customHeight="1">
      <c r="B18" s="307" t="s">
        <v>250</v>
      </c>
      <c r="C18" s="296" t="s">
        <v>47</v>
      </c>
      <c r="D18" s="328">
        <f>VLOOKUP($C18,'Raw - Adaptations'!$A:$Q,4,FALSE)</f>
        <v>0.17079002890815856</v>
      </c>
      <c r="E18" s="328">
        <f>VLOOKUP($C18,'Raw - Adaptations'!$A:$Q,8,FALSE)</f>
        <v>0.19937343409365454</v>
      </c>
      <c r="F18" s="328">
        <f>VLOOKUP($C18,'Raw - Adaptations'!$A:$Q,12,FALSE)</f>
        <v>0.21285141989165896</v>
      </c>
      <c r="G18" s="328">
        <f>VLOOKUP($C18,'Raw - Adaptations'!$A:$Q,16,FALSE)</f>
        <v>0.23273134083217742</v>
      </c>
      <c r="H18" s="318">
        <f>VLOOKUP(C18,'Raw - Adaptations'!A:Q,14,FALSE)</f>
        <v>195045.63603000002</v>
      </c>
      <c r="I18" s="320">
        <f t="shared" si="1"/>
        <v>6.194131192401886E-2</v>
      </c>
      <c r="J18" s="300">
        <f>SUM(VLOOKUP(C18,'Raw - Adaptations'!A:Q,14,FALSE)-VLOOKUP(C18,'Raw - Adaptations'!A:Q,2,FALSE))</f>
        <v>55864.47186000002</v>
      </c>
    </row>
    <row r="19" spans="2:12" ht="19.5" customHeight="1">
      <c r="B19" s="307" t="s">
        <v>251</v>
      </c>
      <c r="C19" s="296" t="s">
        <v>45</v>
      </c>
      <c r="D19" s="328">
        <f>VLOOKUP($C19,'Raw - Adaptations'!$A:$Q,4,FALSE)</f>
        <v>0.19008000000000003</v>
      </c>
      <c r="E19" s="328">
        <f>VLOOKUP($C19,'Raw - Adaptations'!$A:$Q,8,FALSE)</f>
        <v>0.20535</v>
      </c>
      <c r="F19" s="328">
        <f>VLOOKUP($C19,'Raw - Adaptations'!$A:$Q,12,FALSE)</f>
        <v>0.20639000000000002</v>
      </c>
      <c r="G19" s="328">
        <f>VLOOKUP($C19,'Raw - Adaptations'!$A:$Q,16,FALSE)</f>
        <v>0.21</v>
      </c>
      <c r="H19" s="318">
        <f>VLOOKUP(C19,'Raw - Adaptations'!A:Q,14,FALSE)</f>
        <v>524080.82999999996</v>
      </c>
      <c r="I19" s="320">
        <f t="shared" si="1"/>
        <v>1.9919999999999966E-2</v>
      </c>
      <c r="J19" s="300">
        <f>SUM(VLOOKUP(C19,'Raw - Adaptations'!A:Q,14,FALSE)-VLOOKUP(C19,'Raw - Adaptations'!A:Q,2,FALSE))</f>
        <v>59112.646319999883</v>
      </c>
    </row>
    <row r="20" spans="2:12" ht="19.5" customHeight="1">
      <c r="B20" s="307" t="s">
        <v>251</v>
      </c>
      <c r="C20" s="296" t="s">
        <v>46</v>
      </c>
      <c r="D20" s="328" t="s">
        <v>69</v>
      </c>
      <c r="E20" s="328" t="s">
        <v>69</v>
      </c>
      <c r="F20" s="328" t="s">
        <v>69</v>
      </c>
      <c r="G20" s="328" t="s">
        <v>69</v>
      </c>
      <c r="H20" s="318" t="s">
        <v>69</v>
      </c>
      <c r="I20" s="320"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autoFilter ref="C6:L14" xr:uid="{00000000-0009-0000-0000-000021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2100-000000000000}">
      <formula1>IF(B17="LGBF Family Group 1",LGBF_1,IF(B17="LGBF Family Group 3",LGBF_3,IF(B17="LGBF Family Group 4",LGBF_4,LGBF_2)))</formula1>
    </dataValidation>
  </dataValidations>
  <hyperlinks>
    <hyperlink ref="F2:G2" location="'Index RAG'!A1" display="Return to Index RAG" xr:uid="{00000000-0004-0000-2100-000001000000}"/>
    <hyperlink ref="C3" r:id="rId1" xr:uid="{4475D4DD-489F-4800-AD7A-FC0CA95E13DA}"/>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Lookups!$L$8:$O$8</xm:f>
          </x14:formula1>
          <xm:sqref>B17</xm:sqref>
        </x14:dataValidation>
        <x14:dataValidation type="list" allowBlank="1" showInputMessage="1" showErrorMessage="1" xr:uid="{32D0EB38-D521-47CE-A20C-E8775ACE51F1}">
          <x14:formula1>
            <xm:f>Lookups!$B$9:$B$12</xm:f>
          </x14:formula1>
          <xm:sqref>K5:L5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274</v>
      </c>
      <c r="F2" s="595" t="s">
        <v>507</v>
      </c>
      <c r="G2" s="596"/>
    </row>
    <row r="3" spans="2:12" ht="13">
      <c r="B3" s="286" t="s">
        <v>49</v>
      </c>
      <c r="C3" s="288" t="s">
        <v>273</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t="s">
        <v>265</v>
      </c>
      <c r="E6" s="294" t="s">
        <v>266</v>
      </c>
      <c r="F6" s="294" t="s">
        <v>267</v>
      </c>
      <c r="G6" s="294" t="s">
        <v>582</v>
      </c>
      <c r="H6" s="294" t="s">
        <v>583</v>
      </c>
      <c r="I6" s="295" t="s">
        <v>53</v>
      </c>
      <c r="J6" s="295" t="s">
        <v>54</v>
      </c>
      <c r="K6" s="295" t="s">
        <v>56</v>
      </c>
      <c r="L6" s="295" t="s">
        <v>57</v>
      </c>
    </row>
    <row r="7" spans="2:12" ht="19.5" customHeight="1">
      <c r="B7" s="296" t="s">
        <v>249</v>
      </c>
      <c r="C7" s="296" t="s">
        <v>22</v>
      </c>
      <c r="D7" s="328">
        <f>VLOOKUP($C7,'Raw - SHQS'!$A:$Q,4,FALSE)</f>
        <v>0.50235000000000007</v>
      </c>
      <c r="E7" s="328">
        <f>VLOOKUP($C7,'Raw - SHQS'!$A:$Q,8,FALSE)</f>
        <v>0.45433000000000001</v>
      </c>
      <c r="F7" s="328">
        <f>VLOOKUP($C7,'Raw - SHQS'!$A:$Q,12,FALSE)</f>
        <v>0.46231000000000005</v>
      </c>
      <c r="G7" s="328">
        <f>VLOOKUP($C7,'Raw - SHQS'!$A:$Q,16,FALSE)</f>
        <v>0.48164000000000001</v>
      </c>
      <c r="H7" s="318">
        <f>VLOOKUP(C7,'Raw - SHQS'!A:Q,14,FALSE)</f>
        <v>22265.253919999999</v>
      </c>
      <c r="I7" s="320">
        <f>SUM(G7-D7)</f>
        <v>-2.0710000000000062E-2</v>
      </c>
      <c r="J7" s="300">
        <f>ROUND(SUM(VLOOKUP(C7,'Raw - SHQS'!A:Q,14,FALSE)-VLOOKUP(C7,'Raw - SHQS'!A:Q,2,FALSE)),-2)</f>
        <v>-500</v>
      </c>
      <c r="K7" s="322">
        <f t="shared" ref="K7:K14" si="0">IF(IF($K$5="LGBF FAMILY GROUP",SUM(G$17-G7),IF($K$5="Glasgow City Region",SUM(G$18-G7),IF($K$5="Scotland",SUM(G$19-G7),IF($K$5="United Kingdom",SUM(G$20-G7),SUM(G$16-G7)))))&gt;0,"",IF($K$5="LGBF FAMILY GROUP",SUM(G$17-G7),IF($K$5="Glasgow City Region",SUM(G$18-G7),IF($K$5="Scotland",SUM(G$19-G7),IF($K$5="United Kingdom",SUM(G$20-G7),SUM(G$16-G7))))))</f>
        <v>-0.23782999999999999</v>
      </c>
      <c r="L7" s="302">
        <f>IF(K7="","",IF($K$5="LGBF FAMILY GROUP",SUM(MROUND(SUM(SUM(VLOOKUP(C$17,'Raw - SHQS'!A:Q,16,FALSE)*VLOOKUP(C7,'Raw - SHQS'!A:Q,15,FALSE))),100)-MROUND(SUM(SUM(VLOOKUP(C7,'Raw - SHQS'!A:Q,16,FALSE)*VLOOKUP(C7,'Raw - SHQS'!A:Q,15,FALSE))),100)),IF($K$5="Glasgow City Region",SUM(MROUND(SUM(SUM(VLOOKUP(C$18,'Raw - SHQS'!A:Q,16,FALSE)*VLOOKUP(C7,'Raw - SHQS'!A:Q,15,FALSE))),100)-MROUND(SUM(SUM(VLOOKUP(C7,'Raw - SHQS'!A:Q,16,FALSE)*VLOOKUP(C7,'Raw - SHQS'!A:Q,15,FALSE))),100)),IF($K$5="Scotland",SUM(MROUND(SUM(SUM(VLOOKUP(C$19,'Raw - SHQS'!A:Q,16,FALSE)*VLOOKUP(C7,'Raw - SHQS'!A:Q,15,FALSE))),100)-MROUND(SUM(SUM(VLOOKUP(C7,'Raw - SHQS'!A:Q,16,FALSE)*VLOOKUP(C7,'Raw - SHQS'!A:Q,15,FALSE))),100)),IF($K$5="United Kingdom",SUM(MROUND(SUM(SUM(VLOOKUP(C$20,'Raw - SHQS'!A:Q,16,FALSE)*VLOOKUP(C7,'Raw - SHQS'!A:Q,15,FALSE))),100)-MROUND(SUM(SUM(VLOOKUP(C7,'Raw - SHQS'!A:Q,16,FALSE)*VLOOKUP(C7,'Raw - SHQS'!A:Q,15,FALSE))),100)),SUM(MROUND(SUM(SUM(VLOOKUP(C$16,'Raw - SHQS'!A:Q,16,FALSE)*VLOOKUP(C7,'Raw - SHQS'!A:Q,15,FALSE))),100)-MROUND(SUM(SUM(VLOOKUP(C7,'Raw - SHQS'!A:Q,16,FALSE)*VLOOKUP(C7,'Raw - SHQS'!A:Q,15,FALSE))),100)))))))</f>
        <v>-11000</v>
      </c>
    </row>
    <row r="8" spans="2:12" ht="19.5" customHeight="1">
      <c r="B8" s="296" t="s">
        <v>249</v>
      </c>
      <c r="C8" s="296" t="s">
        <v>24</v>
      </c>
      <c r="D8" s="328">
        <f>VLOOKUP($C8,'Raw - SHQS'!$A:$Q,4,FALSE)</f>
        <v>0.45006000000000002</v>
      </c>
      <c r="E8" s="328">
        <f>VLOOKUP($C8,'Raw - SHQS'!$A:$Q,8,FALSE)</f>
        <v>0.44418000000000002</v>
      </c>
      <c r="F8" s="328">
        <f>VLOOKUP($C8,'Raw - SHQS'!$A:$Q,12,FALSE)</f>
        <v>0.44689000000000001</v>
      </c>
      <c r="G8" s="328">
        <f>VLOOKUP($C8,'Raw - SHQS'!$A:$Q,16,FALSE)</f>
        <v>0.46623000000000003</v>
      </c>
      <c r="H8" s="318">
        <f>VLOOKUP(C8,'Raw - SHQS'!A:Q,14,FALSE)</f>
        <v>18343.819350000002</v>
      </c>
      <c r="I8" s="320">
        <f t="shared" ref="I8:I19" si="1">SUM(G8-D8)</f>
        <v>1.6170000000000018E-2</v>
      </c>
      <c r="J8" s="300">
        <f>ROUND(SUM(VLOOKUP(C8,'Raw - SHQS'!A:Q,14,FALSE)-VLOOKUP(C8,'Raw - SHQS'!A:Q,2,FALSE)),-2)</f>
        <v>1000</v>
      </c>
      <c r="K8" s="322">
        <f t="shared" si="0"/>
        <v>-0.22242000000000001</v>
      </c>
      <c r="L8" s="302">
        <f>IF(K8="","",IF($K$5="LGBF FAMILY GROUP",SUM(MROUND(SUM(SUM(VLOOKUP(C$17,'Raw - SHQS'!A:Q,16,FALSE)*VLOOKUP(C8,'Raw - SHQS'!A:Q,15,FALSE))),100)-MROUND(SUM(SUM(VLOOKUP(C8,'Raw - SHQS'!A:Q,16,FALSE)*VLOOKUP(C8,'Raw - SHQS'!A:Q,15,FALSE))),100)),IF($K$5="Glasgow City Region",SUM(MROUND(SUM(SUM(VLOOKUP(C$18,'Raw - SHQS'!A:Q,16,FALSE)*VLOOKUP(C8,'Raw - SHQS'!A:Q,15,FALSE))),100)-MROUND(SUM(SUM(VLOOKUP(C8,'Raw - SHQS'!A:Q,16,FALSE)*VLOOKUP(C8,'Raw - SHQS'!A:Q,15,FALSE))),100)),IF($K$5="Scotland",SUM(MROUND(SUM(SUM(VLOOKUP(C$19,'Raw - SHQS'!A:Q,16,FALSE)*VLOOKUP(C8,'Raw - SHQS'!A:Q,15,FALSE))),100)-MROUND(SUM(SUM(VLOOKUP(C8,'Raw - SHQS'!A:Q,16,FALSE)*VLOOKUP(C8,'Raw - SHQS'!A:Q,15,FALSE))),100)),IF($K$5="United Kingdom",SUM(MROUND(SUM(SUM(VLOOKUP(C$20,'Raw - SHQS'!A:Q,16,FALSE)*VLOOKUP(C8,'Raw - SHQS'!A:Q,15,FALSE))),100)-MROUND(SUM(SUM(VLOOKUP(C8,'Raw - SHQS'!A:Q,16,FALSE)*VLOOKUP(C8,'Raw - SHQS'!A:Q,15,FALSE))),100)),SUM(MROUND(SUM(SUM(VLOOKUP(C$16,'Raw - SHQS'!A:Q,16,FALSE)*VLOOKUP(C8,'Raw - SHQS'!A:Q,15,FALSE))),100)-MROUND(SUM(SUM(VLOOKUP(C8,'Raw - SHQS'!A:Q,16,FALSE)*VLOOKUP(C8,'Raw - SHQS'!A:Q,15,FALSE))),100)))))))</f>
        <v>-8700</v>
      </c>
    </row>
    <row r="9" spans="2:12" ht="19.5" customHeight="1">
      <c r="B9" s="296" t="s">
        <v>249</v>
      </c>
      <c r="C9" s="296" t="s">
        <v>27</v>
      </c>
      <c r="D9" s="328">
        <f>VLOOKUP($C9,'Raw - SHQS'!$A:$Q,4,FALSE)</f>
        <v>0.42005000000000003</v>
      </c>
      <c r="E9" s="328">
        <f>VLOOKUP($C9,'Raw - SHQS'!$A:$Q,8,FALSE)</f>
        <v>0.38973000000000002</v>
      </c>
      <c r="F9" s="328">
        <f>VLOOKUP($C9,'Raw - SHQS'!$A:$Q,12,FALSE)</f>
        <v>0.37480000000000002</v>
      </c>
      <c r="G9" s="328">
        <f>VLOOKUP($C9,'Raw - SHQS'!$A:$Q,16,FALSE)</f>
        <v>0.35469000000000001</v>
      </c>
      <c r="H9" s="318">
        <f>VLOOKUP(C9,'Raw - SHQS'!A:Q,14,FALSE)</f>
        <v>104499.47718</v>
      </c>
      <c r="I9" s="320">
        <f t="shared" si="1"/>
        <v>-6.5360000000000029E-2</v>
      </c>
      <c r="J9" s="300">
        <f>ROUND(SUM(VLOOKUP(C9,'Raw - SHQS'!A:Q,14,FALSE)-VLOOKUP(C9,'Raw - SHQS'!A:Q,2,FALSE)),-2)</f>
        <v>-17100</v>
      </c>
      <c r="K9" s="322">
        <f t="shared" si="0"/>
        <v>-0.11087999999999998</v>
      </c>
      <c r="L9" s="302">
        <f>IF(K9="","",IF($K$5="LGBF FAMILY GROUP",SUM(MROUND(SUM(SUM(VLOOKUP(C$17,'Raw - SHQS'!A:Q,16,FALSE)*VLOOKUP(C9,'Raw - SHQS'!A:Q,15,FALSE))),100)-MROUND(SUM(SUM(VLOOKUP(C9,'Raw - SHQS'!A:Q,16,FALSE)*VLOOKUP(C9,'Raw - SHQS'!A:Q,15,FALSE))),100)),IF($K$5="Glasgow City Region",SUM(MROUND(SUM(SUM(VLOOKUP(C$18,'Raw - SHQS'!A:Q,16,FALSE)*VLOOKUP(C9,'Raw - SHQS'!A:Q,15,FALSE))),100)-MROUND(SUM(SUM(VLOOKUP(C9,'Raw - SHQS'!A:Q,16,FALSE)*VLOOKUP(C9,'Raw - SHQS'!A:Q,15,FALSE))),100)),IF($K$5="Scotland",SUM(MROUND(SUM(SUM(VLOOKUP(C$19,'Raw - SHQS'!A:Q,16,FALSE)*VLOOKUP(C9,'Raw - SHQS'!A:Q,15,FALSE))),100)-MROUND(SUM(SUM(VLOOKUP(C9,'Raw - SHQS'!A:Q,16,FALSE)*VLOOKUP(C9,'Raw - SHQS'!A:Q,15,FALSE))),100)),IF($K$5="United Kingdom",SUM(MROUND(SUM(SUM(VLOOKUP(C$20,'Raw - SHQS'!A:Q,16,FALSE)*VLOOKUP(C9,'Raw - SHQS'!A:Q,15,FALSE))),100)-MROUND(SUM(SUM(VLOOKUP(C9,'Raw - SHQS'!A:Q,16,FALSE)*VLOOKUP(C9,'Raw - SHQS'!A:Q,15,FALSE))),100)),SUM(MROUND(SUM(SUM(VLOOKUP(C$16,'Raw - SHQS'!A:Q,16,FALSE)*VLOOKUP(C9,'Raw - SHQS'!A:Q,15,FALSE))),100)-MROUND(SUM(SUM(VLOOKUP(C9,'Raw - SHQS'!A:Q,16,FALSE)*VLOOKUP(C9,'Raw - SHQS'!A:Q,15,FALSE))),100)))))))</f>
        <v>-32700</v>
      </c>
    </row>
    <row r="10" spans="2:12" ht="19.5" customHeight="1">
      <c r="B10" s="296" t="s">
        <v>249</v>
      </c>
      <c r="C10" s="296" t="s">
        <v>29</v>
      </c>
      <c r="D10" s="328">
        <f>VLOOKUP($C10,'Raw - SHQS'!$A:$Q,4,FALSE)</f>
        <v>0.48360000000000003</v>
      </c>
      <c r="E10" s="328">
        <f>VLOOKUP($C10,'Raw - SHQS'!$A:$Q,8,FALSE)</f>
        <v>0.42529000000000006</v>
      </c>
      <c r="F10" s="328">
        <f>VLOOKUP($C10,'Raw - SHQS'!$A:$Q,12,FALSE)</f>
        <v>0.38518000000000002</v>
      </c>
      <c r="G10" s="328">
        <f>VLOOKUP($C10,'Raw - SHQS'!$A:$Q,16,FALSE)</f>
        <v>0.45604000000000006</v>
      </c>
      <c r="H10" s="318">
        <f>VLOOKUP(C10,'Raw - SHQS'!A:Q,14,FALSE)</f>
        <v>17153.488560000002</v>
      </c>
      <c r="I10" s="320">
        <f t="shared" si="1"/>
        <v>-2.7559999999999973E-2</v>
      </c>
      <c r="J10" s="300">
        <f>ROUND(SUM(VLOOKUP(C10,'Raw - SHQS'!A:Q,14,FALSE)-VLOOKUP(C10,'Raw - SHQS'!A:Q,2,FALSE)),-2)</f>
        <v>-1000</v>
      </c>
      <c r="K10" s="322">
        <f t="shared" si="0"/>
        <v>-0.21223000000000003</v>
      </c>
      <c r="L10" s="302">
        <f>IF(K10="","",IF($K$5="LGBF FAMILY GROUP",SUM(MROUND(SUM(SUM(VLOOKUP(C$17,'Raw - SHQS'!A:Q,16,FALSE)*VLOOKUP(C10,'Raw - SHQS'!A:Q,15,FALSE))),100)-MROUND(SUM(SUM(VLOOKUP(C10,'Raw - SHQS'!A:Q,16,FALSE)*VLOOKUP(C10,'Raw - SHQS'!A:Q,15,FALSE))),100)),IF($K$5="Glasgow City Region",SUM(MROUND(SUM(SUM(VLOOKUP(C$18,'Raw - SHQS'!A:Q,16,FALSE)*VLOOKUP(C10,'Raw - SHQS'!A:Q,15,FALSE))),100)-MROUND(SUM(SUM(VLOOKUP(C10,'Raw - SHQS'!A:Q,16,FALSE)*VLOOKUP(C10,'Raw - SHQS'!A:Q,15,FALSE))),100)),IF($K$5="Scotland",SUM(MROUND(SUM(SUM(VLOOKUP(C$19,'Raw - SHQS'!A:Q,16,FALSE)*VLOOKUP(C10,'Raw - SHQS'!A:Q,15,FALSE))),100)-MROUND(SUM(SUM(VLOOKUP(C10,'Raw - SHQS'!A:Q,16,FALSE)*VLOOKUP(C10,'Raw - SHQS'!A:Q,15,FALSE))),100)),IF($K$5="United Kingdom",SUM(MROUND(SUM(SUM(VLOOKUP(C$20,'Raw - SHQS'!A:Q,16,FALSE)*VLOOKUP(C10,'Raw - SHQS'!A:Q,15,FALSE))),100)-MROUND(SUM(SUM(VLOOKUP(C10,'Raw - SHQS'!A:Q,16,FALSE)*VLOOKUP(C10,'Raw - SHQS'!A:Q,15,FALSE))),100)),SUM(MROUND(SUM(SUM(VLOOKUP(C$16,'Raw - SHQS'!A:Q,16,FALSE)*VLOOKUP(C10,'Raw - SHQS'!A:Q,15,FALSE))),100)-MROUND(SUM(SUM(VLOOKUP(C10,'Raw - SHQS'!A:Q,16,FALSE)*VLOOKUP(C10,'Raw - SHQS'!A:Q,15,FALSE))),100)))))))</f>
        <v>-8000</v>
      </c>
    </row>
    <row r="11" spans="2:12" ht="19.5" customHeight="1">
      <c r="B11" s="296" t="s">
        <v>249</v>
      </c>
      <c r="C11" s="296" t="s">
        <v>34</v>
      </c>
      <c r="D11" s="328">
        <f>VLOOKUP($C11,'Raw - SHQS'!$A:$Q,4,FALSE)</f>
        <v>0.44323000000000001</v>
      </c>
      <c r="E11" s="328">
        <f>VLOOKUP($C11,'Raw - SHQS'!$A:$Q,8,FALSE)</f>
        <v>0.42879000000000006</v>
      </c>
      <c r="F11" s="328">
        <f>VLOOKUP($C11,'Raw - SHQS'!$A:$Q,12,FALSE)</f>
        <v>0.41879000000000005</v>
      </c>
      <c r="G11" s="328">
        <f>VLOOKUP($C11,'Raw - SHQS'!$A:$Q,16,FALSE)</f>
        <v>0.37366000000000005</v>
      </c>
      <c r="H11" s="318">
        <f>VLOOKUP(C11,'Raw - SHQS'!A:Q,14,FALSE)</f>
        <v>56961.851380000007</v>
      </c>
      <c r="I11" s="320">
        <f t="shared" si="1"/>
        <v>-6.9569999999999965E-2</v>
      </c>
      <c r="J11" s="300">
        <f>ROUND(SUM(VLOOKUP(C11,'Raw - SHQS'!A:Q,14,FALSE)-VLOOKUP(C11,'Raw - SHQS'!A:Q,2,FALSE)),-2)</f>
        <v>-9700</v>
      </c>
      <c r="K11" s="322">
        <f t="shared" si="0"/>
        <v>-0.12985000000000002</v>
      </c>
      <c r="L11" s="302">
        <f>IF(K11="","",IF($K$5="LGBF FAMILY GROUP",SUM(MROUND(SUM(SUM(VLOOKUP(C$17,'Raw - SHQS'!A:Q,16,FALSE)*VLOOKUP(C11,'Raw - SHQS'!A:Q,15,FALSE))),100)-MROUND(SUM(SUM(VLOOKUP(C11,'Raw - SHQS'!A:Q,16,FALSE)*VLOOKUP(C11,'Raw - SHQS'!A:Q,15,FALSE))),100)),IF($K$5="Glasgow City Region",SUM(MROUND(SUM(SUM(VLOOKUP(C$18,'Raw - SHQS'!A:Q,16,FALSE)*VLOOKUP(C11,'Raw - SHQS'!A:Q,15,FALSE))),100)-MROUND(SUM(SUM(VLOOKUP(C11,'Raw - SHQS'!A:Q,16,FALSE)*VLOOKUP(C11,'Raw - SHQS'!A:Q,15,FALSE))),100)),IF($K$5="Scotland",SUM(MROUND(SUM(SUM(VLOOKUP(C$19,'Raw - SHQS'!A:Q,16,FALSE)*VLOOKUP(C11,'Raw - SHQS'!A:Q,15,FALSE))),100)-MROUND(SUM(SUM(VLOOKUP(C11,'Raw - SHQS'!A:Q,16,FALSE)*VLOOKUP(C11,'Raw - SHQS'!A:Q,15,FALSE))),100)),IF($K$5="United Kingdom",SUM(MROUND(SUM(SUM(VLOOKUP(C$20,'Raw - SHQS'!A:Q,16,FALSE)*VLOOKUP(C11,'Raw - SHQS'!A:Q,15,FALSE))),100)-MROUND(SUM(SUM(VLOOKUP(C11,'Raw - SHQS'!A:Q,16,FALSE)*VLOOKUP(C11,'Raw - SHQS'!A:Q,15,FALSE))),100)),SUM(MROUND(SUM(SUM(VLOOKUP(C$16,'Raw - SHQS'!A:Q,16,FALSE)*VLOOKUP(C11,'Raw - SHQS'!A:Q,15,FALSE))),100)-MROUND(SUM(SUM(VLOOKUP(C11,'Raw - SHQS'!A:Q,16,FALSE)*VLOOKUP(C11,'Raw - SHQS'!A:Q,15,FALSE))),100)))))))</f>
        <v>-19800</v>
      </c>
    </row>
    <row r="12" spans="2:12" ht="19.5" customHeight="1">
      <c r="B12" s="296" t="s">
        <v>249</v>
      </c>
      <c r="C12" s="296" t="s">
        <v>37</v>
      </c>
      <c r="D12" s="328">
        <f>VLOOKUP($C12,'Raw - SHQS'!$A:$Q,4,FALSE)</f>
        <v>0.52194000000000007</v>
      </c>
      <c r="E12" s="328">
        <f>VLOOKUP($C12,'Raw - SHQS'!$A:$Q,8,FALSE)</f>
        <v>0.44771000000000005</v>
      </c>
      <c r="F12" s="328">
        <f>VLOOKUP($C12,'Raw - SHQS'!$A:$Q,12,FALSE)</f>
        <v>0.38836000000000004</v>
      </c>
      <c r="G12" s="328">
        <f>VLOOKUP($C12,'Raw - SHQS'!$A:$Q,16,FALSE)</f>
        <v>0.35599000000000003</v>
      </c>
      <c r="H12" s="318">
        <f>VLOOKUP(C12,'Raw - SHQS'!A:Q,14,FALSE)</f>
        <v>30858.281170000002</v>
      </c>
      <c r="I12" s="320">
        <f t="shared" si="1"/>
        <v>-0.16595000000000004</v>
      </c>
      <c r="J12" s="300">
        <f>ROUND(SUM(VLOOKUP(C12,'Raw - SHQS'!A:Q,14,FALSE)-VLOOKUP(C12,'Raw - SHQS'!A:Q,2,FALSE)),-2)</f>
        <v>-13000</v>
      </c>
      <c r="K12" s="322">
        <f t="shared" si="0"/>
        <v>-0.11218</v>
      </c>
      <c r="L12" s="302">
        <f>IF(K12="","",IF($K$5="LGBF FAMILY GROUP",SUM(MROUND(SUM(SUM(VLOOKUP(C$17,'Raw - SHQS'!A:Q,16,FALSE)*VLOOKUP(C12,'Raw - SHQS'!A:Q,15,FALSE))),100)-MROUND(SUM(SUM(VLOOKUP(C12,'Raw - SHQS'!A:Q,16,FALSE)*VLOOKUP(C12,'Raw - SHQS'!A:Q,15,FALSE))),100)),IF($K$5="Glasgow City Region",SUM(MROUND(SUM(SUM(VLOOKUP(C$18,'Raw - SHQS'!A:Q,16,FALSE)*VLOOKUP(C12,'Raw - SHQS'!A:Q,15,FALSE))),100)-MROUND(SUM(SUM(VLOOKUP(C12,'Raw - SHQS'!A:Q,16,FALSE)*VLOOKUP(C12,'Raw - SHQS'!A:Q,15,FALSE))),100)),IF($K$5="Scotland",SUM(MROUND(SUM(SUM(VLOOKUP(C$19,'Raw - SHQS'!A:Q,16,FALSE)*VLOOKUP(C12,'Raw - SHQS'!A:Q,15,FALSE))),100)-MROUND(SUM(SUM(VLOOKUP(C12,'Raw - SHQS'!A:Q,16,FALSE)*VLOOKUP(C12,'Raw - SHQS'!A:Q,15,FALSE))),100)),IF($K$5="United Kingdom",SUM(MROUND(SUM(SUM(VLOOKUP(C$20,'Raw - SHQS'!A:Q,16,FALSE)*VLOOKUP(C12,'Raw - SHQS'!A:Q,15,FALSE))),100)-MROUND(SUM(SUM(VLOOKUP(C12,'Raw - SHQS'!A:Q,16,FALSE)*VLOOKUP(C12,'Raw - SHQS'!A:Q,15,FALSE))),100)),SUM(MROUND(SUM(SUM(VLOOKUP(C$16,'Raw - SHQS'!A:Q,16,FALSE)*VLOOKUP(C12,'Raw - SHQS'!A:Q,15,FALSE))),100)-MROUND(SUM(SUM(VLOOKUP(C12,'Raw - SHQS'!A:Q,16,FALSE)*VLOOKUP(C12,'Raw - SHQS'!A:Q,15,FALSE))),100)))))))</f>
        <v>-9800</v>
      </c>
    </row>
    <row r="13" spans="2:12" ht="19.5" customHeight="1">
      <c r="B13" s="296" t="s">
        <v>249</v>
      </c>
      <c r="C13" s="296" t="s">
        <v>41</v>
      </c>
      <c r="D13" s="328">
        <f>VLOOKUP($C13,'Raw - SHQS'!$A:$Q,4,FALSE)</f>
        <v>0.43292000000000003</v>
      </c>
      <c r="E13" s="328">
        <f>VLOOKUP($C13,'Raw - SHQS'!$A:$Q,8,FALSE)</f>
        <v>0.43325000000000002</v>
      </c>
      <c r="F13" s="328">
        <f>VLOOKUP($C13,'Raw - SHQS'!$A:$Q,12,FALSE)</f>
        <v>0.40742000000000006</v>
      </c>
      <c r="G13" s="328">
        <f>VLOOKUP($C13,'Raw - SHQS'!$A:$Q,16,FALSE)</f>
        <v>0.42219000000000001</v>
      </c>
      <c r="H13" s="318">
        <f>VLOOKUP(C13,'Raw - SHQS'!A:Q,14,FALSE)</f>
        <v>62245.160459999999</v>
      </c>
      <c r="I13" s="320">
        <f t="shared" si="1"/>
        <v>-1.0730000000000017E-2</v>
      </c>
      <c r="J13" s="300">
        <f>ROUND(SUM(VLOOKUP(C13,'Raw - SHQS'!A:Q,14,FALSE)-VLOOKUP(C13,'Raw - SHQS'!A:Q,2,FALSE)),-2)</f>
        <v>-200</v>
      </c>
      <c r="K13" s="322">
        <f t="shared" si="0"/>
        <v>-0.17837999999999998</v>
      </c>
      <c r="L13" s="302">
        <f>IF(K13="","",IF($K$5="LGBF FAMILY GROUP",SUM(MROUND(SUM(SUM(VLOOKUP(C$17,'Raw - SHQS'!A:Q,16,FALSE)*VLOOKUP(C13,'Raw - SHQS'!A:Q,15,FALSE))),100)-MROUND(SUM(SUM(VLOOKUP(C13,'Raw - SHQS'!A:Q,16,FALSE)*VLOOKUP(C13,'Raw - SHQS'!A:Q,15,FALSE))),100)),IF($K$5="Glasgow City Region",SUM(MROUND(SUM(SUM(VLOOKUP(C$18,'Raw - SHQS'!A:Q,16,FALSE)*VLOOKUP(C13,'Raw - SHQS'!A:Q,15,FALSE))),100)-MROUND(SUM(SUM(VLOOKUP(C13,'Raw - SHQS'!A:Q,16,FALSE)*VLOOKUP(C13,'Raw - SHQS'!A:Q,15,FALSE))),100)),IF($K$5="Scotland",SUM(MROUND(SUM(SUM(VLOOKUP(C$19,'Raw - SHQS'!A:Q,16,FALSE)*VLOOKUP(C13,'Raw - SHQS'!A:Q,15,FALSE))),100)-MROUND(SUM(SUM(VLOOKUP(C13,'Raw - SHQS'!A:Q,16,FALSE)*VLOOKUP(C13,'Raw - SHQS'!A:Q,15,FALSE))),100)),IF($K$5="United Kingdom",SUM(MROUND(SUM(SUM(VLOOKUP(C$20,'Raw - SHQS'!A:Q,16,FALSE)*VLOOKUP(C13,'Raw - SHQS'!A:Q,15,FALSE))),100)-MROUND(SUM(SUM(VLOOKUP(C13,'Raw - SHQS'!A:Q,16,FALSE)*VLOOKUP(C13,'Raw - SHQS'!A:Q,15,FALSE))),100)),SUM(MROUND(SUM(SUM(VLOOKUP(C$16,'Raw - SHQS'!A:Q,16,FALSE)*VLOOKUP(C13,'Raw - SHQS'!A:Q,15,FALSE))),100)-MROUND(SUM(SUM(VLOOKUP(C13,'Raw - SHQS'!A:Q,16,FALSE)*VLOOKUP(C13,'Raw - SHQS'!A:Q,15,FALSE))),100)))))))</f>
        <v>-26300</v>
      </c>
    </row>
    <row r="14" spans="2:12" ht="19.5" customHeight="1">
      <c r="B14" s="296" t="s">
        <v>249</v>
      </c>
      <c r="C14" s="296" t="s">
        <v>43</v>
      </c>
      <c r="D14" s="328">
        <f>VLOOKUP($C14,'Raw - SHQS'!$A:$Q,4,FALSE)</f>
        <v>0.53228000000000009</v>
      </c>
      <c r="E14" s="328">
        <f>VLOOKUP($C14,'Raw - SHQS'!$A:$Q,8,FALSE)</f>
        <v>0.52660000000000007</v>
      </c>
      <c r="F14" s="328">
        <f>VLOOKUP($C14,'Raw - SHQS'!$A:$Q,12,FALSE)</f>
        <v>0.48016000000000003</v>
      </c>
      <c r="G14" s="328">
        <f>VLOOKUP($C14,'Raw - SHQS'!$A:$Q,16,FALSE)</f>
        <v>0.48655000000000004</v>
      </c>
      <c r="H14" s="318">
        <f>VLOOKUP(C14,'Raw - SHQS'!A:Q,14,FALSE)</f>
        <v>20936.246500000001</v>
      </c>
      <c r="I14" s="320">
        <f t="shared" si="1"/>
        <v>-4.5730000000000048E-2</v>
      </c>
      <c r="J14" s="300">
        <f>ROUND(SUM(VLOOKUP(C14,'Raw - SHQS'!A:Q,14,FALSE)-VLOOKUP(C14,'Raw - SHQS'!A:Q,2,FALSE)),-2)</f>
        <v>-1800</v>
      </c>
      <c r="K14" s="322">
        <f t="shared" si="0"/>
        <v>-0.24274000000000001</v>
      </c>
      <c r="L14" s="302">
        <f>IF(K14="","",IF($K$5="LGBF FAMILY GROUP",SUM(MROUND(SUM(SUM(VLOOKUP(C$17,'Raw - SHQS'!A:Q,16,FALSE)*VLOOKUP(C14,'Raw - SHQS'!A:Q,15,FALSE))),100)-MROUND(SUM(SUM(VLOOKUP(C14,'Raw - SHQS'!A:Q,16,FALSE)*VLOOKUP(C14,'Raw - SHQS'!A:Q,15,FALSE))),100)),IF($K$5="Glasgow City Region",SUM(MROUND(SUM(SUM(VLOOKUP(C$18,'Raw - SHQS'!A:Q,16,FALSE)*VLOOKUP(C14,'Raw - SHQS'!A:Q,15,FALSE))),100)-MROUND(SUM(SUM(VLOOKUP(C14,'Raw - SHQS'!A:Q,16,FALSE)*VLOOKUP(C14,'Raw - SHQS'!A:Q,15,FALSE))),100)),IF($K$5="Scotland",SUM(MROUND(SUM(SUM(VLOOKUP(C$19,'Raw - SHQS'!A:Q,16,FALSE)*VLOOKUP(C14,'Raw - SHQS'!A:Q,15,FALSE))),100)-MROUND(SUM(SUM(VLOOKUP(C14,'Raw - SHQS'!A:Q,16,FALSE)*VLOOKUP(C14,'Raw - SHQS'!A:Q,15,FALSE))),100)),IF($K$5="United Kingdom",SUM(MROUND(SUM(SUM(VLOOKUP(C$20,'Raw - SHQS'!A:Q,16,FALSE)*VLOOKUP(C14,'Raw - SHQS'!A:Q,15,FALSE))),100)-MROUND(SUM(SUM(VLOOKUP(C14,'Raw - SHQS'!A:Q,16,FALSE)*VLOOKUP(C14,'Raw - SHQS'!A:Q,15,FALSE))),100)),SUM(MROUND(SUM(SUM(VLOOKUP(C$16,'Raw - SHQS'!A:Q,16,FALSE)*VLOOKUP(C14,'Raw - SHQS'!A:Q,15,FALSE))),100)-MROUND(SUM(SUM(VLOOKUP(C14,'Raw - SHQS'!A:Q,16,FALSE)*VLOOKUP(C14,'Raw - SHQS'!A:Q,15,FALSE))),100)))))))</f>
        <v>-10400</v>
      </c>
    </row>
    <row r="15" spans="2:12" ht="19.5" customHeight="1">
      <c r="B15" s="303"/>
      <c r="C15" s="303"/>
      <c r="D15" s="306"/>
      <c r="E15" s="306"/>
      <c r="F15" s="306"/>
      <c r="G15" s="306"/>
      <c r="H15" s="304"/>
      <c r="I15" s="306"/>
      <c r="J15" s="306"/>
      <c r="K15" s="306"/>
      <c r="L15" s="306"/>
    </row>
    <row r="16" spans="2:12" ht="19.5" customHeight="1">
      <c r="B16" s="307" t="s">
        <v>51</v>
      </c>
      <c r="C16" s="296" t="str">
        <f>INDEX('Raw - SHQS'!$A$9:$A$40,MATCH(MIN('Raw - SHQS'!P9:P40),'Raw - SHQS'!P9:P40,0))</f>
        <v>Clackmannanshire</v>
      </c>
      <c r="D16" s="328">
        <f>VLOOKUP($C16,'Raw - SHQS'!$A:$Q,4,FALSE)</f>
        <v>0.3513</v>
      </c>
      <c r="E16" s="328">
        <f>VLOOKUP($C16,'Raw - SHQS'!$A:$Q,8,FALSE)</f>
        <v>0.32099000000000005</v>
      </c>
      <c r="F16" s="328">
        <f>VLOOKUP($C16,'Raw - SHQS'!$A:$Q,12,FALSE)</f>
        <v>0.26167000000000001</v>
      </c>
      <c r="G16" s="328">
        <f>VLOOKUP($C16,'Raw - SHQS'!$A:$Q,16,FALSE)</f>
        <v>0.24381000000000003</v>
      </c>
      <c r="H16" s="318">
        <f>VLOOKUP(C16,'Raw - SHQS'!A:Q,14,FALSE)</f>
        <v>5824.6209000000008</v>
      </c>
      <c r="I16" s="320">
        <f t="shared" si="1"/>
        <v>-0.10748999999999997</v>
      </c>
      <c r="J16" s="300">
        <f>SUM(VLOOKUP(C16,'Raw - SHQS'!A:Q,14,FALSE)-VLOOKUP(C16,'Raw - SHQS'!A:Q,2,FALSE))</f>
        <v>-2396.1503999999995</v>
      </c>
    </row>
    <row r="17" spans="2:12" ht="19.5" customHeight="1">
      <c r="B17" s="307" t="s">
        <v>541</v>
      </c>
      <c r="C17" s="308" t="s">
        <v>545</v>
      </c>
      <c r="D17" s="328">
        <f>VLOOKUP($C17,'Raw - SHQS'!$A:$Q,4,FALSE)</f>
        <v>0.44637931019156735</v>
      </c>
      <c r="E17" s="328">
        <f>VLOOKUP($C17,'Raw - SHQS'!$A:$Q,8,FALSE)</f>
        <v>0.42272610460516702</v>
      </c>
      <c r="F17" s="328">
        <f>VLOOKUP($C17,'Raw - SHQS'!$A:$Q,12,FALSE)</f>
        <v>0.39435832496912843</v>
      </c>
      <c r="G17" s="328">
        <f>VLOOKUP($C17,'Raw - SHQS'!$A:$Q,16,FALSE)</f>
        <v>0.39401268700502451</v>
      </c>
      <c r="H17" s="318">
        <f>VLOOKUP(C17,'Raw - SHQS'!A:Q,14,FALSE)</f>
        <v>276270.26976000005</v>
      </c>
      <c r="I17" s="320">
        <f>SUM(G17-D17)</f>
        <v>-5.2366623186542838E-2</v>
      </c>
      <c r="J17" s="300">
        <f>SUM(VLOOKUP(C17,'Raw - SHQS'!A:Q,14,FALSE)-VLOOKUP(C17,'Raw - SHQS'!A:Q,2,FALSE))</f>
        <v>-30050.389789999987</v>
      </c>
    </row>
    <row r="18" spans="2:12" ht="19.5" customHeight="1">
      <c r="B18" s="307" t="s">
        <v>250</v>
      </c>
      <c r="C18" s="296" t="s">
        <v>47</v>
      </c>
      <c r="D18" s="328">
        <f>VLOOKUP($C18,'Raw - SHQS'!$A:$Q,4,FALSE)</f>
        <v>0.45125745544459273</v>
      </c>
      <c r="E18" s="328">
        <f>VLOOKUP($C18,'Raw - SHQS'!$A:$Q,8,FALSE)</f>
        <v>0.42484717473393074</v>
      </c>
      <c r="F18" s="328">
        <f>VLOOKUP($C18,'Raw - SHQS'!$A:$Q,12,FALSE)</f>
        <v>0.40373401766201067</v>
      </c>
      <c r="G18" s="328">
        <f>VLOOKUP($C18,'Raw - SHQS'!$A:$Q,16,FALSE)</f>
        <v>0.39327822964152664</v>
      </c>
      <c r="H18" s="318">
        <f>VLOOKUP(C18,'Raw - SHQS'!A:Q,14,FALSE)</f>
        <v>333263.57852000004</v>
      </c>
      <c r="I18" s="320">
        <f t="shared" si="1"/>
        <v>-5.7979225803066081E-2</v>
      </c>
      <c r="J18" s="300">
        <f>SUM(VLOOKUP(C18,'Raw - SHQS'!A:Q,14,FALSE)-VLOOKUP(C18,'Raw - SHQS'!A:Q,2,FALSE))</f>
        <v>-42232.262730000017</v>
      </c>
    </row>
    <row r="19" spans="2:12" ht="19.5" customHeight="1">
      <c r="B19" s="307" t="s">
        <v>251</v>
      </c>
      <c r="C19" s="296" t="s">
        <v>45</v>
      </c>
      <c r="D19" s="328">
        <f>VLOOKUP($C19,'Raw - SHQS'!$A:$Q,4,FALSE)</f>
        <v>0.45871000000000006</v>
      </c>
      <c r="E19" s="328">
        <f>VLOOKUP($C19,'Raw - SHQS'!$A:$Q,8,FALSE)</f>
        <v>0.43479000000000001</v>
      </c>
      <c r="F19" s="328">
        <f>VLOOKUP($C19,'Raw - SHQS'!$A:$Q,12,FALSE)</f>
        <v>0.42167000000000004</v>
      </c>
      <c r="G19" s="328">
        <f>VLOOKUP($C19,'Raw - SHQS'!$A:$Q,16,FALSE)</f>
        <v>0.41</v>
      </c>
      <c r="H19" s="318">
        <f>VLOOKUP(C19,'Raw - SHQS'!A:Q,14,FALSE)</f>
        <v>1023205.4299999999</v>
      </c>
      <c r="I19" s="320">
        <f t="shared" si="1"/>
        <v>-4.8710000000000087E-2</v>
      </c>
      <c r="J19" s="300">
        <f>SUM(VLOOKUP(C19,'Raw - SHQS'!A:Q,14,FALSE)-VLOOKUP(C19,'Raw - SHQS'!A:Q,2,FALSE))</f>
        <v>-98877.669410000322</v>
      </c>
    </row>
    <row r="20" spans="2:12" ht="19.5" customHeight="1">
      <c r="B20" s="307" t="s">
        <v>251</v>
      </c>
      <c r="C20" s="296" t="s">
        <v>46</v>
      </c>
      <c r="D20" s="328" t="s">
        <v>69</v>
      </c>
      <c r="E20" s="328" t="s">
        <v>69</v>
      </c>
      <c r="F20" s="328" t="s">
        <v>69</v>
      </c>
      <c r="G20" s="328" t="s">
        <v>69</v>
      </c>
      <c r="H20" s="318" t="s">
        <v>69</v>
      </c>
      <c r="I20" s="320"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autoFilter ref="C6:L14" xr:uid="{00000000-0009-0000-0000-000022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2200-000000000000}">
      <formula1>IF(B17="LGBF Family Group 1",LGBF_1,IF(B17="LGBF Family Group 3",LGBF_3,IF(B17="LGBF Family Group 4",LGBF_4,LGBF_2)))</formula1>
    </dataValidation>
  </dataValidations>
  <hyperlinks>
    <hyperlink ref="F2:G2" location="'Index RAG'!A1" display="Return to Index RAG" xr:uid="{00000000-0004-0000-2200-000001000000}"/>
    <hyperlink ref="C3" r:id="rId1" xr:uid="{927AA5ED-1E40-43D7-9000-4F3F6D8CC8F4}"/>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1000000}">
          <x14:formula1>
            <xm:f>Lookups!$L$8:$O$8</xm:f>
          </x14:formula1>
          <xm:sqref>B17</xm:sqref>
        </x14:dataValidation>
        <x14:dataValidation type="list" allowBlank="1" showInputMessage="1" showErrorMessage="1" xr:uid="{C83FE83B-6BD2-48C4-97AC-595845E126E8}">
          <x14:formula1>
            <xm:f>Lookups!$B$9:$B$12</xm:f>
          </x14:formula1>
          <xm:sqref>K5:L5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275</v>
      </c>
      <c r="F2" s="595" t="s">
        <v>507</v>
      </c>
      <c r="G2" s="596"/>
    </row>
    <row r="3" spans="2:12" ht="13">
      <c r="B3" s="286" t="s">
        <v>49</v>
      </c>
      <c r="C3" s="288" t="s">
        <v>273</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t="s">
        <v>265</v>
      </c>
      <c r="E6" s="294" t="s">
        <v>266</v>
      </c>
      <c r="F6" s="294" t="s">
        <v>267</v>
      </c>
      <c r="G6" s="294" t="s">
        <v>582</v>
      </c>
      <c r="H6" s="294" t="s">
        <v>583</v>
      </c>
      <c r="I6" s="295" t="s">
        <v>53</v>
      </c>
      <c r="J6" s="295" t="s">
        <v>54</v>
      </c>
      <c r="K6" s="295" t="s">
        <v>56</v>
      </c>
      <c r="L6" s="295" t="s">
        <v>57</v>
      </c>
    </row>
    <row r="7" spans="2:12" ht="19.5" customHeight="1">
      <c r="B7" s="296" t="s">
        <v>249</v>
      </c>
      <c r="C7" s="296" t="s">
        <v>22</v>
      </c>
      <c r="D7" s="328">
        <f>VLOOKUP($C7,'Raw - Disrepair'!$A:$Q,4,FALSE)</f>
        <v>0.73340000000000005</v>
      </c>
      <c r="E7" s="328">
        <f>VLOOKUP($C7,'Raw - Disrepair'!$A:$Q,8,FALSE)</f>
        <v>0.73633000000000004</v>
      </c>
      <c r="F7" s="328">
        <f>VLOOKUP($C7,'Raw - Disrepair'!$A:$Q,12,FALSE)</f>
        <v>0.76119000000000003</v>
      </c>
      <c r="G7" s="328">
        <f>VLOOKUP($C7,'Raw - Disrepair'!$A:$Q,16,FALSE)</f>
        <v>0.80710000000000004</v>
      </c>
      <c r="H7" s="318">
        <f>VLOOKUP(C7,'Raw - Disrepair'!A:Q,14,FALSE)</f>
        <v>37310.618800000004</v>
      </c>
      <c r="I7" s="320">
        <f>SUM(G7-D7)</f>
        <v>7.3699999999999988E-2</v>
      </c>
      <c r="J7" s="300">
        <f>ROUND(SUM(VLOOKUP(C7,'Raw - Disrepair'!A:Q,14,FALSE)-VLOOKUP(C7,'Raw - Disrepair'!A:Q,2,FALSE)),-2)</f>
        <v>4100</v>
      </c>
      <c r="K7" s="322">
        <f t="shared" ref="K7:K14" si="0">IF(IF($K$5="lgbf family group",SUM(G$17-G7),IF($K$5="Glasgow City Region",SUM(G$18-G7),IF($K$5="Scotland",SUM(G$19-G7),IF($K$5="United Kingdom",SUM(G$20-G7),SUM(G$16-G7)))))&gt;0,"",IF($K$5="lgbf family group",SUM(G$17-G7),IF($K$5="Glasgow City Region",SUM(G$18-G7),IF($K$5="Scotland",SUM(G$19-G7),IF($K$5="United Kingdom",SUM(G$20-G7),SUM(G$16-G7))))))</f>
        <v>-0.27839000000000003</v>
      </c>
      <c r="L7" s="302">
        <f>IF(K7="","",IF($K$5="lgbf family group",SUM(MROUND(SUM(SUM(VLOOKUP(C$17,'Raw - Disrepair'!A:Q,16,FALSE)*VLOOKUP(C7,'Raw - Disrepair'!A:Q,15,FALSE))),100)-MROUND(SUM(SUM(VLOOKUP(C7,'Raw - Disrepair'!A:Q,16,FALSE)*VLOOKUP(C7,'Raw - Disrepair'!A:Q,15,FALSE))),100)),IF($K$5="Glasgow City Region",SUM(MROUND(SUM(SUM(VLOOKUP(C$18,'Raw - Disrepair'!A:Q,16,FALSE)*VLOOKUP(C7,'Raw - Disrepair'!A:Q,15,FALSE))),100)-MROUND(SUM(SUM(VLOOKUP(C7,'Raw - Disrepair'!A:Q,16,FALSE)*VLOOKUP(C7,'Raw - Disrepair'!A:Q,15,FALSE))),100)),IF($K$5="Scotland",SUM(MROUND(SUM(SUM(VLOOKUP(C$19,'Raw - Disrepair'!A:Q,16,FALSE)*VLOOKUP(C7,'Raw - Disrepair'!A:Q,15,FALSE))),100)-MROUND(SUM(SUM(VLOOKUP(C7,'Raw - Disrepair'!A:Q,16,FALSE)*VLOOKUP(C7,'Raw - Disrepair'!A:Q,15,FALSE))),100)),IF($K$5="United Kingdom",SUM(MROUND(SUM(SUM(VLOOKUP(C$20,'Raw - Disrepair'!A:Q,16,FALSE)*VLOOKUP(C7,'Raw - Disrepair'!A:Q,15,FALSE))),100)-MROUND(SUM(SUM(VLOOKUP(C7,'Raw - Disrepair'!A:Q,16,FALSE)*VLOOKUP(C7,'Raw - Disrepair'!A:Q,15,FALSE))),100)),SUM(MROUND(SUM(SUM(VLOOKUP(C$16,'Raw - Disrepair'!A:Q,16,FALSE)*VLOOKUP(C7,'Raw - Disrepair'!A:Q,15,FALSE))),100)-MROUND(SUM(SUM(VLOOKUP(C7,'Raw - Disrepair'!A:Q,16,FALSE)*VLOOKUP(C7,'Raw - Disrepair'!A:Q,15,FALSE))),100)))))))</f>
        <v>-12900</v>
      </c>
    </row>
    <row r="8" spans="2:12" ht="19.5" customHeight="1">
      <c r="B8" s="296" t="s">
        <v>249</v>
      </c>
      <c r="C8" s="296" t="s">
        <v>24</v>
      </c>
      <c r="D8" s="328">
        <f>VLOOKUP($C8,'Raw - Disrepair'!$A:$Q,4,FALSE)</f>
        <v>0.75319000000000003</v>
      </c>
      <c r="E8" s="328">
        <f>VLOOKUP($C8,'Raw - Disrepair'!$A:$Q,8,FALSE)</f>
        <v>0.70757000000000003</v>
      </c>
      <c r="F8" s="328">
        <f>VLOOKUP($C8,'Raw - Disrepair'!$A:$Q,12,FALSE)</f>
        <v>0.67234000000000005</v>
      </c>
      <c r="G8" s="328">
        <f>VLOOKUP($C8,'Raw - Disrepair'!$A:$Q,16,FALSE)</f>
        <v>0.66009000000000007</v>
      </c>
      <c r="H8" s="318">
        <f>VLOOKUP(C8,'Raw - Disrepair'!A:Q,14,FALSE)</f>
        <v>25971.241050000004</v>
      </c>
      <c r="I8" s="320">
        <f t="shared" ref="I8:I19" si="1">SUM(G8-D8)</f>
        <v>-9.3099999999999961E-2</v>
      </c>
      <c r="J8" s="300">
        <f>ROUND(SUM(VLOOKUP(C8,'Raw - Disrepair'!A:Q,14,FALSE)-VLOOKUP(C8,'Raw - Disrepair'!A:Q,2,FALSE)),-2)</f>
        <v>-3100</v>
      </c>
      <c r="K8" s="322">
        <f t="shared" si="0"/>
        <v>-0.13138000000000005</v>
      </c>
      <c r="L8" s="302">
        <f>IF(K8="","",IF($K$5="lgbf family group",SUM(MROUND(SUM(SUM(VLOOKUP(C$17,'Raw - Disrepair'!A:Q,16,FALSE)*VLOOKUP(C8,'Raw - Disrepair'!A:Q,15,FALSE))),100)-MROUND(SUM(SUM(VLOOKUP(C8,'Raw - Disrepair'!A:Q,16,FALSE)*VLOOKUP(C8,'Raw - Disrepair'!A:Q,15,FALSE))),100)),IF($K$5="Glasgow City Region",SUM(MROUND(SUM(SUM(VLOOKUP(C$18,'Raw - Disrepair'!A:Q,16,FALSE)*VLOOKUP(C8,'Raw - Disrepair'!A:Q,15,FALSE))),100)-MROUND(SUM(SUM(VLOOKUP(C8,'Raw - Disrepair'!A:Q,16,FALSE)*VLOOKUP(C8,'Raw - Disrepair'!A:Q,15,FALSE))),100)),IF($K$5="Scotland",SUM(MROUND(SUM(SUM(VLOOKUP(C$19,'Raw - Disrepair'!A:Q,16,FALSE)*VLOOKUP(C8,'Raw - Disrepair'!A:Q,15,FALSE))),100)-MROUND(SUM(SUM(VLOOKUP(C8,'Raw - Disrepair'!A:Q,16,FALSE)*VLOOKUP(C8,'Raw - Disrepair'!A:Q,15,FALSE))),100)),IF($K$5="United Kingdom",SUM(MROUND(SUM(SUM(VLOOKUP(C$20,'Raw - Disrepair'!A:Q,16,FALSE)*VLOOKUP(C8,'Raw - Disrepair'!A:Q,15,FALSE))),100)-MROUND(SUM(SUM(VLOOKUP(C8,'Raw - Disrepair'!A:Q,16,FALSE)*VLOOKUP(C8,'Raw - Disrepair'!A:Q,15,FALSE))),100)),SUM(MROUND(SUM(SUM(VLOOKUP(C$16,'Raw - Disrepair'!A:Q,16,FALSE)*VLOOKUP(C8,'Raw - Disrepair'!A:Q,15,FALSE))),100)-MROUND(SUM(SUM(VLOOKUP(C8,'Raw - Disrepair'!A:Q,16,FALSE)*VLOOKUP(C8,'Raw - Disrepair'!A:Q,15,FALSE))),100)))))))</f>
        <v>-5200</v>
      </c>
    </row>
    <row r="9" spans="2:12" ht="19.5" customHeight="1">
      <c r="B9" s="296" t="s">
        <v>249</v>
      </c>
      <c r="C9" s="296" t="s">
        <v>27</v>
      </c>
      <c r="D9" s="328">
        <f>VLOOKUP($C9,'Raw - Disrepair'!$A:$Q,4,FALSE)</f>
        <v>0.70172000000000001</v>
      </c>
      <c r="E9" s="328">
        <f>VLOOKUP($C9,'Raw - Disrepair'!$A:$Q,8,FALSE)</f>
        <v>0.71164000000000005</v>
      </c>
      <c r="F9" s="328">
        <f>VLOOKUP($C9,'Raw - Disrepair'!$A:$Q,12,FALSE)</f>
        <v>0.7678600000000001</v>
      </c>
      <c r="G9" s="328">
        <f>VLOOKUP($C9,'Raw - Disrepair'!$A:$Q,16,FALSE)</f>
        <v>0.79720000000000002</v>
      </c>
      <c r="H9" s="318">
        <f>VLOOKUP(C9,'Raw - Disrepair'!A:Q,14,FALSE)</f>
        <v>234872.65840000001</v>
      </c>
      <c r="I9" s="320">
        <f t="shared" si="1"/>
        <v>9.5480000000000009E-2</v>
      </c>
      <c r="J9" s="300">
        <f>ROUND(SUM(VLOOKUP(C9,'Raw - Disrepair'!A:Q,14,FALSE)-VLOOKUP(C9,'Raw - Disrepair'!A:Q,2,FALSE)),-2)</f>
        <v>31800</v>
      </c>
      <c r="K9" s="322">
        <f t="shared" si="0"/>
        <v>-0.26849000000000001</v>
      </c>
      <c r="L9" s="302">
        <f>IF(K9="","",IF($K$5="lgbf family group",SUM(MROUND(SUM(SUM(VLOOKUP(C$17,'Raw - Disrepair'!A:Q,16,FALSE)*VLOOKUP(C9,'Raw - Disrepair'!A:Q,15,FALSE))),100)-MROUND(SUM(SUM(VLOOKUP(C9,'Raw - Disrepair'!A:Q,16,FALSE)*VLOOKUP(C9,'Raw - Disrepair'!A:Q,15,FALSE))),100)),IF($K$5="Glasgow City Region",SUM(MROUND(SUM(SUM(VLOOKUP(C$18,'Raw - Disrepair'!A:Q,16,FALSE)*VLOOKUP(C9,'Raw - Disrepair'!A:Q,15,FALSE))),100)-MROUND(SUM(SUM(VLOOKUP(C9,'Raw - Disrepair'!A:Q,16,FALSE)*VLOOKUP(C9,'Raw - Disrepair'!A:Q,15,FALSE))),100)),IF($K$5="Scotland",SUM(MROUND(SUM(SUM(VLOOKUP(C$19,'Raw - Disrepair'!A:Q,16,FALSE)*VLOOKUP(C9,'Raw - Disrepair'!A:Q,15,FALSE))),100)-MROUND(SUM(SUM(VLOOKUP(C9,'Raw - Disrepair'!A:Q,16,FALSE)*VLOOKUP(C9,'Raw - Disrepair'!A:Q,15,FALSE))),100)),IF($K$5="United Kingdom",SUM(MROUND(SUM(SUM(VLOOKUP(C$20,'Raw - Disrepair'!A:Q,16,FALSE)*VLOOKUP(C9,'Raw - Disrepair'!A:Q,15,FALSE))),100)-MROUND(SUM(SUM(VLOOKUP(C9,'Raw - Disrepair'!A:Q,16,FALSE)*VLOOKUP(C9,'Raw - Disrepair'!A:Q,15,FALSE))),100)),SUM(MROUND(SUM(SUM(VLOOKUP(C$16,'Raw - Disrepair'!A:Q,16,FALSE)*VLOOKUP(C9,'Raw - Disrepair'!A:Q,15,FALSE))),100)-MROUND(SUM(SUM(VLOOKUP(C9,'Raw - Disrepair'!A:Q,16,FALSE)*VLOOKUP(C9,'Raw - Disrepair'!A:Q,15,FALSE))),100)))))))</f>
        <v>-79100</v>
      </c>
    </row>
    <row r="10" spans="2:12" ht="19.5" customHeight="1">
      <c r="B10" s="296" t="s">
        <v>249</v>
      </c>
      <c r="C10" s="296" t="s">
        <v>29</v>
      </c>
      <c r="D10" s="328">
        <f>VLOOKUP($C10,'Raw - Disrepair'!$A:$Q,4,FALSE)</f>
        <v>0.72164000000000006</v>
      </c>
      <c r="E10" s="328">
        <f>VLOOKUP($C10,'Raw - Disrepair'!$A:$Q,8,FALSE)</f>
        <v>0.67790000000000006</v>
      </c>
      <c r="F10" s="328">
        <f>VLOOKUP($C10,'Raw - Disrepair'!$A:$Q,12,FALSE)</f>
        <v>0.65734000000000004</v>
      </c>
      <c r="G10" s="328">
        <f>VLOOKUP($C10,'Raw - Disrepair'!$A:$Q,16,FALSE)</f>
        <v>0.66387000000000007</v>
      </c>
      <c r="H10" s="318">
        <f>VLOOKUP(C10,'Raw - Disrepair'!A:Q,14,FALSE)</f>
        <v>24970.806180000003</v>
      </c>
      <c r="I10" s="320">
        <f t="shared" si="1"/>
        <v>-5.7769999999999988E-2</v>
      </c>
      <c r="J10" s="300">
        <f>ROUND(SUM(VLOOKUP(C10,'Raw - Disrepair'!A:Q,14,FALSE)-VLOOKUP(C10,'Raw - Disrepair'!A:Q,2,FALSE)),-2)</f>
        <v>-2200</v>
      </c>
      <c r="K10" s="322">
        <f t="shared" si="0"/>
        <v>-0.13516000000000006</v>
      </c>
      <c r="L10" s="302">
        <f>IF(K10="","",IF($K$5="lgbf family group",SUM(MROUND(SUM(SUM(VLOOKUP(C$17,'Raw - Disrepair'!A:Q,16,FALSE)*VLOOKUP(C10,'Raw - Disrepair'!A:Q,15,FALSE))),100)-MROUND(SUM(SUM(VLOOKUP(C10,'Raw - Disrepair'!A:Q,16,FALSE)*VLOOKUP(C10,'Raw - Disrepair'!A:Q,15,FALSE))),100)),IF($K$5="Glasgow City Region",SUM(MROUND(SUM(SUM(VLOOKUP(C$18,'Raw - Disrepair'!A:Q,16,FALSE)*VLOOKUP(C10,'Raw - Disrepair'!A:Q,15,FALSE))),100)-MROUND(SUM(SUM(VLOOKUP(C10,'Raw - Disrepair'!A:Q,16,FALSE)*VLOOKUP(C10,'Raw - Disrepair'!A:Q,15,FALSE))),100)),IF($K$5="Scotland",SUM(MROUND(SUM(SUM(VLOOKUP(C$19,'Raw - Disrepair'!A:Q,16,FALSE)*VLOOKUP(C10,'Raw - Disrepair'!A:Q,15,FALSE))),100)-MROUND(SUM(SUM(VLOOKUP(C10,'Raw - Disrepair'!A:Q,16,FALSE)*VLOOKUP(C10,'Raw - Disrepair'!A:Q,15,FALSE))),100)),IF($K$5="United Kingdom",SUM(MROUND(SUM(SUM(VLOOKUP(C$20,'Raw - Disrepair'!A:Q,16,FALSE)*VLOOKUP(C10,'Raw - Disrepair'!A:Q,15,FALSE))),100)-MROUND(SUM(SUM(VLOOKUP(C10,'Raw - Disrepair'!A:Q,16,FALSE)*VLOOKUP(C10,'Raw - Disrepair'!A:Q,15,FALSE))),100)),SUM(MROUND(SUM(SUM(VLOOKUP(C$16,'Raw - Disrepair'!A:Q,16,FALSE)*VLOOKUP(C10,'Raw - Disrepair'!A:Q,15,FALSE))),100)-MROUND(SUM(SUM(VLOOKUP(C10,'Raw - Disrepair'!A:Q,16,FALSE)*VLOOKUP(C10,'Raw - Disrepair'!A:Q,15,FALSE))),100)))))))</f>
        <v>-5100</v>
      </c>
    </row>
    <row r="11" spans="2:12" ht="19.5" customHeight="1">
      <c r="B11" s="296" t="s">
        <v>249</v>
      </c>
      <c r="C11" s="296" t="s">
        <v>34</v>
      </c>
      <c r="D11" s="328">
        <f>VLOOKUP($C11,'Raw - Disrepair'!$A:$Q,4,FALSE)</f>
        <v>0.68334000000000006</v>
      </c>
      <c r="E11" s="328">
        <f>VLOOKUP($C11,'Raw - Disrepair'!$A:$Q,8,FALSE)</f>
        <v>0.64683000000000002</v>
      </c>
      <c r="F11" s="328">
        <f>VLOOKUP($C11,'Raw - Disrepair'!$A:$Q,12,FALSE)</f>
        <v>0.67134000000000005</v>
      </c>
      <c r="G11" s="328">
        <f>VLOOKUP($C11,'Raw - Disrepair'!$A:$Q,16,FALSE)</f>
        <v>0.71742000000000006</v>
      </c>
      <c r="H11" s="318">
        <f>VLOOKUP(C11,'Raw - Disrepair'!A:Q,14,FALSE)</f>
        <v>109365.65706000001</v>
      </c>
      <c r="I11" s="320">
        <f t="shared" si="1"/>
        <v>3.4079999999999999E-2</v>
      </c>
      <c r="J11" s="300">
        <f>ROUND(SUM(VLOOKUP(C11,'Raw - Disrepair'!A:Q,14,FALSE)-VLOOKUP(C11,'Raw - Disrepair'!A:Q,2,FALSE)),-2)</f>
        <v>6600</v>
      </c>
      <c r="K11" s="322">
        <f t="shared" si="0"/>
        <v>-0.18871000000000004</v>
      </c>
      <c r="L11" s="302">
        <f>IF(K11="","",IF($K$5="lgbf family group",SUM(MROUND(SUM(SUM(VLOOKUP(C$17,'Raw - Disrepair'!A:Q,16,FALSE)*VLOOKUP(C11,'Raw - Disrepair'!A:Q,15,FALSE))),100)-MROUND(SUM(SUM(VLOOKUP(C11,'Raw - Disrepair'!A:Q,16,FALSE)*VLOOKUP(C11,'Raw - Disrepair'!A:Q,15,FALSE))),100)),IF($K$5="Glasgow City Region",SUM(MROUND(SUM(SUM(VLOOKUP(C$18,'Raw - Disrepair'!A:Q,16,FALSE)*VLOOKUP(C11,'Raw - Disrepair'!A:Q,15,FALSE))),100)-MROUND(SUM(SUM(VLOOKUP(C11,'Raw - Disrepair'!A:Q,16,FALSE)*VLOOKUP(C11,'Raw - Disrepair'!A:Q,15,FALSE))),100)),IF($K$5="Scotland",SUM(MROUND(SUM(SUM(VLOOKUP(C$19,'Raw - Disrepair'!A:Q,16,FALSE)*VLOOKUP(C11,'Raw - Disrepair'!A:Q,15,FALSE))),100)-MROUND(SUM(SUM(VLOOKUP(C11,'Raw - Disrepair'!A:Q,16,FALSE)*VLOOKUP(C11,'Raw - Disrepair'!A:Q,15,FALSE))),100)),IF($K$5="United Kingdom",SUM(MROUND(SUM(SUM(VLOOKUP(C$20,'Raw - Disrepair'!A:Q,16,FALSE)*VLOOKUP(C11,'Raw - Disrepair'!A:Q,15,FALSE))),100)-MROUND(SUM(SUM(VLOOKUP(C11,'Raw - Disrepair'!A:Q,16,FALSE)*VLOOKUP(C11,'Raw - Disrepair'!A:Q,15,FALSE))),100)),SUM(MROUND(SUM(SUM(VLOOKUP(C$16,'Raw - Disrepair'!A:Q,16,FALSE)*VLOOKUP(C11,'Raw - Disrepair'!A:Q,15,FALSE))),100)-MROUND(SUM(SUM(VLOOKUP(C11,'Raw - Disrepair'!A:Q,16,FALSE)*VLOOKUP(C11,'Raw - Disrepair'!A:Q,15,FALSE))),100)))))))</f>
        <v>-28800</v>
      </c>
    </row>
    <row r="12" spans="2:12" ht="19.5" customHeight="1">
      <c r="B12" s="296" t="s">
        <v>249</v>
      </c>
      <c r="C12" s="296" t="s">
        <v>37</v>
      </c>
      <c r="D12" s="328">
        <f>VLOOKUP($C12,'Raw - Disrepair'!$A:$Q,4,FALSE)</f>
        <v>0.74239000000000011</v>
      </c>
      <c r="E12" s="328">
        <f>VLOOKUP($C12,'Raw - Disrepair'!$A:$Q,8,FALSE)</f>
        <v>0.69078000000000006</v>
      </c>
      <c r="F12" s="328">
        <f>VLOOKUP($C12,'Raw - Disrepair'!$A:$Q,12,FALSE)</f>
        <v>0.64927000000000001</v>
      </c>
      <c r="G12" s="328">
        <f>VLOOKUP($C12,'Raw - Disrepair'!$A:$Q,16,FALSE)</f>
        <v>0.62008000000000008</v>
      </c>
      <c r="H12" s="318">
        <f>VLOOKUP(C12,'Raw - Disrepair'!A:Q,14,FALSE)</f>
        <v>53750.394640000006</v>
      </c>
      <c r="I12" s="320">
        <f t="shared" si="1"/>
        <v>-0.12231000000000003</v>
      </c>
      <c r="J12" s="300">
        <f>ROUND(SUM(VLOOKUP(C12,'Raw - Disrepair'!A:Q,14,FALSE)-VLOOKUP(C12,'Raw - Disrepair'!A:Q,2,FALSE)),-2)</f>
        <v>-8600</v>
      </c>
      <c r="K12" s="322">
        <f t="shared" si="0"/>
        <v>-9.1370000000000062E-2</v>
      </c>
      <c r="L12" s="302">
        <f>IF(K12="","",IF($K$5="lgbf family group",SUM(MROUND(SUM(SUM(VLOOKUP(C$17,'Raw - Disrepair'!A:Q,16,FALSE)*VLOOKUP(C12,'Raw - Disrepair'!A:Q,15,FALSE))),100)-MROUND(SUM(SUM(VLOOKUP(C12,'Raw - Disrepair'!A:Q,16,FALSE)*VLOOKUP(C12,'Raw - Disrepair'!A:Q,15,FALSE))),100)),IF($K$5="Glasgow City Region",SUM(MROUND(SUM(SUM(VLOOKUP(C$18,'Raw - Disrepair'!A:Q,16,FALSE)*VLOOKUP(C12,'Raw - Disrepair'!A:Q,15,FALSE))),100)-MROUND(SUM(SUM(VLOOKUP(C12,'Raw - Disrepair'!A:Q,16,FALSE)*VLOOKUP(C12,'Raw - Disrepair'!A:Q,15,FALSE))),100)),IF($K$5="Scotland",SUM(MROUND(SUM(SUM(VLOOKUP(C$19,'Raw - Disrepair'!A:Q,16,FALSE)*VLOOKUP(C12,'Raw - Disrepair'!A:Q,15,FALSE))),100)-MROUND(SUM(SUM(VLOOKUP(C12,'Raw - Disrepair'!A:Q,16,FALSE)*VLOOKUP(C12,'Raw - Disrepair'!A:Q,15,FALSE))),100)),IF($K$5="United Kingdom",SUM(MROUND(SUM(SUM(VLOOKUP(C$20,'Raw - Disrepair'!A:Q,16,FALSE)*VLOOKUP(C12,'Raw - Disrepair'!A:Q,15,FALSE))),100)-MROUND(SUM(SUM(VLOOKUP(C12,'Raw - Disrepair'!A:Q,16,FALSE)*VLOOKUP(C12,'Raw - Disrepair'!A:Q,15,FALSE))),100)),SUM(MROUND(SUM(SUM(VLOOKUP(C$16,'Raw - Disrepair'!A:Q,16,FALSE)*VLOOKUP(C12,'Raw - Disrepair'!A:Q,15,FALSE))),100)-MROUND(SUM(SUM(VLOOKUP(C12,'Raw - Disrepair'!A:Q,16,FALSE)*VLOOKUP(C12,'Raw - Disrepair'!A:Q,15,FALSE))),100)))))))</f>
        <v>-8000</v>
      </c>
    </row>
    <row r="13" spans="2:12" ht="19.5" customHeight="1">
      <c r="B13" s="296" t="s">
        <v>249</v>
      </c>
      <c r="C13" s="296" t="s">
        <v>41</v>
      </c>
      <c r="D13" s="328">
        <f>VLOOKUP($C13,'Raw - Disrepair'!$A:$Q,4,FALSE)</f>
        <v>0.76736000000000004</v>
      </c>
      <c r="E13" s="328">
        <f>VLOOKUP($C13,'Raw - Disrepair'!$A:$Q,8,FALSE)</f>
        <v>0.74237000000000009</v>
      </c>
      <c r="F13" s="328">
        <f>VLOOKUP($C13,'Raw - Disrepair'!$A:$Q,12,FALSE)</f>
        <v>0.71718000000000004</v>
      </c>
      <c r="G13" s="328">
        <f>VLOOKUP($C13,'Raw - Disrepair'!$A:$Q,16,FALSE)</f>
        <v>0.68225000000000002</v>
      </c>
      <c r="H13" s="318">
        <f>VLOOKUP(C13,'Raw - Disrepair'!A:Q,14,FALSE)</f>
        <v>100586.8465</v>
      </c>
      <c r="I13" s="320">
        <f t="shared" si="1"/>
        <v>-8.5110000000000019E-2</v>
      </c>
      <c r="J13" s="300">
        <f>ROUND(SUM(VLOOKUP(C13,'Raw - Disrepair'!A:Q,14,FALSE)-VLOOKUP(C13,'Raw - Disrepair'!A:Q,2,FALSE)),-2)</f>
        <v>-10000</v>
      </c>
      <c r="K13" s="322">
        <f t="shared" si="0"/>
        <v>-0.15354000000000001</v>
      </c>
      <c r="L13" s="302">
        <f>IF(K13="","",IF($K$5="lgbf family group",SUM(MROUND(SUM(SUM(VLOOKUP(C$17,'Raw - Disrepair'!A:Q,16,FALSE)*VLOOKUP(C13,'Raw - Disrepair'!A:Q,15,FALSE))),100)-MROUND(SUM(SUM(VLOOKUP(C13,'Raw - Disrepair'!A:Q,16,FALSE)*VLOOKUP(C13,'Raw - Disrepair'!A:Q,15,FALSE))),100)),IF($K$5="Glasgow City Region",SUM(MROUND(SUM(SUM(VLOOKUP(C$18,'Raw - Disrepair'!A:Q,16,FALSE)*VLOOKUP(C13,'Raw - Disrepair'!A:Q,15,FALSE))),100)-MROUND(SUM(SUM(VLOOKUP(C13,'Raw - Disrepair'!A:Q,16,FALSE)*VLOOKUP(C13,'Raw - Disrepair'!A:Q,15,FALSE))),100)),IF($K$5="Scotland",SUM(MROUND(SUM(SUM(VLOOKUP(C$19,'Raw - Disrepair'!A:Q,16,FALSE)*VLOOKUP(C13,'Raw - Disrepair'!A:Q,15,FALSE))),100)-MROUND(SUM(SUM(VLOOKUP(C13,'Raw - Disrepair'!A:Q,16,FALSE)*VLOOKUP(C13,'Raw - Disrepair'!A:Q,15,FALSE))),100)),IF($K$5="United Kingdom",SUM(MROUND(SUM(SUM(VLOOKUP(C$20,'Raw - Disrepair'!A:Q,16,FALSE)*VLOOKUP(C13,'Raw - Disrepair'!A:Q,15,FALSE))),100)-MROUND(SUM(SUM(VLOOKUP(C13,'Raw - Disrepair'!A:Q,16,FALSE)*VLOOKUP(C13,'Raw - Disrepair'!A:Q,15,FALSE))),100)),SUM(MROUND(SUM(SUM(VLOOKUP(C$16,'Raw - Disrepair'!A:Q,16,FALSE)*VLOOKUP(C13,'Raw - Disrepair'!A:Q,15,FALSE))),100)-MROUND(SUM(SUM(VLOOKUP(C13,'Raw - Disrepair'!A:Q,16,FALSE)*VLOOKUP(C13,'Raw - Disrepair'!A:Q,15,FALSE))),100)))))))</f>
        <v>-22700</v>
      </c>
    </row>
    <row r="14" spans="2:12" ht="19.5" customHeight="1">
      <c r="B14" s="296" t="s">
        <v>249</v>
      </c>
      <c r="C14" s="296" t="s">
        <v>43</v>
      </c>
      <c r="D14" s="328">
        <f>VLOOKUP($C14,'Raw - Disrepair'!$A:$Q,4,FALSE)</f>
        <v>0.7424400000000001</v>
      </c>
      <c r="E14" s="328">
        <f>VLOOKUP($C14,'Raw - Disrepair'!$A:$Q,8,FALSE)</f>
        <v>0.73647000000000007</v>
      </c>
      <c r="F14" s="328">
        <f>VLOOKUP($C14,'Raw - Disrepair'!$A:$Q,12,FALSE)</f>
        <v>0.74956000000000012</v>
      </c>
      <c r="G14" s="328">
        <f>VLOOKUP($C14,'Raw - Disrepair'!$A:$Q,16,FALSE)</f>
        <v>0.79198000000000002</v>
      </c>
      <c r="H14" s="318">
        <f>VLOOKUP(C14,'Raw - Disrepair'!A:Q,14,FALSE)</f>
        <v>34078.899400000002</v>
      </c>
      <c r="I14" s="320">
        <f t="shared" si="1"/>
        <v>4.9539999999999917E-2</v>
      </c>
      <c r="J14" s="300">
        <f>ROUND(SUM(VLOOKUP(C14,'Raw - Disrepair'!A:Q,14,FALSE)-VLOOKUP(C14,'Raw - Disrepair'!A:Q,2,FALSE)),-2)</f>
        <v>2400</v>
      </c>
      <c r="K14" s="322">
        <f t="shared" si="0"/>
        <v>-0.26327</v>
      </c>
      <c r="L14" s="302">
        <f>IF(K14="","",IF($K$5="lgbf family group",SUM(MROUND(SUM(SUM(VLOOKUP(C$17,'Raw - Disrepair'!A:Q,16,FALSE)*VLOOKUP(C14,'Raw - Disrepair'!A:Q,15,FALSE))),100)-MROUND(SUM(SUM(VLOOKUP(C14,'Raw - Disrepair'!A:Q,16,FALSE)*VLOOKUP(C14,'Raw - Disrepair'!A:Q,15,FALSE))),100)),IF($K$5="Glasgow City Region",SUM(MROUND(SUM(SUM(VLOOKUP(C$18,'Raw - Disrepair'!A:Q,16,FALSE)*VLOOKUP(C14,'Raw - Disrepair'!A:Q,15,FALSE))),100)-MROUND(SUM(SUM(VLOOKUP(C14,'Raw - Disrepair'!A:Q,16,FALSE)*VLOOKUP(C14,'Raw - Disrepair'!A:Q,15,FALSE))),100)),IF($K$5="Scotland",SUM(MROUND(SUM(SUM(VLOOKUP(C$19,'Raw - Disrepair'!A:Q,16,FALSE)*VLOOKUP(C14,'Raw - Disrepair'!A:Q,15,FALSE))),100)-MROUND(SUM(SUM(VLOOKUP(C14,'Raw - Disrepair'!A:Q,16,FALSE)*VLOOKUP(C14,'Raw - Disrepair'!A:Q,15,FALSE))),100)),IF($K$5="United Kingdom",SUM(MROUND(SUM(SUM(VLOOKUP(C$20,'Raw - Disrepair'!A:Q,16,FALSE)*VLOOKUP(C14,'Raw - Disrepair'!A:Q,15,FALSE))),100)-MROUND(SUM(SUM(VLOOKUP(C14,'Raw - Disrepair'!A:Q,16,FALSE)*VLOOKUP(C14,'Raw - Disrepair'!A:Q,15,FALSE))),100)),SUM(MROUND(SUM(SUM(VLOOKUP(C$16,'Raw - Disrepair'!A:Q,16,FALSE)*VLOOKUP(C14,'Raw - Disrepair'!A:Q,15,FALSE))),100)-MROUND(SUM(SUM(VLOOKUP(C14,'Raw - Disrepair'!A:Q,16,FALSE)*VLOOKUP(C14,'Raw - Disrepair'!A:Q,15,FALSE))),100)))))))</f>
        <v>-11300</v>
      </c>
    </row>
    <row r="15" spans="2:12" ht="19.5" customHeight="1">
      <c r="B15" s="303"/>
      <c r="C15" s="303"/>
      <c r="D15" s="306"/>
      <c r="E15" s="306"/>
      <c r="F15" s="306"/>
      <c r="G15" s="306"/>
      <c r="H15" s="304"/>
      <c r="I15" s="306"/>
      <c r="J15" s="306"/>
      <c r="K15" s="306"/>
      <c r="L15" s="306"/>
    </row>
    <row r="16" spans="2:12" ht="19.5" customHeight="1">
      <c r="B16" s="307" t="s">
        <v>51</v>
      </c>
      <c r="C16" s="296" t="str">
        <f>INDEX('Raw - Disrepair'!$A$9:$A$40,MATCH(MIN('Raw - Disrepair'!P9:P40),'Raw - Disrepair'!P9:P40,0))</f>
        <v>North Ayrshire</v>
      </c>
      <c r="D16" s="328">
        <f>VLOOKUP($C16,'Raw - Disrepair'!$A:$Q,4,FALSE)</f>
        <v>0.72363000000000011</v>
      </c>
      <c r="E16" s="328">
        <f>VLOOKUP($C16,'Raw - Disrepair'!$A:$Q,8,FALSE)</f>
        <v>0.6432500000000001</v>
      </c>
      <c r="F16" s="328">
        <f>VLOOKUP($C16,'Raw - Disrepair'!$A:$Q,12,FALSE)</f>
        <v>0.56883000000000006</v>
      </c>
      <c r="G16" s="328">
        <f>VLOOKUP($C16,'Raw - Disrepair'!$A:$Q,16,FALSE)</f>
        <v>0.52871000000000001</v>
      </c>
      <c r="H16" s="318">
        <f>VLOOKUP(C16,'Raw - Disrepair'!A:Q,14,FALSE)</f>
        <v>33911.4594</v>
      </c>
      <c r="I16" s="320">
        <f t="shared" si="1"/>
        <v>-0.19492000000000009</v>
      </c>
      <c r="J16" s="300">
        <f>SUM(VLOOKUP(C16,'Raw - Disrepair'!A:Q,14,FALSE)-VLOOKUP(C16,'Raw - Disrepair'!A:Q,2,FALSE))</f>
        <v>-11995.627800000009</v>
      </c>
    </row>
    <row r="17" spans="2:12" ht="19.5" customHeight="1">
      <c r="B17" s="307" t="s">
        <v>541</v>
      </c>
      <c r="C17" s="308" t="s">
        <v>545</v>
      </c>
      <c r="D17" s="328">
        <f>VLOOKUP($C17,'Raw - Disrepair'!$A:$Q,4,FALSE)</f>
        <v>0.69506804878510831</v>
      </c>
      <c r="E17" s="328">
        <f>VLOOKUP($C17,'Raw - Disrepair'!$A:$Q,8,FALSE)</f>
        <v>0.66619901991411878</v>
      </c>
      <c r="F17" s="328">
        <f>VLOOKUP($C17,'Raw - Disrepair'!$A:$Q,12,FALSE)</f>
        <v>0.65505175409668748</v>
      </c>
      <c r="G17" s="328">
        <f>VLOOKUP($C17,'Raw - Disrepair'!$A:$Q,16,FALSE)</f>
        <v>0.63810362149889255</v>
      </c>
      <c r="H17" s="318">
        <f>VLOOKUP(C17,'Raw - Disrepair'!A:Q,14,FALSE)</f>
        <v>447419.75439000002</v>
      </c>
      <c r="I17" s="320">
        <f>SUM(G17-D17)</f>
        <v>-5.6964427286215757E-2</v>
      </c>
      <c r="J17" s="300">
        <f>SUM(VLOOKUP(C17,'Raw - Disrepair'!A:Q,14,FALSE)-VLOOKUP(C17,'Raw - Disrepair'!A:Q,2,FALSE))</f>
        <v>-29559.572999999975</v>
      </c>
    </row>
    <row r="18" spans="2:12" ht="19.5" customHeight="1">
      <c r="B18" s="307" t="s">
        <v>250</v>
      </c>
      <c r="C18" s="296" t="s">
        <v>47</v>
      </c>
      <c r="D18" s="328">
        <f>VLOOKUP($C18,'Raw - Disrepair'!$A:$Q,4,FALSE)</f>
        <v>0.7209766359976445</v>
      </c>
      <c r="E18" s="328">
        <f>VLOOKUP($C18,'Raw - Disrepair'!$A:$Q,8,FALSE)</f>
        <v>0.70406166749464993</v>
      </c>
      <c r="F18" s="328">
        <f>VLOOKUP($C18,'Raw - Disrepair'!$A:$Q,12,FALSE)</f>
        <v>0.71891246954580013</v>
      </c>
      <c r="G18" s="328">
        <f>VLOOKUP($C18,'Raw - Disrepair'!$A:$Q,16,FALSE)</f>
        <v>0.73272109364065818</v>
      </c>
      <c r="H18" s="318">
        <f>VLOOKUP(C18,'Raw - Disrepair'!A:Q,14,FALSE)</f>
        <v>620907.12203000009</v>
      </c>
      <c r="I18" s="320">
        <f t="shared" si="1"/>
        <v>1.1744457643013684E-2</v>
      </c>
      <c r="J18" s="300">
        <f>SUM(VLOOKUP(C18,'Raw - Disrepair'!A:Q,14,FALSE)-VLOOKUP(C18,'Raw - Disrepair'!A:Q,2,FALSE))</f>
        <v>20975.253450000077</v>
      </c>
    </row>
    <row r="19" spans="2:12" ht="19.5" customHeight="1">
      <c r="B19" s="307" t="s">
        <v>251</v>
      </c>
      <c r="C19" s="296" t="s">
        <v>45</v>
      </c>
      <c r="D19" s="328">
        <f>VLOOKUP($C19,'Raw - Disrepair'!$A:$Q,4,FALSE)</f>
        <v>0.71298000000000006</v>
      </c>
      <c r="E19" s="328">
        <f>VLOOKUP($C19,'Raw - Disrepair'!$A:$Q,8,FALSE)</f>
        <v>0.69603000000000004</v>
      </c>
      <c r="F19" s="328">
        <f>VLOOKUP($C19,'Raw - Disrepair'!$A:$Q,12,FALSE)</f>
        <v>0.70291000000000003</v>
      </c>
      <c r="G19" s="328">
        <f>VLOOKUP($C19,'Raw - Disrepair'!$A:$Q,16,FALSE)</f>
        <v>0.71</v>
      </c>
      <c r="H19" s="318">
        <f>VLOOKUP(C19,'Raw - Disrepair'!A:Q,14,FALSE)</f>
        <v>1771892.3299999998</v>
      </c>
      <c r="I19" s="320">
        <f t="shared" si="1"/>
        <v>-2.9800000000000937E-3</v>
      </c>
      <c r="J19" s="300">
        <f>SUM(VLOOKUP(C19,'Raw - Disrepair'!A:Q,14,FALSE)-VLOOKUP(C19,'Raw - Disrepair'!A:Q,2,FALSE))</f>
        <v>27821.33041999978</v>
      </c>
    </row>
    <row r="20" spans="2:12" ht="19.5" customHeight="1">
      <c r="B20" s="307" t="s">
        <v>251</v>
      </c>
      <c r="C20" s="296" t="s">
        <v>46</v>
      </c>
      <c r="D20" s="328" t="s">
        <v>69</v>
      </c>
      <c r="E20" s="328" t="s">
        <v>69</v>
      </c>
      <c r="F20" s="328" t="s">
        <v>69</v>
      </c>
      <c r="G20" s="328" t="s">
        <v>69</v>
      </c>
      <c r="H20" s="318" t="s">
        <v>69</v>
      </c>
      <c r="I20" s="320"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autoFilter ref="C6:L14" xr:uid="{00000000-0009-0000-0000-000023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2300-000000000000}">
      <formula1>IF(B17="LGBF Family Group 1",LGBF_1,IF(B17="LGBF Family Group 3",LGBF_3,IF(B17="LGBF Family Group 4",LGBF_4,LGBF_2)))</formula1>
    </dataValidation>
  </dataValidations>
  <hyperlinks>
    <hyperlink ref="F2:G2" location="'Index RAG'!A1" display="Return to Index RAG" xr:uid="{00000000-0004-0000-2300-000001000000}"/>
    <hyperlink ref="C3" r:id="rId1" xr:uid="{04FD2EBF-10BD-4FD5-981D-BE6F1342D8A7}"/>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300-000002000000}">
          <x14:formula1>
            <xm:f>Lookups!$L$8:$O$8</xm:f>
          </x14:formula1>
          <xm:sqref>B17</xm:sqref>
        </x14:dataValidation>
        <x14:dataValidation type="list" allowBlank="1" showInputMessage="1" showErrorMessage="1" xr:uid="{951E2603-6B38-4077-926A-BD8CC01C70A6}">
          <x14:formula1>
            <xm:f>Lookups!$B$9:$B$12</xm:f>
          </x14:formula1>
          <xm:sqref>K5:L5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235</v>
      </c>
      <c r="F2" s="595" t="s">
        <v>507</v>
      </c>
      <c r="G2" s="596"/>
    </row>
    <row r="3" spans="2:12" ht="13">
      <c r="B3" s="286" t="s">
        <v>49</v>
      </c>
      <c r="C3" s="288" t="s">
        <v>236</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2020</v>
      </c>
      <c r="E6" s="294">
        <v>2021</v>
      </c>
      <c r="F6" s="294">
        <v>2022</v>
      </c>
      <c r="G6" s="294">
        <v>2023</v>
      </c>
      <c r="H6" s="295" t="s">
        <v>53</v>
      </c>
      <c r="I6" s="295" t="s">
        <v>54</v>
      </c>
      <c r="J6" s="295" t="s">
        <v>79</v>
      </c>
      <c r="K6" s="295" t="s">
        <v>57</v>
      </c>
    </row>
    <row r="7" spans="2:12" ht="19.5" customHeight="1">
      <c r="B7" s="296" t="s">
        <v>249</v>
      </c>
      <c r="C7" s="296" t="s">
        <v>22</v>
      </c>
      <c r="D7" s="298">
        <f>VLOOKUP($C7,'Raw - VDL'!$B:$F,2,FALSE)</f>
        <v>62.1</v>
      </c>
      <c r="E7" s="298">
        <f>VLOOKUP($C7,'Raw - VDL'!$B:$F,3,FALSE)</f>
        <v>77.319999999999993</v>
      </c>
      <c r="F7" s="298">
        <f>VLOOKUP($C7,'Raw - VDL'!$B:$F,4,FALSE)</f>
        <v>73.180000000000007</v>
      </c>
      <c r="G7" s="298">
        <f>VLOOKUP($C7,'Raw - VDL'!$B:$F,5,FALSE)</f>
        <v>74.3</v>
      </c>
      <c r="H7" s="320">
        <f>SUM(G7-D7)/D7</f>
        <v>0.19645732689210943</v>
      </c>
      <c r="I7" s="321">
        <f>G7-D7</f>
        <v>12.199999999999996</v>
      </c>
      <c r="J7" s="322">
        <f t="shared" ref="J7:J14" si="0">IF(IF($J$5="lgbf family group",SUM(G$17-G7)/G7,IF($J$5="Glasgow City Region",SUM(G$18-G7)/G7,IF($J$5="Scotland",SUM(G$19-G7)/G7,IF($J$5="United Kingdom",SUM(G$20-G7)/G7,SUM(G$16-G7)/G7))))&gt;0,"",IF($J$5="lgbf family group",SUM(G$17-G7)/G7,IF($J$5="Glasgow City Region",SUM(G$18-G7)/G7,IF($J$5="Scotland",SUM(G$19-G7)/G7,IF($J$5="United Kingdom",SUM(G$20-G7)/G7,SUM(G$16-G7)/G7)))))</f>
        <v>-0.92193808882907136</v>
      </c>
      <c r="K7" s="301">
        <f t="shared" ref="K7:K14" si="1">IF(J7="","",IF($J$5="LGBF FAMILY GROUP",SUM(G$17-G7),IF($J$5="Glasgow City Region",SUM(G$18-G7),IF($J$5="Scotland",SUM(G$19-G7),IF($J$5="United Kingdom",SUM(G$20-G7),SUM(G$16-G7))))))</f>
        <v>-68.5</v>
      </c>
    </row>
    <row r="8" spans="2:12" ht="19.5" customHeight="1">
      <c r="B8" s="296" t="s">
        <v>249</v>
      </c>
      <c r="C8" s="296" t="s">
        <v>24</v>
      </c>
      <c r="D8" s="298">
        <f>VLOOKUP($C8,'Raw - VDL'!$B:$F,2,FALSE)</f>
        <v>47.44</v>
      </c>
      <c r="E8" s="298">
        <f>VLOOKUP($C8,'Raw - VDL'!$B:$F,3,FALSE)</f>
        <v>47.28</v>
      </c>
      <c r="F8" s="298">
        <f>VLOOKUP($C8,'Raw - VDL'!$B:$F,4,FALSE)</f>
        <v>47.32</v>
      </c>
      <c r="G8" s="298">
        <f>VLOOKUP($C8,'Raw - VDL'!$B:$F,5,FALSE)</f>
        <v>43.2</v>
      </c>
      <c r="H8" s="320">
        <f t="shared" ref="H8:H14" si="2">SUM(G8-D8)/D8</f>
        <v>-8.9376053962900409E-2</v>
      </c>
      <c r="I8" s="321">
        <f t="shared" ref="I8:I14" si="3">G8-D8</f>
        <v>-4.2399999999999949</v>
      </c>
      <c r="J8" s="322">
        <f t="shared" si="0"/>
        <v>-0.86574074074074081</v>
      </c>
      <c r="K8" s="301">
        <f t="shared" si="1"/>
        <v>-37.400000000000006</v>
      </c>
    </row>
    <row r="9" spans="2:12" ht="19.5" customHeight="1">
      <c r="B9" s="296" t="s">
        <v>249</v>
      </c>
      <c r="C9" s="296" t="s">
        <v>27</v>
      </c>
      <c r="D9" s="298">
        <f>VLOOKUP($C9,'Raw - VDL'!$B:$F,2,FALSE)</f>
        <v>951.01</v>
      </c>
      <c r="E9" s="298">
        <f>VLOOKUP($C9,'Raw - VDL'!$B:$F,3,FALSE)</f>
        <v>891.05</v>
      </c>
      <c r="F9" s="298">
        <f>VLOOKUP($C9,'Raw - VDL'!$B:$F,4,FALSE)</f>
        <v>859.27</v>
      </c>
      <c r="G9" s="298">
        <f>VLOOKUP($C9,'Raw - VDL'!$B:$F,5,FALSE)</f>
        <v>833.88</v>
      </c>
      <c r="H9" s="320">
        <f>SUM(G9-D9)/D9</f>
        <v>-0.12316379428186874</v>
      </c>
      <c r="I9" s="321">
        <f>G9-D9</f>
        <v>-117.13</v>
      </c>
      <c r="J9" s="322">
        <f t="shared" si="0"/>
        <v>-0.99304456276682507</v>
      </c>
      <c r="K9" s="301">
        <f t="shared" si="1"/>
        <v>-828.08</v>
      </c>
    </row>
    <row r="10" spans="2:12" ht="19.5" customHeight="1">
      <c r="B10" s="296" t="s">
        <v>249</v>
      </c>
      <c r="C10" s="296" t="s">
        <v>29</v>
      </c>
      <c r="D10" s="298">
        <f>VLOOKUP($C10,'Raw - VDL'!$B:$F,2,FALSE)</f>
        <v>156.01</v>
      </c>
      <c r="E10" s="298">
        <f>VLOOKUP($C10,'Raw - VDL'!$B:$F,3,FALSE)</f>
        <v>152.5</v>
      </c>
      <c r="F10" s="298">
        <f>VLOOKUP($C10,'Raw - VDL'!$B:$F,4,FALSE)</f>
        <v>147.66</v>
      </c>
      <c r="G10" s="298">
        <f>VLOOKUP($C10,'Raw - VDL'!$B:$F,5,FALSE)</f>
        <v>147.44999999999999</v>
      </c>
      <c r="H10" s="320">
        <f>SUM(G10-D10)/D10</f>
        <v>-5.4868277674508061E-2</v>
      </c>
      <c r="I10" s="321">
        <f>G10-D10</f>
        <v>-8.5600000000000023</v>
      </c>
      <c r="J10" s="322">
        <f t="shared" si="0"/>
        <v>-0.9606646320786707</v>
      </c>
      <c r="K10" s="301">
        <f t="shared" si="1"/>
        <v>-141.64999999999998</v>
      </c>
    </row>
    <row r="11" spans="2:12" ht="19.5" customHeight="1">
      <c r="B11" s="296" t="s">
        <v>249</v>
      </c>
      <c r="C11" s="296" t="s">
        <v>34</v>
      </c>
      <c r="D11" s="298">
        <f>VLOOKUP($C11,'Raw - VDL'!$B:$F,2,FALSE)</f>
        <v>1372.42</v>
      </c>
      <c r="E11" s="298">
        <f>VLOOKUP($C11,'Raw - VDL'!$B:$F,3,FALSE)</f>
        <v>1356.28</v>
      </c>
      <c r="F11" s="298">
        <f>VLOOKUP($C11,'Raw - VDL'!$B:$F,4,FALSE)</f>
        <v>1302.28</v>
      </c>
      <c r="G11" s="298">
        <f>VLOOKUP($C11,'Raw - VDL'!$B:$F,5,FALSE)</f>
        <v>1283.95</v>
      </c>
      <c r="H11" s="320">
        <f>SUM(G11-D11)/D11</f>
        <v>-6.4462773786450225E-2</v>
      </c>
      <c r="I11" s="321">
        <f>G11-D11</f>
        <v>-88.470000000000027</v>
      </c>
      <c r="J11" s="322">
        <f t="shared" si="0"/>
        <v>-0.99548269013590873</v>
      </c>
      <c r="K11" s="301">
        <f t="shared" si="1"/>
        <v>-1278.1500000000001</v>
      </c>
    </row>
    <row r="12" spans="2:12" ht="19.5" customHeight="1">
      <c r="B12" s="296" t="s">
        <v>249</v>
      </c>
      <c r="C12" s="296" t="s">
        <v>37</v>
      </c>
      <c r="D12" s="298">
        <f>VLOOKUP($C12,'Raw - VDL'!$B:$F,2,FALSE)</f>
        <v>246.7</v>
      </c>
      <c r="E12" s="298">
        <f>VLOOKUP($C12,'Raw - VDL'!$B:$F,3,FALSE)</f>
        <v>228.3</v>
      </c>
      <c r="F12" s="298">
        <f>VLOOKUP($C12,'Raw - VDL'!$B:$F,4,FALSE)</f>
        <v>253.82</v>
      </c>
      <c r="G12" s="298">
        <f>VLOOKUP($C12,'Raw - VDL'!$B:$F,5,FALSE)</f>
        <v>244.8</v>
      </c>
      <c r="H12" s="320">
        <f t="shared" si="2"/>
        <v>-7.7016619375759113E-3</v>
      </c>
      <c r="I12" s="321">
        <f t="shared" si="3"/>
        <v>-1.8999999999999773</v>
      </c>
      <c r="J12" s="322">
        <f t="shared" si="0"/>
        <v>-0.97630718954248363</v>
      </c>
      <c r="K12" s="301">
        <f t="shared" si="1"/>
        <v>-239</v>
      </c>
    </row>
    <row r="13" spans="2:12" ht="19.5" customHeight="1">
      <c r="B13" s="296" t="s">
        <v>249</v>
      </c>
      <c r="C13" s="296" t="s">
        <v>41</v>
      </c>
      <c r="D13" s="298">
        <f>VLOOKUP($C13,'Raw - VDL'!$B:$F,2,FALSE)</f>
        <v>368.35</v>
      </c>
      <c r="E13" s="298">
        <f>VLOOKUP($C13,'Raw - VDL'!$B:$F,3,FALSE)</f>
        <v>356.01</v>
      </c>
      <c r="F13" s="298">
        <f>VLOOKUP($C13,'Raw - VDL'!$B:$F,4,FALSE)</f>
        <v>362.82</v>
      </c>
      <c r="G13" s="298">
        <f>VLOOKUP($C13,'Raw - VDL'!$B:$F,5,FALSE)</f>
        <v>313.68</v>
      </c>
      <c r="H13" s="320">
        <f t="shared" si="2"/>
        <v>-0.14841862359169272</v>
      </c>
      <c r="I13" s="321">
        <f t="shared" si="3"/>
        <v>-54.670000000000016</v>
      </c>
      <c r="J13" s="322">
        <f t="shared" si="0"/>
        <v>-0.98150981892374389</v>
      </c>
      <c r="K13" s="301">
        <f t="shared" si="1"/>
        <v>-307.88</v>
      </c>
    </row>
    <row r="14" spans="2:12" ht="19.5" customHeight="1">
      <c r="B14" s="296" t="s">
        <v>249</v>
      </c>
      <c r="C14" s="296" t="s">
        <v>43</v>
      </c>
      <c r="D14" s="298">
        <f>VLOOKUP($C14,'Raw - VDL'!$B:$F,2,FALSE)</f>
        <v>162.84</v>
      </c>
      <c r="E14" s="298">
        <f>VLOOKUP($C14,'Raw - VDL'!$B:$F,3,FALSE)</f>
        <v>149.11000000000001</v>
      </c>
      <c r="F14" s="298">
        <f>VLOOKUP($C14,'Raw - VDL'!$B:$F,4,FALSE)</f>
        <v>149.93</v>
      </c>
      <c r="G14" s="298">
        <f>VLOOKUP($C14,'Raw - VDL'!$B:$F,5,FALSE)</f>
        <v>143.94</v>
      </c>
      <c r="H14" s="320">
        <f t="shared" si="2"/>
        <v>-0.1160648489314665</v>
      </c>
      <c r="I14" s="321">
        <f t="shared" si="3"/>
        <v>-18.900000000000006</v>
      </c>
      <c r="J14" s="322">
        <f t="shared" si="0"/>
        <v>-0.95970543281923015</v>
      </c>
      <c r="K14" s="301">
        <f t="shared" si="1"/>
        <v>-138.13999999999999</v>
      </c>
    </row>
    <row r="15" spans="2:12" ht="19.5" customHeight="1">
      <c r="B15" s="303"/>
      <c r="C15" s="303"/>
      <c r="D15" s="304"/>
      <c r="E15" s="304"/>
      <c r="F15" s="304"/>
      <c r="G15" s="304"/>
      <c r="H15" s="306"/>
      <c r="I15" s="306"/>
      <c r="J15" s="306"/>
      <c r="K15" s="306"/>
      <c r="L15" s="306"/>
    </row>
    <row r="16" spans="2:12" ht="19.5" customHeight="1">
      <c r="B16" s="307" t="s">
        <v>51</v>
      </c>
      <c r="C16" s="296" t="str">
        <f>INDEX('Raw - VDL'!B5:B37,MATCH(MIN('Raw - VDL'!F5:F37),'Raw - VDL'!F5:F37,0))</f>
        <v>Na h-Eileanan Siar</v>
      </c>
      <c r="D16" s="298">
        <f>VLOOKUP($C16,'Raw - VDL'!$B:$F,2,FALSE)</f>
        <v>7.9</v>
      </c>
      <c r="E16" s="298">
        <f>VLOOKUP($C16,'Raw - VDL'!$B:$F,3,FALSE)</f>
        <v>5.8</v>
      </c>
      <c r="F16" s="298">
        <f>VLOOKUP($C16,'Raw - VDL'!$B:$F,4,FALSE)</f>
        <v>5.8</v>
      </c>
      <c r="G16" s="298">
        <f>VLOOKUP($C16,'Raw - VDL'!$B:$F,5,FALSE)</f>
        <v>5.8</v>
      </c>
      <c r="H16" s="320">
        <f>SUM(G16-D16)/D16</f>
        <v>-0.26582278481012661</v>
      </c>
      <c r="I16" s="299">
        <f>G16-D16</f>
        <v>-2.1000000000000005</v>
      </c>
      <c r="J16" s="305"/>
    </row>
    <row r="17" spans="2:12" ht="19.5" customHeight="1">
      <c r="B17" s="307" t="s">
        <v>542</v>
      </c>
      <c r="C17" s="308" t="s">
        <v>546</v>
      </c>
      <c r="D17" s="298">
        <f>VLOOKUP($C17,'Raw - VDL'!$B:$F,2,FALSE)</f>
        <v>398.84000000000003</v>
      </c>
      <c r="E17" s="298">
        <f>VLOOKUP($C17,'Raw - VDL'!$B:$F,3,FALSE)</f>
        <v>393.18624999999997</v>
      </c>
      <c r="F17" s="298">
        <f>VLOOKUP($C17,'Raw - VDL'!$B:$F,4,FALSE)</f>
        <v>380.56250000000006</v>
      </c>
      <c r="G17" s="298">
        <f>VLOOKUP($C17,'Raw - VDL'!$B:$F,5,FALSE)</f>
        <v>373.15250000000003</v>
      </c>
      <c r="H17" s="320">
        <f>SUM(G17-D17)/D17</f>
        <v>-6.4405526025473864E-2</v>
      </c>
      <c r="I17" s="299">
        <f>G17-D17</f>
        <v>-25.6875</v>
      </c>
    </row>
    <row r="18" spans="2:12" ht="19.5" customHeight="1">
      <c r="B18" s="307" t="s">
        <v>250</v>
      </c>
      <c r="C18" s="296" t="s">
        <v>47</v>
      </c>
      <c r="D18" s="298">
        <f>VLOOKUP($C18,'Raw - VDL'!$B:$F,2,FALSE)</f>
        <v>3366.8700000000008</v>
      </c>
      <c r="E18" s="298">
        <f>VLOOKUP($C18,'Raw - VDL'!$B:$F,3,FALSE)</f>
        <v>3257.8500000000004</v>
      </c>
      <c r="F18" s="298">
        <f>VLOOKUP($C18,'Raw - VDL'!$B:$F,4,FALSE)</f>
        <v>3196.2799999999997</v>
      </c>
      <c r="G18" s="298">
        <f>VLOOKUP($C18,'Raw - VDL'!$B:$F,5,FALSE)</f>
        <v>3085.2000000000003</v>
      </c>
      <c r="H18" s="320">
        <f>SUM(G18-D18)/D18</f>
        <v>-8.3659303745021479E-2</v>
      </c>
      <c r="I18" s="299">
        <f>G18-D18</f>
        <v>-281.67000000000053</v>
      </c>
      <c r="J18" s="305"/>
    </row>
    <row r="19" spans="2:12" ht="19.5" customHeight="1">
      <c r="B19" s="307" t="s">
        <v>251</v>
      </c>
      <c r="C19" s="296" t="s">
        <v>45</v>
      </c>
      <c r="D19" s="298">
        <f>VLOOKUP($C19,'Raw - VDL'!$B:$F,2,FALSE)</f>
        <v>11559.45</v>
      </c>
      <c r="E19" s="298">
        <f>VLOOKUP($C19,'Raw - VDL'!$B:$F,3,FALSE)</f>
        <v>9756.06</v>
      </c>
      <c r="F19" s="298">
        <f>VLOOKUP($C19,'Raw - VDL'!$B:$F,4,FALSE)</f>
        <v>9473.31</v>
      </c>
      <c r="G19" s="298">
        <f>VLOOKUP($C19,'Raw - VDL'!$B:$F,5,FALSE)</f>
        <v>9111.4699999999993</v>
      </c>
      <c r="H19" s="320">
        <f>SUM(G19-D19)/D19</f>
        <v>-0.21177305148601372</v>
      </c>
      <c r="I19" s="299">
        <f>G19-D19</f>
        <v>-2447.9800000000014</v>
      </c>
      <c r="J19" s="305"/>
    </row>
    <row r="20" spans="2:12" ht="19.5" customHeight="1">
      <c r="B20" s="307" t="s">
        <v>251</v>
      </c>
      <c r="C20" s="296" t="s">
        <v>46</v>
      </c>
      <c r="D20" s="298" t="s">
        <v>69</v>
      </c>
      <c r="E20" s="298" t="s">
        <v>69</v>
      </c>
      <c r="F20" s="298" t="s">
        <v>69</v>
      </c>
      <c r="G20" s="298" t="s">
        <v>69</v>
      </c>
      <c r="H20" s="320" t="s">
        <v>69</v>
      </c>
      <c r="I20" s="299" t="s">
        <v>69</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93mh+8DGfH7QpL45Gxrn3RSs39dxkcIVtBiTnh8YaVAXJIpaMVFdp1lhdAtUmRAxaCLizY2DgTZW/EZ/jsGvpw==" saltValue="zZ+uWS3Bd2mzV+8jENf7EA==" spinCount="100000" sheet="1" objects="1" scenarios="1"/>
  <autoFilter ref="B6:K14" xr:uid="{00000000-0009-0000-0000-000024000000}"/>
  <mergeCells count="4">
    <mergeCell ref="J4:K4"/>
    <mergeCell ref="H5:I5"/>
    <mergeCell ref="J5:K5"/>
    <mergeCell ref="F2:G2"/>
  </mergeCells>
  <dataValidations disablePrompts="1" count="1">
    <dataValidation type="list" allowBlank="1" showInputMessage="1" showErrorMessage="1" sqref="C17" xr:uid="{00000000-0002-0000-2400-000000000000}">
      <formula1>IF(B17="LGBF Family Group 1",LGBF_5,IF(B17="LGBF Family Group 3",LGBF_7,IF(B17="LGBF Family Group 4",LGBF_8,LGBF_6)))</formula1>
    </dataValidation>
  </dataValidations>
  <hyperlinks>
    <hyperlink ref="C3" r:id="rId1" xr:uid="{00000000-0004-0000-2400-000000000000}"/>
    <hyperlink ref="F2:G2" location="'Index RAG'!A1" display="Return to Index RAG" xr:uid="{00000000-0004-0000-24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400-000002000000}">
          <x14:formula1>
            <xm:f>Lookups!$L$8:$O$8</xm:f>
          </x14:formula1>
          <xm:sqref>B17</xm:sqref>
        </x14:dataValidation>
        <x14:dataValidation type="list" allowBlank="1" showInputMessage="1" showErrorMessage="1" xr:uid="{DBA24BDF-E2BB-48B7-9009-92B835E39720}">
          <x14:formula1>
            <xm:f>Lookups!$B$9:$B$12</xm:f>
          </x14:formula1>
          <xm:sqref>J5:K5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sheetPr>
  <dimension ref="B2:M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3" width="14" style="251" customWidth="1"/>
    <col min="14" max="16384" width="9.1796875" style="251"/>
  </cols>
  <sheetData>
    <row r="2" spans="2:13" ht="13">
      <c r="B2" s="286" t="s">
        <v>48</v>
      </c>
      <c r="C2" s="287" t="s">
        <v>558</v>
      </c>
      <c r="F2" s="595" t="s">
        <v>507</v>
      </c>
      <c r="G2" s="596"/>
      <c r="H2" s="327"/>
    </row>
    <row r="3" spans="2:13" ht="13">
      <c r="B3" s="286" t="s">
        <v>49</v>
      </c>
      <c r="C3" s="288" t="s">
        <v>236</v>
      </c>
    </row>
    <row r="4" spans="2:13" ht="13">
      <c r="B4" s="287"/>
      <c r="C4" s="289" t="s">
        <v>478</v>
      </c>
      <c r="D4" s="290"/>
      <c r="K4" s="591" t="s">
        <v>52</v>
      </c>
      <c r="L4" s="591"/>
    </row>
    <row r="5" spans="2:13" ht="22" customHeight="1">
      <c r="C5" s="291"/>
      <c r="D5" s="292"/>
      <c r="E5" s="292"/>
      <c r="F5" s="292"/>
      <c r="G5" s="292"/>
      <c r="H5" s="292"/>
      <c r="I5" s="597" t="s">
        <v>50</v>
      </c>
      <c r="J5" s="598"/>
      <c r="K5" s="594" t="s">
        <v>51</v>
      </c>
      <c r="L5" s="594"/>
    </row>
    <row r="6" spans="2:13" ht="26.15" customHeight="1">
      <c r="B6" s="293" t="s">
        <v>271</v>
      </c>
      <c r="C6" s="293" t="s">
        <v>5</v>
      </c>
      <c r="D6" s="294">
        <v>2019</v>
      </c>
      <c r="E6" s="294">
        <v>2020</v>
      </c>
      <c r="F6" s="294">
        <v>2021</v>
      </c>
      <c r="G6" s="294">
        <v>2022</v>
      </c>
      <c r="H6" s="294" t="s">
        <v>587</v>
      </c>
      <c r="I6" s="295" t="s">
        <v>53</v>
      </c>
      <c r="J6" s="295" t="s">
        <v>54</v>
      </c>
      <c r="K6" s="295" t="s">
        <v>79</v>
      </c>
      <c r="L6" s="295" t="s">
        <v>57</v>
      </c>
    </row>
    <row r="7" spans="2:13" ht="19.5" customHeight="1">
      <c r="B7" s="296" t="s">
        <v>249</v>
      </c>
      <c r="C7" s="296" t="s">
        <v>22</v>
      </c>
      <c r="D7" s="297">
        <f>VLOOKUP($C7,'Raw - V&amp;DL %'!$A:$Q,4,FALSE)</f>
        <v>0.24528764044866547</v>
      </c>
      <c r="E7" s="297" t="str">
        <f>VLOOKUP($C7,'Raw - V&amp;DL %'!$A:$Q,8,FALSE)</f>
        <v>n/a</v>
      </c>
      <c r="F7" s="297">
        <f>VLOOKUP($C7,'Raw - V&amp;DL %'!$A:$Q,12,FALSE)</f>
        <v>0.24591947769314471</v>
      </c>
      <c r="G7" s="297">
        <f>VLOOKUP($C7,'Raw - V&amp;DL %'!$A:$Q,16,FALSE)</f>
        <v>0.24591947769314471</v>
      </c>
      <c r="H7" s="318">
        <f>VLOOKUP(C7,'Raw - V&amp;DL %'!A:Q,14,FALSE)</f>
        <v>42.94</v>
      </c>
      <c r="I7" s="299">
        <f>SUM(G7-D7)</f>
        <v>6.3183724447923861E-4</v>
      </c>
      <c r="J7" s="300">
        <f>SUM(VLOOKUP(C7,'Raw - V&amp;DL %'!A:Q,14,FALSE)-VLOOKUP(C7,'Raw - V&amp;DL %'!A:Q,2,FALSE))</f>
        <v>0.14000000000000057</v>
      </c>
      <c r="K7" s="301">
        <f t="shared" ref="K7:K14" si="0">IF(IF($K$5="LGBF FAMILY GROUP",SUM(G$17-G7),IF($K$5="Glasgow City Region",SUM(G$18-G7),IF($K$5="Scotland",SUM(G$19-G7),IF($K$5="United Kingdom",SUM(G$20-G7),SUM(G$16-G7)))))&gt;0,"",IF($K$5="LGBF FAMILY GROUP",SUM(G$17-G7),IF($K$5="Glasgow City Region",SUM(G$18-G7),IF($K$5="Scotland",SUM(G$19-G7),IF($K$5="United Kingdom",SUM(G$20-G7),SUM(G$16-G7))))))</f>
        <v>-0.24591947769314471</v>
      </c>
      <c r="L7" s="302">
        <f>IF(K7="","",IF($K$5="LGBF FAMILY GROUP",SUM(MROUND(SUM(SUM(VLOOKUP(C$17,'Raw - V&amp;DL %'!A:Q,16,FALSE)*VLOOKUP(C7,'Raw - V&amp;DL %'!A:Q,15,FALSE))/100),100)-MROUND(SUM(SUM(VLOOKUP(C7,'Raw - V&amp;DL %'!A:Q,16,FALSE)*VLOOKUP(C7,'Raw - V&amp;DL %'!A:Q,15,FALSE))/100),100)),IF($K$5="Glasgow City Region",SUM(MROUND(SUM(SUM(VLOOKUP(C$18,'Raw - V&amp;DL %'!A:Q,16,FALSE)*VLOOKUP(C7,'Raw - V&amp;DL %'!A:Q,15,FALSE))/100),100)-MROUND(SUM(SUM(VLOOKUP(C7,'Raw - V&amp;DL %'!A:Q,16,FALSE)*VLOOKUP(C7,'Raw - V&amp;DL %'!A:Q,15,FALSE))/100),100)),IF($K$5="Scotland",SUM(MROUND(SUM(SUM(VLOOKUP(C$19,'Raw - V&amp;DL %'!A:Q,16,FALSE)*VLOOKUP(C7,'Raw - V&amp;DL %'!A:Q,15,FALSE))/100),100)-MROUND(SUM(SUM(VLOOKUP(C7,'Raw - V&amp;DL %'!A:Q,16,FALSE)*VLOOKUP(C7,'Raw - V&amp;DL %'!A:Q,15,FALSE))/100),100)),IF($K$5="United Kingdom",SUM(MROUND(SUM(SUM(VLOOKUP(C$20,'Raw - V&amp;DL %'!A:Q,16,FALSE)*VLOOKUP(C7,'Raw - V&amp;DL %'!A:Q,15,FALSE))/100),100)-MROUND(SUM(SUM(VLOOKUP(C7,'Raw - V&amp;DL %'!A:Q,16,FALSE)*VLOOKUP(C7,'Raw - V&amp;DL %'!A:Q,15,FALSE))/100),100)),SUM(MROUND(SUM(SUM(VLOOKUP(C$16,'Raw - V&amp;DL %'!A:Q,16,FALSE)*VLOOKUP(C7,'Raw - V&amp;DL %'!A:Q,15,FALSE))/100),100)-MROUND(SUM(SUM(VLOOKUP(C7,'Raw - V&amp;DL %'!A:Q,16,FALSE)*VLOOKUP(C7,'Raw - V&amp;DL %'!A:Q,15,FALSE))/100),100)))))))</f>
        <v>0</v>
      </c>
    </row>
    <row r="8" spans="2:13" ht="19.5" customHeight="1">
      <c r="B8" s="296" t="s">
        <v>249</v>
      </c>
      <c r="C8" s="296" t="s">
        <v>24</v>
      </c>
      <c r="D8" s="297">
        <f>VLOOKUP($C8,'Raw - V&amp;DL %'!$A:$Q,4,FALSE)</f>
        <v>0.19391735378967251</v>
      </c>
      <c r="E8" s="297" t="str">
        <f>VLOOKUP($C8,'Raw - V&amp;DL %'!$A:$Q,8,FALSE)</f>
        <v>n/a</v>
      </c>
      <c r="F8" s="297">
        <f>VLOOKUP($C8,'Raw - V&amp;DL %'!$A:$Q,12,FALSE)</f>
        <v>0.18148339950514988</v>
      </c>
      <c r="G8" s="297">
        <f>VLOOKUP($C8,'Raw - V&amp;DL %'!$A:$Q,16,FALSE)</f>
        <v>0.18148339950514988</v>
      </c>
      <c r="H8" s="318">
        <f>VLOOKUP(C8,'Raw - V&amp;DL %'!A:Q,14,FALSE)</f>
        <v>31.8</v>
      </c>
      <c r="I8" s="299">
        <f t="shared" ref="I8:I19" si="1">SUM(G8-D8)</f>
        <v>-1.2433954284522625E-2</v>
      </c>
      <c r="J8" s="300">
        <f>SUM(VLOOKUP(C8,'Raw - V&amp;DL %'!A:Q,14,FALSE)-VLOOKUP(C8,'Raw - V&amp;DL %'!A:Q,2,FALSE))</f>
        <v>-1.9899999999999984</v>
      </c>
      <c r="K8" s="301">
        <f t="shared" si="0"/>
        <v>-0.18148339950514988</v>
      </c>
      <c r="L8" s="302">
        <f>IF(K8="","",IF($K$5="LGBF FAMILY GROUP",SUM(MROUND(SUM(SUM(VLOOKUP(C$17,'Raw - V&amp;DL %'!A:Q,16,FALSE)*VLOOKUP(C8,'Raw - V&amp;DL %'!A:Q,15,FALSE))/100),100)-MROUND(SUM(SUM(VLOOKUP(C8,'Raw - V&amp;DL %'!A:Q,16,FALSE)*VLOOKUP(C8,'Raw - V&amp;DL %'!A:Q,15,FALSE))/100),100)),IF($K$5="Glasgow City Region",SUM(MROUND(SUM(SUM(VLOOKUP(C$18,'Raw - V&amp;DL %'!A:Q,16,FALSE)*VLOOKUP(C8,'Raw - V&amp;DL %'!A:Q,15,FALSE))/100),100)-MROUND(SUM(SUM(VLOOKUP(C8,'Raw - V&amp;DL %'!A:Q,16,FALSE)*VLOOKUP(C8,'Raw - V&amp;DL %'!A:Q,15,FALSE))/100),100)),IF($K$5="Scotland",SUM(MROUND(SUM(SUM(VLOOKUP(C$19,'Raw - V&amp;DL %'!A:Q,16,FALSE)*VLOOKUP(C8,'Raw - V&amp;DL %'!A:Q,15,FALSE))/100),100)-MROUND(SUM(SUM(VLOOKUP(C8,'Raw - V&amp;DL %'!A:Q,16,FALSE)*VLOOKUP(C8,'Raw - V&amp;DL %'!A:Q,15,FALSE))/100),100)),IF($K$5="United Kingdom",SUM(MROUND(SUM(SUM(VLOOKUP(C$20,'Raw - V&amp;DL %'!A:Q,16,FALSE)*VLOOKUP(C8,'Raw - V&amp;DL %'!A:Q,15,FALSE))/100),100)-MROUND(SUM(SUM(VLOOKUP(C8,'Raw - V&amp;DL %'!A:Q,16,FALSE)*VLOOKUP(C8,'Raw - V&amp;DL %'!A:Q,15,FALSE))/100),100)),SUM(MROUND(SUM(SUM(VLOOKUP(C$16,'Raw - V&amp;DL %'!A:Q,16,FALSE)*VLOOKUP(C8,'Raw - V&amp;DL %'!A:Q,15,FALSE))/100),100)-MROUND(SUM(SUM(VLOOKUP(C8,'Raw - V&amp;DL %'!A:Q,16,FALSE)*VLOOKUP(C8,'Raw - V&amp;DL %'!A:Q,15,FALSE))/100),100)))))))</f>
        <v>0</v>
      </c>
    </row>
    <row r="9" spans="2:13" ht="19.5" customHeight="1">
      <c r="B9" s="296" t="s">
        <v>249</v>
      </c>
      <c r="C9" s="296" t="s">
        <v>27</v>
      </c>
      <c r="D9" s="297">
        <f>VLOOKUP($C9,'Raw - V&amp;DL %'!$A:$Q,4,FALSE)</f>
        <v>3.0076099489226276</v>
      </c>
      <c r="E9" s="297" t="str">
        <f>VLOOKUP($C9,'Raw - V&amp;DL %'!$A:$Q,8,FALSE)</f>
        <v>n/a</v>
      </c>
      <c r="F9" s="297">
        <f>VLOOKUP($C9,'Raw - V&amp;DL %'!$A:$Q,12,FALSE)</f>
        <v>2.9349658314350795</v>
      </c>
      <c r="G9" s="297">
        <f>VLOOKUP($C9,'Raw - V&amp;DL %'!$A:$Q,16,FALSE)</f>
        <v>2.9349658314350795</v>
      </c>
      <c r="H9" s="318">
        <f>VLOOKUP(C9,'Raw - V&amp;DL %'!A:Q,14,FALSE)</f>
        <v>497.18</v>
      </c>
      <c r="I9" s="299">
        <f t="shared" si="1"/>
        <v>-7.2644117487548066E-2</v>
      </c>
      <c r="J9" s="300">
        <f>SUM(VLOOKUP(C9,'Raw - V&amp;DL %'!A:Q,14,FALSE)-VLOOKUP(C9,'Raw - V&amp;DL %'!A:Q,2,FALSE))</f>
        <v>-33.229999999999961</v>
      </c>
      <c r="K9" s="301">
        <f t="shared" si="0"/>
        <v>-2.9349658314350795</v>
      </c>
      <c r="L9" s="302">
        <f>IF(K9="","",IF($K$5="LGBF FAMILY GROUP",SUM(MROUND(SUM(SUM(VLOOKUP(C$17,'Raw - V&amp;DL %'!A:Q,16,FALSE)*VLOOKUP(C9,'Raw - V&amp;DL %'!A:Q,15,FALSE))/100),100)-MROUND(SUM(SUM(VLOOKUP(C9,'Raw - V&amp;DL %'!A:Q,16,FALSE)*VLOOKUP(C9,'Raw - V&amp;DL %'!A:Q,15,FALSE))/100),100)),IF($K$5="Glasgow City Region",SUM(MROUND(SUM(SUM(VLOOKUP(C$18,'Raw - V&amp;DL %'!A:Q,16,FALSE)*VLOOKUP(C9,'Raw - V&amp;DL %'!A:Q,15,FALSE))/100),100)-MROUND(SUM(SUM(VLOOKUP(C9,'Raw - V&amp;DL %'!A:Q,16,FALSE)*VLOOKUP(C9,'Raw - V&amp;DL %'!A:Q,15,FALSE))/100),100)),IF($K$5="Scotland",SUM(MROUND(SUM(SUM(VLOOKUP(C$19,'Raw - V&amp;DL %'!A:Q,16,FALSE)*VLOOKUP(C9,'Raw - V&amp;DL %'!A:Q,15,FALSE))/100),100)-MROUND(SUM(SUM(VLOOKUP(C9,'Raw - V&amp;DL %'!A:Q,16,FALSE)*VLOOKUP(C9,'Raw - V&amp;DL %'!A:Q,15,FALSE))/100),100)),IF($K$5="United Kingdom",SUM(MROUND(SUM(SUM(VLOOKUP(C$20,'Raw - V&amp;DL %'!A:Q,16,FALSE)*VLOOKUP(C9,'Raw - V&amp;DL %'!A:Q,15,FALSE))/100),100)-MROUND(SUM(SUM(VLOOKUP(C9,'Raw - V&amp;DL %'!A:Q,16,FALSE)*VLOOKUP(C9,'Raw - V&amp;DL %'!A:Q,15,FALSE))/100),100)),SUM(MROUND(SUM(SUM(VLOOKUP(C$16,'Raw - V&amp;DL %'!A:Q,16,FALSE)*VLOOKUP(C9,'Raw - V&amp;DL %'!A:Q,15,FALSE))/100),100)-MROUND(SUM(SUM(VLOOKUP(C9,'Raw - V&amp;DL %'!A:Q,16,FALSE)*VLOOKUP(C9,'Raw - V&amp;DL %'!A:Q,15,FALSE))/100),100)))))))</f>
        <v>-500</v>
      </c>
    </row>
    <row r="10" spans="2:13" ht="19.5" customHeight="1">
      <c r="B10" s="296" t="s">
        <v>249</v>
      </c>
      <c r="C10" s="296" t="s">
        <v>29</v>
      </c>
      <c r="D10" s="297">
        <f>VLOOKUP($C10,'Raw - V&amp;DL %'!$A:$Q,4,FALSE)</f>
        <v>0.33699031079422409</v>
      </c>
      <c r="E10" s="297" t="str">
        <f>VLOOKUP($C10,'Raw - V&amp;DL %'!$A:$Q,8,FALSE)</f>
        <v>n/a</v>
      </c>
      <c r="F10" s="297">
        <f>VLOOKUP($C10,'Raw - V&amp;DL %'!$A:$Q,12,FALSE)</f>
        <v>0.33493856887077855</v>
      </c>
      <c r="G10" s="297">
        <f>VLOOKUP($C10,'Raw - V&amp;DL %'!$A:$Q,16,FALSE)</f>
        <v>0.33493856887077855</v>
      </c>
      <c r="H10" s="318">
        <f>VLOOKUP(C10,'Raw - V&amp;DL %'!A:Q,14,FALSE)</f>
        <v>116.41</v>
      </c>
      <c r="I10" s="299">
        <f t="shared" si="1"/>
        <v>-2.0517419234455381E-3</v>
      </c>
      <c r="J10" s="300">
        <f>SUM(VLOOKUP(C10,'Raw - V&amp;DL %'!A:Q,14,FALSE)-VLOOKUP(C10,'Raw - V&amp;DL %'!A:Q,2,FALSE))</f>
        <v>57.9</v>
      </c>
      <c r="K10" s="301">
        <f t="shared" si="0"/>
        <v>-0.33493856887077855</v>
      </c>
      <c r="L10" s="302">
        <f>IF(K10="","",IF($K$5="LGBF FAMILY GROUP",SUM(MROUND(SUM(SUM(VLOOKUP(C$17,'Raw - V&amp;DL %'!A:Q,16,FALSE)*VLOOKUP(C10,'Raw - V&amp;DL %'!A:Q,15,FALSE))/100),100)-MROUND(SUM(SUM(VLOOKUP(C10,'Raw - V&amp;DL %'!A:Q,16,FALSE)*VLOOKUP(C10,'Raw - V&amp;DL %'!A:Q,15,FALSE))/100),100)),IF($K$5="Glasgow City Region",SUM(MROUND(SUM(SUM(VLOOKUP(C$18,'Raw - V&amp;DL %'!A:Q,16,FALSE)*VLOOKUP(C10,'Raw - V&amp;DL %'!A:Q,15,FALSE))/100),100)-MROUND(SUM(SUM(VLOOKUP(C10,'Raw - V&amp;DL %'!A:Q,16,FALSE)*VLOOKUP(C10,'Raw - V&amp;DL %'!A:Q,15,FALSE))/100),100)),IF($K$5="Scotland",SUM(MROUND(SUM(SUM(VLOOKUP(C$19,'Raw - V&amp;DL %'!A:Q,16,FALSE)*VLOOKUP(C10,'Raw - V&amp;DL %'!A:Q,15,FALSE))/100),100)-MROUND(SUM(SUM(VLOOKUP(C10,'Raw - V&amp;DL %'!A:Q,16,FALSE)*VLOOKUP(C10,'Raw - V&amp;DL %'!A:Q,15,FALSE))/100),100)),IF($K$5="United Kingdom",SUM(MROUND(SUM(SUM(VLOOKUP(C$20,'Raw - V&amp;DL %'!A:Q,16,FALSE)*VLOOKUP(C10,'Raw - V&amp;DL %'!A:Q,15,FALSE))/100),100)-MROUND(SUM(SUM(VLOOKUP(C10,'Raw - V&amp;DL %'!A:Q,16,FALSE)*VLOOKUP(C10,'Raw - V&amp;DL %'!A:Q,15,FALSE))/100),100)),SUM(MROUND(SUM(SUM(VLOOKUP(C$16,'Raw - V&amp;DL %'!A:Q,16,FALSE)*VLOOKUP(C10,'Raw - V&amp;DL %'!A:Q,15,FALSE))/100),100)-MROUND(SUM(SUM(VLOOKUP(C10,'Raw - V&amp;DL %'!A:Q,16,FALSE)*VLOOKUP(C10,'Raw - V&amp;DL %'!A:Q,15,FALSE))/100),100)))))))</f>
        <v>-100</v>
      </c>
    </row>
    <row r="11" spans="2:13" ht="19.5" customHeight="1">
      <c r="B11" s="296" t="s">
        <v>249</v>
      </c>
      <c r="C11" s="296" t="s">
        <v>34</v>
      </c>
      <c r="D11" s="297">
        <f>VLOOKUP($C11,'Raw - V&amp;DL %'!$A:$Q,4,FALSE)</f>
        <v>2.5792855813824285</v>
      </c>
      <c r="E11" s="297" t="str">
        <f>VLOOKUP($C11,'Raw - V&amp;DL %'!$A:$Q,8,FALSE)</f>
        <v>n/a</v>
      </c>
      <c r="F11" s="297">
        <f>VLOOKUP($C11,'Raw - V&amp;DL %'!$A:$Q,12,FALSE)</f>
        <v>2.5499332810878359</v>
      </c>
      <c r="G11" s="297">
        <f>VLOOKUP($C11,'Raw - V&amp;DL %'!$A:$Q,16,FALSE)</f>
        <v>2.5499332810878359</v>
      </c>
      <c r="H11" s="318">
        <f>VLOOKUP(C11,'Raw - V&amp;DL %'!A:Q,14,FALSE)</f>
        <v>1156.69</v>
      </c>
      <c r="I11" s="299">
        <f t="shared" si="1"/>
        <v>-2.935230029459257E-2</v>
      </c>
      <c r="J11" s="300">
        <f>SUM(VLOOKUP(C11,'Raw - V&amp;DL %'!A:Q,14,FALSE)-VLOOKUP(C11,'Raw - V&amp;DL %'!A:Q,2,FALSE))</f>
        <v>-61.529999999999973</v>
      </c>
      <c r="K11" s="301">
        <f t="shared" si="0"/>
        <v>-2.5499332810878359</v>
      </c>
      <c r="L11" s="302">
        <f>IF(K11="","",IF($K$5="LGBF FAMILY GROUP",SUM(MROUND(SUM(SUM(VLOOKUP(C$17,'Raw - V&amp;DL %'!A:Q,16,FALSE)*VLOOKUP(C11,'Raw - V&amp;DL %'!A:Q,15,FALSE))/100),100)-MROUND(SUM(SUM(VLOOKUP(C11,'Raw - V&amp;DL %'!A:Q,16,FALSE)*VLOOKUP(C11,'Raw - V&amp;DL %'!A:Q,15,FALSE))/100),100)),IF($K$5="Glasgow City Region",SUM(MROUND(SUM(SUM(VLOOKUP(C$18,'Raw - V&amp;DL %'!A:Q,16,FALSE)*VLOOKUP(C11,'Raw - V&amp;DL %'!A:Q,15,FALSE))/100),100)-MROUND(SUM(SUM(VLOOKUP(C11,'Raw - V&amp;DL %'!A:Q,16,FALSE)*VLOOKUP(C11,'Raw - V&amp;DL %'!A:Q,15,FALSE))/100),100)),IF($K$5="Scotland",SUM(MROUND(SUM(SUM(VLOOKUP(C$19,'Raw - V&amp;DL %'!A:Q,16,FALSE)*VLOOKUP(C11,'Raw - V&amp;DL %'!A:Q,15,FALSE))/100),100)-MROUND(SUM(SUM(VLOOKUP(C11,'Raw - V&amp;DL %'!A:Q,16,FALSE)*VLOOKUP(C11,'Raw - V&amp;DL %'!A:Q,15,FALSE))/100),100)),IF($K$5="United Kingdom",SUM(MROUND(SUM(SUM(VLOOKUP(C$20,'Raw - V&amp;DL %'!A:Q,16,FALSE)*VLOOKUP(C11,'Raw - V&amp;DL %'!A:Q,15,FALSE))/100),100)-MROUND(SUM(SUM(VLOOKUP(C11,'Raw - V&amp;DL %'!A:Q,16,FALSE)*VLOOKUP(C11,'Raw - V&amp;DL %'!A:Q,15,FALSE))/100),100)),SUM(MROUND(SUM(SUM(VLOOKUP(C$16,'Raw - V&amp;DL %'!A:Q,16,FALSE)*VLOOKUP(C11,'Raw - V&amp;DL %'!A:Q,15,FALSE))/100),100)-MROUND(SUM(SUM(VLOOKUP(C11,'Raw - V&amp;DL %'!A:Q,16,FALSE)*VLOOKUP(C11,'Raw - V&amp;DL %'!A:Q,15,FALSE))/100),100)))))))</f>
        <v>-1200</v>
      </c>
    </row>
    <row r="12" spans="2:13" ht="19.5" customHeight="1">
      <c r="B12" s="296" t="s">
        <v>249</v>
      </c>
      <c r="C12" s="296" t="s">
        <v>37</v>
      </c>
      <c r="D12" s="297">
        <f>VLOOKUP($C12,'Raw - V&amp;DL %'!$A:$Q,4,FALSE)</f>
        <v>0.55222188712210252</v>
      </c>
      <c r="E12" s="297" t="str">
        <f>VLOOKUP($C12,'Raw - V&amp;DL %'!$A:$Q,8,FALSE)</f>
        <v>n/a</v>
      </c>
      <c r="F12" s="297">
        <f>VLOOKUP($C12,'Raw - V&amp;DL %'!$A:$Q,12,FALSE)</f>
        <v>0.48940240263218304</v>
      </c>
      <c r="G12" s="297">
        <f>VLOOKUP($C12,'Raw - V&amp;DL %'!$A:$Q,16,FALSE)</f>
        <v>0.48940240263218304</v>
      </c>
      <c r="H12" s="318">
        <f>VLOOKUP(C12,'Raw - V&amp;DL %'!A:Q,14,FALSE)</f>
        <v>110.05</v>
      </c>
      <c r="I12" s="299">
        <f t="shared" si="1"/>
        <v>-6.2819484489919475E-2</v>
      </c>
      <c r="J12" s="300">
        <f>SUM(VLOOKUP(C12,'Raw - V&amp;DL %'!A:Q,14,FALSE)-VLOOKUP(C12,'Raw - V&amp;DL %'!A:Q,2,FALSE))</f>
        <v>-38.63000000000001</v>
      </c>
      <c r="K12" s="301">
        <f t="shared" si="0"/>
        <v>-0.48940240263218304</v>
      </c>
      <c r="L12" s="302">
        <f>IF(K12="","",IF($K$5="LGBF FAMILY GROUP",SUM(MROUND(SUM(SUM(VLOOKUP(C$17,'Raw - V&amp;DL %'!A:Q,16,FALSE)*VLOOKUP(C12,'Raw - V&amp;DL %'!A:Q,15,FALSE))/100),100)-MROUND(SUM(SUM(VLOOKUP(C12,'Raw - V&amp;DL %'!A:Q,16,FALSE)*VLOOKUP(C12,'Raw - V&amp;DL %'!A:Q,15,FALSE))/100),100)),IF($K$5="Glasgow City Region",SUM(MROUND(SUM(SUM(VLOOKUP(C$18,'Raw - V&amp;DL %'!A:Q,16,FALSE)*VLOOKUP(C12,'Raw - V&amp;DL %'!A:Q,15,FALSE))/100),100)-MROUND(SUM(SUM(VLOOKUP(C12,'Raw - V&amp;DL %'!A:Q,16,FALSE)*VLOOKUP(C12,'Raw - V&amp;DL %'!A:Q,15,FALSE))/100),100)),IF($K$5="Scotland",SUM(MROUND(SUM(SUM(VLOOKUP(C$19,'Raw - V&amp;DL %'!A:Q,16,FALSE)*VLOOKUP(C12,'Raw - V&amp;DL %'!A:Q,15,FALSE))/100),100)-MROUND(SUM(SUM(VLOOKUP(C12,'Raw - V&amp;DL %'!A:Q,16,FALSE)*VLOOKUP(C12,'Raw - V&amp;DL %'!A:Q,15,FALSE))/100),100)),IF($K$5="United Kingdom",SUM(MROUND(SUM(SUM(VLOOKUP(C$20,'Raw - V&amp;DL %'!A:Q,16,FALSE)*VLOOKUP(C12,'Raw - V&amp;DL %'!A:Q,15,FALSE))/100),100)-MROUND(SUM(SUM(VLOOKUP(C12,'Raw - V&amp;DL %'!A:Q,16,FALSE)*VLOOKUP(C12,'Raw - V&amp;DL %'!A:Q,15,FALSE))/100),100)),SUM(MROUND(SUM(SUM(VLOOKUP(C$16,'Raw - V&amp;DL %'!A:Q,16,FALSE)*VLOOKUP(C12,'Raw - V&amp;DL %'!A:Q,15,FALSE))/100),100)-MROUND(SUM(SUM(VLOOKUP(C12,'Raw - V&amp;DL %'!A:Q,16,FALSE)*VLOOKUP(C12,'Raw - V&amp;DL %'!A:Q,15,FALSE))/100),100)))))))</f>
        <v>-100</v>
      </c>
    </row>
    <row r="13" spans="2:13" ht="19.5" customHeight="1">
      <c r="B13" s="296" t="s">
        <v>249</v>
      </c>
      <c r="C13" s="296" t="s">
        <v>41</v>
      </c>
      <c r="D13" s="297">
        <f>VLOOKUP($C13,'Raw - V&amp;DL %'!$A:$Q,4,FALSE)</f>
        <v>0.16379162118457391</v>
      </c>
      <c r="E13" s="297" t="str">
        <f>VLOOKUP($C13,'Raw - V&amp;DL %'!$A:$Q,8,FALSE)</f>
        <v>n/a</v>
      </c>
      <c r="F13" s="297">
        <f>VLOOKUP($C13,'Raw - V&amp;DL %'!$A:$Q,12,FALSE)</f>
        <v>0.1539376447974386</v>
      </c>
      <c r="G13" s="297">
        <f>VLOOKUP($C13,'Raw - V&amp;DL %'!$A:$Q,16,FALSE)</f>
        <v>0.1539376447974386</v>
      </c>
      <c r="H13" s="318">
        <f>VLOOKUP(C13,'Raw - V&amp;DL %'!A:Q,14,FALSE)</f>
        <v>260</v>
      </c>
      <c r="I13" s="299">
        <f t="shared" si="1"/>
        <v>-9.8539763871353103E-3</v>
      </c>
      <c r="J13" s="300">
        <f>SUM(VLOOKUP(C13,'Raw - V&amp;DL %'!A:Q,14,FALSE)-VLOOKUP(C13,'Raw - V&amp;DL %'!A:Q,2,FALSE))</f>
        <v>-30.569999999999993</v>
      </c>
      <c r="K13" s="301">
        <f t="shared" si="0"/>
        <v>-0.1539376447974386</v>
      </c>
      <c r="L13" s="302">
        <f>IF(K13="","",IF($K$5="LGBF FAMILY GROUP",SUM(MROUND(SUM(SUM(VLOOKUP(C$17,'Raw - V&amp;DL %'!A:Q,16,FALSE)*VLOOKUP(C13,'Raw - V&amp;DL %'!A:Q,15,FALSE))/100),100)-MROUND(SUM(SUM(VLOOKUP(C13,'Raw - V&amp;DL %'!A:Q,16,FALSE)*VLOOKUP(C13,'Raw - V&amp;DL %'!A:Q,15,FALSE))/100),100)),IF($K$5="Glasgow City Region",SUM(MROUND(SUM(SUM(VLOOKUP(C$18,'Raw - V&amp;DL %'!A:Q,16,FALSE)*VLOOKUP(C13,'Raw - V&amp;DL %'!A:Q,15,FALSE))/100),100)-MROUND(SUM(SUM(VLOOKUP(C13,'Raw - V&amp;DL %'!A:Q,16,FALSE)*VLOOKUP(C13,'Raw - V&amp;DL %'!A:Q,15,FALSE))/100),100)),IF($K$5="Scotland",SUM(MROUND(SUM(SUM(VLOOKUP(C$19,'Raw - V&amp;DL %'!A:Q,16,FALSE)*VLOOKUP(C13,'Raw - V&amp;DL %'!A:Q,15,FALSE))/100),100)-MROUND(SUM(SUM(VLOOKUP(C13,'Raw - V&amp;DL %'!A:Q,16,FALSE)*VLOOKUP(C13,'Raw - V&amp;DL %'!A:Q,15,FALSE))/100),100)),IF($K$5="United Kingdom",SUM(MROUND(SUM(SUM(VLOOKUP(C$20,'Raw - V&amp;DL %'!A:Q,16,FALSE)*VLOOKUP(C13,'Raw - V&amp;DL %'!A:Q,15,FALSE))/100),100)-MROUND(SUM(SUM(VLOOKUP(C13,'Raw - V&amp;DL %'!A:Q,16,FALSE)*VLOOKUP(C13,'Raw - V&amp;DL %'!A:Q,15,FALSE))/100),100)),SUM(MROUND(SUM(SUM(VLOOKUP(C$16,'Raw - V&amp;DL %'!A:Q,16,FALSE)*VLOOKUP(C13,'Raw - V&amp;DL %'!A:Q,15,FALSE))/100),100)-MROUND(SUM(SUM(VLOOKUP(C13,'Raw - V&amp;DL %'!A:Q,16,FALSE)*VLOOKUP(C13,'Raw - V&amp;DL %'!A:Q,15,FALSE))/100),100)))))))</f>
        <v>-300</v>
      </c>
    </row>
    <row r="14" spans="2:13" ht="19.5" customHeight="1">
      <c r="B14" s="296" t="s">
        <v>249</v>
      </c>
      <c r="C14" s="296" t="s">
        <v>43</v>
      </c>
      <c r="D14" s="297">
        <f>VLOOKUP($C14,'Raw - V&amp;DL %'!$A:$Q,4,FALSE)</f>
        <v>0.80948451494310281</v>
      </c>
      <c r="E14" s="297" t="str">
        <f>VLOOKUP($C14,'Raw - V&amp;DL %'!$A:$Q,8,FALSE)</f>
        <v>n/a</v>
      </c>
      <c r="F14" s="297">
        <f>VLOOKUP($C14,'Raw - V&amp;DL %'!$A:$Q,12,FALSE)</f>
        <v>0.75366403607666277</v>
      </c>
      <c r="G14" s="297">
        <f>VLOOKUP($C14,'Raw - V&amp;DL %'!$A:$Q,16,FALSE)</f>
        <v>0.75366403607666277</v>
      </c>
      <c r="H14" s="318">
        <f>VLOOKUP(C14,'Raw - V&amp;DL %'!A:Q,14,FALSE)</f>
        <v>134.03</v>
      </c>
      <c r="I14" s="299">
        <f t="shared" si="1"/>
        <v>-5.5820478866440038E-2</v>
      </c>
      <c r="J14" s="300">
        <f>SUM(VLOOKUP(C14,'Raw - V&amp;DL %'!A:Q,14,FALSE)-VLOOKUP(C14,'Raw - V&amp;DL %'!A:Q,2,FALSE))</f>
        <v>-13.930000000000007</v>
      </c>
      <c r="K14" s="301">
        <f t="shared" si="0"/>
        <v>-0.75366403607666277</v>
      </c>
      <c r="L14" s="302">
        <f>IF(K14="","",IF($K$5="LGBF FAMILY GROUP",SUM(MROUND(SUM(SUM(VLOOKUP(C$17,'Raw - V&amp;DL %'!A:Q,16,FALSE)*VLOOKUP(C14,'Raw - V&amp;DL %'!A:Q,15,FALSE))/100),100)-MROUND(SUM(SUM(VLOOKUP(C14,'Raw - V&amp;DL %'!A:Q,16,FALSE)*VLOOKUP(C14,'Raw - V&amp;DL %'!A:Q,15,FALSE))/100),100)),IF($K$5="Glasgow City Region",SUM(MROUND(SUM(SUM(VLOOKUP(C$18,'Raw - V&amp;DL %'!A:Q,16,FALSE)*VLOOKUP(C14,'Raw - V&amp;DL %'!A:Q,15,FALSE))/100),100)-MROUND(SUM(SUM(VLOOKUP(C14,'Raw - V&amp;DL %'!A:Q,16,FALSE)*VLOOKUP(C14,'Raw - V&amp;DL %'!A:Q,15,FALSE))/100),100)),IF($K$5="Scotland",SUM(MROUND(SUM(SUM(VLOOKUP(C$19,'Raw - V&amp;DL %'!A:Q,16,FALSE)*VLOOKUP(C14,'Raw - V&amp;DL %'!A:Q,15,FALSE))/100),100)-MROUND(SUM(SUM(VLOOKUP(C14,'Raw - V&amp;DL %'!A:Q,16,FALSE)*VLOOKUP(C14,'Raw - V&amp;DL %'!A:Q,15,FALSE))/100),100)),IF($K$5="United Kingdom",SUM(MROUND(SUM(SUM(VLOOKUP(C$20,'Raw - V&amp;DL %'!A:Q,16,FALSE)*VLOOKUP(C14,'Raw - V&amp;DL %'!A:Q,15,FALSE))/100),100)-MROUND(SUM(SUM(VLOOKUP(C14,'Raw - V&amp;DL %'!A:Q,16,FALSE)*VLOOKUP(C14,'Raw - V&amp;DL %'!A:Q,15,FALSE))/100),100)),SUM(MROUND(SUM(SUM(VLOOKUP(C$16,'Raw - V&amp;DL %'!A:Q,16,FALSE)*VLOOKUP(C14,'Raw - V&amp;DL %'!A:Q,15,FALSE))/100),100)-MROUND(SUM(SUM(VLOOKUP(C14,'Raw - V&amp;DL %'!A:Q,16,FALSE)*VLOOKUP(C14,'Raw - V&amp;DL %'!A:Q,15,FALSE))/100),100)))))))</f>
        <v>-100</v>
      </c>
    </row>
    <row r="15" spans="2:13" ht="19.5" customHeight="1">
      <c r="B15" s="303"/>
      <c r="C15" s="303"/>
      <c r="D15" s="304"/>
      <c r="E15" s="304"/>
      <c r="F15" s="304"/>
      <c r="G15" s="304"/>
      <c r="H15" s="304"/>
      <c r="I15" s="306"/>
      <c r="J15" s="306"/>
      <c r="K15" s="306"/>
      <c r="L15" s="306"/>
      <c r="M15" s="306"/>
    </row>
    <row r="16" spans="2:13" ht="19.5" customHeight="1">
      <c r="B16" s="307" t="s">
        <v>51</v>
      </c>
      <c r="C16" s="296" t="str">
        <f>INDEX('Raw - VDL'!B5:B37,MATCH(MIN('Raw - VDL'!F5:F37),'Raw - VDL'!F5:F37,0))</f>
        <v>Na h-Eileanan Siar</v>
      </c>
      <c r="D16" s="297">
        <f>VLOOKUP($C16,'Raw - V&amp;DL %'!$A:$Q,4,FALSE)</f>
        <v>4.5892985762866849E-5</v>
      </c>
      <c r="E16" s="297" t="str">
        <f>VLOOKUP($C16,'Raw - V&amp;DL %'!$A:$Q,8,FALSE)</f>
        <v>n/a</v>
      </c>
      <c r="F16" s="297">
        <f>VLOOKUP($C16,'Raw - V&amp;DL %'!$A:$Q,12,FALSE)</f>
        <v>0</v>
      </c>
      <c r="G16" s="297">
        <f>MIN('Raw - V&amp;DL %'!P9:P41)</f>
        <v>0</v>
      </c>
      <c r="H16" s="318">
        <f>VLOOKUP(C16,'Raw - V&amp;DL %'!A:Q,14,FALSE)</f>
        <v>0</v>
      </c>
      <c r="I16" s="299">
        <f t="shared" si="1"/>
        <v>-4.5892985762866849E-5</v>
      </c>
      <c r="J16" s="300">
        <f>SUM(VLOOKUP(C16,'Raw - V&amp;DL %'!A:Q,14,FALSE)-VLOOKUP(C16,'Raw - V&amp;DL %'!A:Q,2,FALSE))</f>
        <v>-0.15</v>
      </c>
    </row>
    <row r="17" spans="2:13" ht="19.5" customHeight="1">
      <c r="B17" s="307" t="s">
        <v>542</v>
      </c>
      <c r="C17" s="308" t="s">
        <v>546</v>
      </c>
      <c r="D17" s="297">
        <f>VLOOKUP($C17,'Raw - V&amp;DL %'!$A:$Q,4,FALSE)</f>
        <v>1.2069453079582186</v>
      </c>
      <c r="E17" s="297" t="str">
        <f>VLOOKUP($C17,'Raw - V&amp;DL %'!$A:$Q,8,FALSE)</f>
        <v>n/a</v>
      </c>
      <c r="F17" s="297">
        <f>VLOOKUP($C17,'Raw - V&amp;DL %'!$A:$Q,12,FALSE)</f>
        <v>1.2138071560669319</v>
      </c>
      <c r="G17" s="297">
        <f>VLOOKUP($C17,'Raw - V&amp;DL %'!$A:$Q,16,FALSE)</f>
        <v>1.2084916003145039</v>
      </c>
      <c r="H17" s="318">
        <f>VLOOKUP(C17,'Raw - V&amp;DL %'!A:Q,14,FALSE)</f>
        <v>2182.5600000000004</v>
      </c>
      <c r="I17" s="299">
        <f t="shared" si="1"/>
        <v>1.5462923562852282E-3</v>
      </c>
      <c r="J17" s="300">
        <f>SUM(VLOOKUP(C17,'Raw - V&amp;DL %'!A:Q,14,FALSE)-VLOOKUP(C17,'Raw - V&amp;DL %'!A:Q,2,FALSE))</f>
        <v>-64.4399999999996</v>
      </c>
    </row>
    <row r="18" spans="2:13" ht="19.5" customHeight="1">
      <c r="B18" s="307" t="s">
        <v>250</v>
      </c>
      <c r="C18" s="296" t="s">
        <v>47</v>
      </c>
      <c r="D18" s="297">
        <f>VLOOKUP($C18,'Raw - V&amp;DL %'!$A:$Q,4,FALSE)</f>
        <v>0.72737309172891951</v>
      </c>
      <c r="E18" s="297" t="str">
        <f>VLOOKUP($C18,'Raw - V&amp;DL %'!$A:$Q,8,FALSE)</f>
        <v>n/a</v>
      </c>
      <c r="F18" s="297">
        <f>VLOOKUP($C18,'Raw - V&amp;DL %'!$A:$Q,12,FALSE)</f>
        <v>0.72737309172891951</v>
      </c>
      <c r="G18" s="297">
        <f>VLOOKUP($C18,'Raw - V&amp;DL %'!$A:$Q,16,FALSE)</f>
        <v>0.72737309172891951</v>
      </c>
      <c r="H18" s="318">
        <f>VLOOKUP(C18,'Raw - V&amp;DL %'!A:Q,14,FALSE)</f>
        <v>2349.1000000000004</v>
      </c>
      <c r="I18" s="299">
        <f t="shared" si="1"/>
        <v>0</v>
      </c>
      <c r="J18" s="300">
        <f>SUM(VLOOKUP(C18,'Raw - V&amp;DL %'!A:Q,14,FALSE)-VLOOKUP(C18,'Raw - V&amp;DL %'!A:Q,2,FALSE))</f>
        <v>-121.83999999999969</v>
      </c>
    </row>
    <row r="19" spans="2:13" ht="19.5" customHeight="1">
      <c r="B19" s="307" t="s">
        <v>251</v>
      </c>
      <c r="C19" s="296" t="s">
        <v>45</v>
      </c>
      <c r="D19" s="297">
        <f>VLOOKUP($C19,'Raw - V&amp;DL %'!$A:$Q,4,FALSE)</f>
        <v>0.10799760902320901</v>
      </c>
      <c r="E19" s="297" t="str">
        <f>VLOOKUP($C19,'Raw - V&amp;DL %'!$A:$Q,8,FALSE)</f>
        <v>n/a</v>
      </c>
      <c r="F19" s="297">
        <f>VLOOKUP($C19,'Raw - V&amp;DL %'!$A:$Q,12,FALSE)</f>
        <v>9.5944926983762807E-2</v>
      </c>
      <c r="G19" s="297">
        <f>VLOOKUP($C19,'Raw - V&amp;DL %'!$A:$Q,16,FALSE)</f>
        <v>9.5944926983762807E-2</v>
      </c>
      <c r="H19" s="318">
        <f>VLOOKUP(C19,'Raw - V&amp;DL %'!A:Q,14,FALSE)</f>
        <v>7399.4</v>
      </c>
      <c r="I19" s="299">
        <f t="shared" si="1"/>
        <v>-1.2052682039446205E-2</v>
      </c>
      <c r="J19" s="300">
        <f>SUM(VLOOKUP(C19,'Raw - V&amp;DL %'!A:Q,14,FALSE)-VLOOKUP(C19,'Raw - V&amp;DL %'!A:Q,2,FALSE))</f>
        <v>-1466.1100000000024</v>
      </c>
    </row>
    <row r="20" spans="2:13" ht="19.5" customHeight="1">
      <c r="B20" s="307" t="s">
        <v>251</v>
      </c>
      <c r="C20" s="296" t="s">
        <v>46</v>
      </c>
      <c r="D20" s="297" t="s">
        <v>69</v>
      </c>
      <c r="E20" s="297" t="s">
        <v>69</v>
      </c>
      <c r="F20" s="297" t="s">
        <v>69</v>
      </c>
      <c r="G20" s="297" t="s">
        <v>69</v>
      </c>
      <c r="H20" s="297" t="s">
        <v>69</v>
      </c>
      <c r="I20" s="299" t="s">
        <v>69</v>
      </c>
      <c r="J20" s="300" t="s">
        <v>69</v>
      </c>
    </row>
    <row r="21" spans="2:13" ht="19.5" customHeight="1">
      <c r="C21" s="309"/>
      <c r="D21" s="310"/>
      <c r="E21" s="310"/>
      <c r="F21" s="310"/>
      <c r="G21" s="310"/>
      <c r="H21" s="310"/>
      <c r="I21" s="310"/>
      <c r="J21" s="310"/>
      <c r="K21" s="310"/>
      <c r="L21" s="310"/>
      <c r="M21" s="310"/>
    </row>
    <row r="22" spans="2:13">
      <c r="D22" s="311"/>
      <c r="E22" s="311"/>
      <c r="F22" s="312" t="str">
        <f>CONCATENATE(G22,I22)</f>
        <v>Volume Change Required to match Geographic Area - Top Performing Scottish Local Authority</v>
      </c>
      <c r="G22" s="312" t="s">
        <v>519</v>
      </c>
      <c r="H22" s="312"/>
      <c r="I22" s="312" t="str">
        <f>K5</f>
        <v>Top Performing Scottish Local Authority</v>
      </c>
    </row>
    <row r="23" spans="2:13">
      <c r="B23" s="313" t="s">
        <v>467</v>
      </c>
    </row>
    <row r="24" spans="2:13">
      <c r="I24" s="314"/>
      <c r="J24" s="314"/>
      <c r="K24" s="314"/>
      <c r="L24" s="314"/>
      <c r="M24" s="311"/>
    </row>
  </sheetData>
  <autoFilter ref="B6:L14" xr:uid="{00000000-0009-0000-0000-000025000000}"/>
  <mergeCells count="4">
    <mergeCell ref="F2:G2"/>
    <mergeCell ref="K4:L4"/>
    <mergeCell ref="I5:J5"/>
    <mergeCell ref="K5:L5"/>
  </mergeCells>
  <dataValidations count="1">
    <dataValidation type="list" allowBlank="1" showInputMessage="1" showErrorMessage="1" sqref="C17" xr:uid="{00000000-0002-0000-2500-000000000000}">
      <formula1>IF(B17="LGBF Family Group 1",LGBF_5,IF(B17="LGBF Family Group 3",LGBF_7,IF(B17="LGBF Family Group 4",LGBF_8,LGBF_6)))</formula1>
    </dataValidation>
  </dataValidations>
  <hyperlinks>
    <hyperlink ref="F2:G2" location="'Index RAG'!A1" display="Return to Index RAG" xr:uid="{00000000-0004-0000-2500-000001000000}"/>
    <hyperlink ref="C3" r:id="rId1" xr:uid="{15533418-25F9-4A45-8FEF-46EDB230405A}"/>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1000000}">
          <x14:formula1>
            <xm:f>Lookups!$L$8:$O$8</xm:f>
          </x14:formula1>
          <xm:sqref>B17</xm:sqref>
        </x14:dataValidation>
        <x14:dataValidation type="list" allowBlank="1" showInputMessage="1" showErrorMessage="1" xr:uid="{D5E4749F-6E61-4D16-A679-E8B31B271DCF}">
          <x14:formula1>
            <xm:f>Lookups!$B$9:$B$12</xm:f>
          </x14:formula1>
          <xm:sqref>K5:L5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B2: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237</v>
      </c>
      <c r="F2" s="595" t="s">
        <v>507</v>
      </c>
      <c r="G2" s="596"/>
    </row>
    <row r="3" spans="2:12" ht="13">
      <c r="B3" s="286" t="s">
        <v>49</v>
      </c>
      <c r="C3" s="288" t="s">
        <v>236</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2020</v>
      </c>
      <c r="E6" s="294">
        <v>2021</v>
      </c>
      <c r="F6" s="294">
        <v>2022</v>
      </c>
      <c r="G6" s="294">
        <v>2023</v>
      </c>
      <c r="H6" s="295" t="s">
        <v>53</v>
      </c>
      <c r="I6" s="295" t="s">
        <v>54</v>
      </c>
      <c r="J6" s="295" t="s">
        <v>79</v>
      </c>
      <c r="K6" s="295" t="s">
        <v>57</v>
      </c>
    </row>
    <row r="7" spans="2:12" ht="19.5" customHeight="1">
      <c r="B7" s="296" t="s">
        <v>249</v>
      </c>
      <c r="C7" s="296" t="s">
        <v>22</v>
      </c>
      <c r="D7" s="298">
        <f>VLOOKUP($C7,'Raw - SIMD VDL'!$B:$F,2,FALSE)</f>
        <v>0.79</v>
      </c>
      <c r="E7" s="298">
        <f>VLOOKUP($C7,'Raw - SIMD VDL'!$B:$F,3,FALSE)</f>
        <v>0.79</v>
      </c>
      <c r="F7" s="298">
        <f>VLOOKUP($C7,'Raw - SIMD VDL'!$B:$F,4,FALSE)</f>
        <v>0.79</v>
      </c>
      <c r="G7" s="298">
        <f>VLOOKUP($C7,'Raw - SIMD VDL'!$B:$F,5,FALSE)</f>
        <v>0</v>
      </c>
      <c r="H7" s="320" t="s">
        <v>69</v>
      </c>
      <c r="I7" s="321" t="s">
        <v>69</v>
      </c>
      <c r="J7" s="322" t="s">
        <v>69</v>
      </c>
      <c r="K7" s="301" t="s">
        <v>69</v>
      </c>
    </row>
    <row r="8" spans="2:12" ht="19.5" customHeight="1">
      <c r="B8" s="296" t="s">
        <v>249</v>
      </c>
      <c r="C8" s="296" t="s">
        <v>24</v>
      </c>
      <c r="D8" s="298">
        <f>VLOOKUP($C8,'Raw - SIMD VDL'!$B:$F,2,FALSE)</f>
        <v>0.54</v>
      </c>
      <c r="E8" s="298">
        <f>VLOOKUP($C8,'Raw - SIMD VDL'!$B:$F,3,FALSE)</f>
        <v>0.54</v>
      </c>
      <c r="F8" s="298">
        <f>VLOOKUP($C8,'Raw - SIMD VDL'!$B:$F,4,FALSE)</f>
        <v>0.54</v>
      </c>
      <c r="G8" s="298">
        <f>VLOOKUP($C8,'Raw - SIMD VDL'!$B:$F,5,FALSE)</f>
        <v>0.54</v>
      </c>
      <c r="H8" s="320">
        <f t="shared" ref="H8:H14" si="0">SUM(G8-D8)/D8</f>
        <v>0</v>
      </c>
      <c r="I8" s="321">
        <f t="shared" ref="I8:I14" si="1">G8-D8</f>
        <v>0</v>
      </c>
      <c r="J8" s="322">
        <f t="shared" ref="J8:J14" si="2">IF(IF($J$5="lgbf family group",SUM(G$17-G8)/G8,IF($J$5="Glasgow City Region",SUM(G$18-G8)/G8,IF($J$5="Scotland",SUM(G$19-G8)/G8,IF($J$5="United Kingdom",SUM(G$20-G8)/G8,SUM(G$16-G8)/G8))))&gt;0,"",IF($J$5="lgbf family group",SUM(G$17-G8)/G8,IF($J$5="Glasgow City Region",SUM(G$18-G8)/G8,IF($J$5="Scotland",SUM(G$19-G8)/G8,IF($J$5="United Kingdom",SUM(G$20-G8)/G8,SUM(G$16-G8)/G8)))))</f>
        <v>-1</v>
      </c>
      <c r="K8" s="301">
        <f t="shared" ref="K8:K14" si="3">IF(J8="","",IF($J$5="lgbf family group",SUM(G$17-G8),IF($J$5="Glasgow City Region",SUM(G$18-G8),IF($J$5="Scotland",SUM(G$19-G8),IF($J$5="United Kingdom",SUM(G$20-G8),SUM(G$16-G8))))))</f>
        <v>-0.54</v>
      </c>
    </row>
    <row r="9" spans="2:12" ht="19.5" customHeight="1">
      <c r="B9" s="296" t="s">
        <v>249</v>
      </c>
      <c r="C9" s="296" t="s">
        <v>27</v>
      </c>
      <c r="D9" s="298">
        <f>VLOOKUP($C9,'Raw - SIMD VDL'!$B:$F,2,FALSE)</f>
        <v>566.52</v>
      </c>
      <c r="E9" s="298">
        <f>VLOOKUP($C9,'Raw - SIMD VDL'!$B:$F,3,FALSE)</f>
        <v>527.39</v>
      </c>
      <c r="F9" s="298">
        <f>VLOOKUP($C9,'Raw - SIMD VDL'!$B:$F,4,FALSE)</f>
        <v>511.09</v>
      </c>
      <c r="G9" s="298">
        <f>VLOOKUP($C9,'Raw - SIMD VDL'!$B:$F,5,FALSE)</f>
        <v>497.32</v>
      </c>
      <c r="H9" s="320">
        <f t="shared" si="0"/>
        <v>-0.12214926216197132</v>
      </c>
      <c r="I9" s="321">
        <f t="shared" si="1"/>
        <v>-69.199999999999989</v>
      </c>
      <c r="J9" s="322">
        <f t="shared" si="2"/>
        <v>-1</v>
      </c>
      <c r="K9" s="301">
        <f t="shared" si="3"/>
        <v>-497.32</v>
      </c>
    </row>
    <row r="10" spans="2:12" ht="19.5" customHeight="1">
      <c r="B10" s="296" t="s">
        <v>249</v>
      </c>
      <c r="C10" s="296" t="s">
        <v>29</v>
      </c>
      <c r="D10" s="298">
        <f>VLOOKUP($C10,'Raw - SIMD VDL'!$B:$F,2,FALSE)</f>
        <v>39.03</v>
      </c>
      <c r="E10" s="298">
        <f>VLOOKUP($C10,'Raw - SIMD VDL'!$B:$F,3,FALSE)</f>
        <v>36.909999999999997</v>
      </c>
      <c r="F10" s="298">
        <f>VLOOKUP($C10,'Raw - SIMD VDL'!$B:$F,4,FALSE)</f>
        <v>33.200000000000003</v>
      </c>
      <c r="G10" s="298">
        <f>VLOOKUP($C10,'Raw - SIMD VDL'!$B:$F,5,FALSE)</f>
        <v>33.200000000000003</v>
      </c>
      <c r="H10" s="320">
        <f t="shared" si="0"/>
        <v>-0.14937227773507553</v>
      </c>
      <c r="I10" s="321">
        <f t="shared" si="1"/>
        <v>-5.8299999999999983</v>
      </c>
      <c r="J10" s="322">
        <f t="shared" si="2"/>
        <v>-1</v>
      </c>
      <c r="K10" s="301">
        <f t="shared" si="3"/>
        <v>-33.200000000000003</v>
      </c>
    </row>
    <row r="11" spans="2:12" ht="19.5" customHeight="1">
      <c r="B11" s="296" t="s">
        <v>249</v>
      </c>
      <c r="C11" s="296" t="s">
        <v>34</v>
      </c>
      <c r="D11" s="298">
        <f>VLOOKUP($C11,'Raw - SIMD VDL'!$B:$F,2,FALSE)</f>
        <v>49.86</v>
      </c>
      <c r="E11" s="298">
        <f>VLOOKUP($C11,'Raw - SIMD VDL'!$B:$F,3,FALSE)</f>
        <v>51.73</v>
      </c>
      <c r="F11" s="298">
        <f>VLOOKUP($C11,'Raw - SIMD VDL'!$B:$F,4,FALSE)</f>
        <v>47.74</v>
      </c>
      <c r="G11" s="298">
        <f>VLOOKUP($C11,'Raw - SIMD VDL'!$B:$F,5,FALSE)</f>
        <v>56.54</v>
      </c>
      <c r="H11" s="320">
        <f t="shared" si="0"/>
        <v>0.13397513036502207</v>
      </c>
      <c r="I11" s="321">
        <f t="shared" si="1"/>
        <v>6.68</v>
      </c>
      <c r="J11" s="322">
        <f t="shared" si="2"/>
        <v>-1</v>
      </c>
      <c r="K11" s="301">
        <f t="shared" si="3"/>
        <v>-56.54</v>
      </c>
    </row>
    <row r="12" spans="2:12" ht="19.5" customHeight="1">
      <c r="B12" s="296" t="s">
        <v>249</v>
      </c>
      <c r="C12" s="296" t="s">
        <v>37</v>
      </c>
      <c r="D12" s="298">
        <f>VLOOKUP($C12,'Raw - SIMD VDL'!$B:$F,2,FALSE)</f>
        <v>43.15</v>
      </c>
      <c r="E12" s="298">
        <f>VLOOKUP($C12,'Raw - SIMD VDL'!$B:$F,3,FALSE)</f>
        <v>42.2</v>
      </c>
      <c r="F12" s="298">
        <f>VLOOKUP($C12,'Raw - SIMD VDL'!$B:$F,4,FALSE)</f>
        <v>48.97</v>
      </c>
      <c r="G12" s="298">
        <f>VLOOKUP($C12,'Raw - SIMD VDL'!$B:$F,5,FALSE)</f>
        <v>48.88</v>
      </c>
      <c r="H12" s="320">
        <f t="shared" si="0"/>
        <v>0.13279258400927008</v>
      </c>
      <c r="I12" s="321">
        <f t="shared" si="1"/>
        <v>5.730000000000004</v>
      </c>
      <c r="J12" s="322">
        <f t="shared" si="2"/>
        <v>-1</v>
      </c>
      <c r="K12" s="301">
        <f t="shared" si="3"/>
        <v>-48.88</v>
      </c>
    </row>
    <row r="13" spans="2:12" ht="19.5" customHeight="1">
      <c r="B13" s="296" t="s">
        <v>249</v>
      </c>
      <c r="C13" s="296" t="s">
        <v>41</v>
      </c>
      <c r="D13" s="298">
        <f>VLOOKUP($C13,'Raw - SIMD VDL'!$B:$F,2,FALSE)</f>
        <v>74.69</v>
      </c>
      <c r="E13" s="298">
        <f>VLOOKUP($C13,'Raw - SIMD VDL'!$B:$F,3,FALSE)</f>
        <v>72.930000000000007</v>
      </c>
      <c r="F13" s="298">
        <f>VLOOKUP($C13,'Raw - SIMD VDL'!$B:$F,4,FALSE)</f>
        <v>67.69</v>
      </c>
      <c r="G13" s="298">
        <f>VLOOKUP($C13,'Raw - SIMD VDL'!$B:$F,5,FALSE)</f>
        <v>47.56</v>
      </c>
      <c r="H13" s="320">
        <f t="shared" si="0"/>
        <v>-0.36323470344088898</v>
      </c>
      <c r="I13" s="321">
        <f t="shared" si="1"/>
        <v>-27.129999999999995</v>
      </c>
      <c r="J13" s="322">
        <f t="shared" si="2"/>
        <v>-1</v>
      </c>
      <c r="K13" s="301">
        <f t="shared" si="3"/>
        <v>-47.56</v>
      </c>
    </row>
    <row r="14" spans="2:12" ht="19.5" customHeight="1">
      <c r="B14" s="296" t="s">
        <v>249</v>
      </c>
      <c r="C14" s="296" t="s">
        <v>43</v>
      </c>
      <c r="D14" s="298">
        <f>VLOOKUP($C14,'Raw - SIMD VDL'!$B:$F,2,FALSE)</f>
        <v>58.58</v>
      </c>
      <c r="E14" s="298">
        <f>VLOOKUP($C14,'Raw - SIMD VDL'!$B:$F,3,FALSE)</f>
        <v>52.04</v>
      </c>
      <c r="F14" s="298">
        <f>VLOOKUP($C14,'Raw - SIMD VDL'!$B:$F,4,FALSE)</f>
        <v>52.86</v>
      </c>
      <c r="G14" s="298">
        <f>VLOOKUP($C14,'Raw - SIMD VDL'!$B:$F,5,FALSE)</f>
        <v>46.87</v>
      </c>
      <c r="H14" s="320">
        <f t="shared" si="0"/>
        <v>-0.19989757596449304</v>
      </c>
      <c r="I14" s="321">
        <f t="shared" si="1"/>
        <v>-11.71</v>
      </c>
      <c r="J14" s="322">
        <f t="shared" si="2"/>
        <v>-1</v>
      </c>
      <c r="K14" s="301">
        <f t="shared" si="3"/>
        <v>-46.87</v>
      </c>
    </row>
    <row r="15" spans="2:12" ht="19.5" customHeight="1">
      <c r="B15" s="303"/>
      <c r="C15" s="303"/>
      <c r="D15" s="304"/>
      <c r="E15" s="304"/>
      <c r="F15" s="304"/>
      <c r="G15" s="304"/>
      <c r="H15" s="306"/>
      <c r="I15" s="306"/>
      <c r="J15" s="306"/>
      <c r="K15" s="306"/>
      <c r="L15" s="306"/>
    </row>
    <row r="16" spans="2:12" ht="19.5" customHeight="1">
      <c r="B16" s="307" t="s">
        <v>51</v>
      </c>
      <c r="C16" s="296" t="str">
        <f>INDEX('Raw - SIMD VDL'!B5:B43,MATCH(MIN('Raw - SIMD VDL'!F5:F43),'Raw - SIMD VDL'!F5:F43,0))</f>
        <v>East Dunbartonshire</v>
      </c>
      <c r="D16" s="298">
        <f>VLOOKUP($C16,'Raw - SIMD VDL'!$B:$F,2,FALSE)</f>
        <v>0.79</v>
      </c>
      <c r="E16" s="298">
        <f>VLOOKUP($C16,'Raw - SIMD VDL'!$B:$F,3,FALSE)</f>
        <v>0.79</v>
      </c>
      <c r="F16" s="298">
        <f>VLOOKUP($C16,'Raw - SIMD VDL'!$B:$F,4,FALSE)</f>
        <v>0.79</v>
      </c>
      <c r="G16" s="298">
        <f>VLOOKUP($C16,'Raw - SIMD VDL'!$B:$F,5,FALSE)</f>
        <v>0</v>
      </c>
      <c r="H16" s="320" t="s">
        <v>69</v>
      </c>
      <c r="I16" s="299" t="s">
        <v>69</v>
      </c>
      <c r="J16" s="305"/>
    </row>
    <row r="17" spans="2:12" ht="19.5" customHeight="1">
      <c r="B17" s="307" t="s">
        <v>542</v>
      </c>
      <c r="C17" s="308" t="s">
        <v>546</v>
      </c>
      <c r="D17" s="298">
        <f>VLOOKUP($C17,'Raw - SIMD VDL'!$B:$F,2,FALSE)</f>
        <v>95.833749999999995</v>
      </c>
      <c r="E17" s="298">
        <f>VLOOKUP($C17,'Raw - SIMD VDL'!$B:$F,3,FALSE)</f>
        <v>90.26124999999999</v>
      </c>
      <c r="F17" s="298">
        <f>VLOOKUP($C17,'Raw - SIMD VDL'!$B:$F,4,FALSE)</f>
        <v>84.384999999999991</v>
      </c>
      <c r="G17" s="298">
        <f>VLOOKUP($C17,'Raw - SIMD VDL'!$B:$F,5,FALSE)</f>
        <v>82.467500000000001</v>
      </c>
      <c r="H17" s="320">
        <f>SUM(G17-D17)/D17</f>
        <v>-0.13947330663779717</v>
      </c>
      <c r="I17" s="299">
        <f>G17-D17</f>
        <v>-13.366249999999994</v>
      </c>
    </row>
    <row r="18" spans="2:12" ht="19.5" customHeight="1">
      <c r="B18" s="307" t="s">
        <v>250</v>
      </c>
      <c r="C18" s="296" t="s">
        <v>47</v>
      </c>
      <c r="D18" s="298">
        <f>VLOOKUP($C18,'Raw - SIMD VDL'!$B:$F,2,FALSE)</f>
        <v>320.45999999999992</v>
      </c>
      <c r="E18" s="298">
        <f>VLOOKUP($C18,'Raw - SIMD VDL'!$B:$F,3,FALSE)</f>
        <v>294.00999999999993</v>
      </c>
      <c r="F18" s="298">
        <f>VLOOKUP($C18,'Raw - SIMD VDL'!$B:$F,4,FALSE)</f>
        <v>288.73999999999995</v>
      </c>
      <c r="G18" s="298">
        <f>VLOOKUP($C18,'Raw - SIMD VDL'!$B:$F,5,FALSE)</f>
        <v>267.92999999999995</v>
      </c>
      <c r="H18" s="320">
        <f>SUM(G18-D18)/D18</f>
        <v>-0.16392061411720646</v>
      </c>
      <c r="I18" s="299">
        <f>G18-D18</f>
        <v>-52.529999999999973</v>
      </c>
      <c r="J18" s="305"/>
    </row>
    <row r="19" spans="2:12" ht="19.5" customHeight="1">
      <c r="B19" s="307" t="s">
        <v>251</v>
      </c>
      <c r="C19" s="296" t="s">
        <v>45</v>
      </c>
      <c r="D19" s="298">
        <f>VLOOKUP($C19,'Raw - SIMD VDL'!$B:$F,2,FALSE)</f>
        <v>1150.72</v>
      </c>
      <c r="E19" s="298">
        <f>VLOOKUP($C19,'Raw - SIMD VDL'!$B:$F,3,FALSE)</f>
        <v>1078.6600000000001</v>
      </c>
      <c r="F19" s="298">
        <f>VLOOKUP($C19,'Raw - SIMD VDL'!$B:$F,4,FALSE)</f>
        <v>996.86</v>
      </c>
      <c r="G19" s="298">
        <f>VLOOKUP($C19,'Raw - SIMD VDL'!$B:$F,5,FALSE)</f>
        <v>957.52</v>
      </c>
      <c r="H19" s="320">
        <f>SUM(G19-D19)/D19</f>
        <v>-0.16789488320355955</v>
      </c>
      <c r="I19" s="299">
        <f>G19-D19</f>
        <v>-193.20000000000005</v>
      </c>
      <c r="J19" s="305"/>
    </row>
    <row r="20" spans="2:12" ht="19.5" customHeight="1">
      <c r="B20" s="307" t="s">
        <v>251</v>
      </c>
      <c r="C20" s="296" t="s">
        <v>46</v>
      </c>
      <c r="D20" s="298" t="s">
        <v>69</v>
      </c>
      <c r="E20" s="298" t="s">
        <v>69</v>
      </c>
      <c r="F20" s="298" t="s">
        <v>69</v>
      </c>
      <c r="G20" s="298" t="s">
        <v>69</v>
      </c>
      <c r="H20" s="320" t="s">
        <v>69</v>
      </c>
      <c r="I20" s="299" t="s">
        <v>69</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WoQzMg5B+USXSx4hSRB4lH6TXlm5OTEuu3KbkAICpa+fwhhukk0DwMhPycfSGwn0J8jb/OdLHDP1pvC7FiCg8g==" saltValue="2YYJZ7imrhQylSE526zyAQ==" spinCount="100000" sheet="1" objects="1" scenarios="1"/>
  <autoFilter ref="B6:K14" xr:uid="{00000000-0009-0000-0000-000026000000}"/>
  <mergeCells count="4">
    <mergeCell ref="J4:K4"/>
    <mergeCell ref="H5:I5"/>
    <mergeCell ref="J5:K5"/>
    <mergeCell ref="F2:G2"/>
  </mergeCells>
  <dataValidations disablePrompts="1" count="1">
    <dataValidation type="list" allowBlank="1" showInputMessage="1" showErrorMessage="1" sqref="C17" xr:uid="{00000000-0002-0000-2600-000000000000}">
      <formula1>IF(B17="LGBF Family Group 1",LGBF_5,IF(B17="LGBF Family Group 3",LGBF_7,IF(B17="LGBF Family Group 4",LGBF_8,LGBF_6)))</formula1>
    </dataValidation>
  </dataValidations>
  <hyperlinks>
    <hyperlink ref="F2:G2" location="'Index RAG'!A1" display="Return to Index RAG" xr:uid="{00000000-0004-0000-2600-000001000000}"/>
    <hyperlink ref="C3" r:id="rId1" xr:uid="{DB51E449-686D-4363-8339-CF10C0B120C4}"/>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600-000001000000}">
          <x14:formula1>
            <xm:f>Lookups!$L$8:$O$8</xm:f>
          </x14:formula1>
          <xm:sqref>B17</xm:sqref>
        </x14:dataValidation>
        <x14:dataValidation type="list" allowBlank="1" showInputMessage="1" showErrorMessage="1" xr:uid="{1BF6E425-236B-41C1-8E64-120B466A4B7F}">
          <x14:formula1>
            <xm:f>Lookups!$B$9:$B$12</xm:f>
          </x14:formula1>
          <xm:sqref>J5:K5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autoPageBreaks="0" fitToPage="1"/>
  </sheetPr>
  <dimension ref="A1:AW105"/>
  <sheetViews>
    <sheetView topLeftCell="A42" zoomScale="90" zoomScaleNormal="90" workbookViewId="0"/>
  </sheetViews>
  <sheetFormatPr defaultColWidth="8.7265625" defaultRowHeight="12"/>
  <cols>
    <col min="1" max="1" width="9" style="248" customWidth="1"/>
    <col min="2" max="2" width="6.26953125" style="248" customWidth="1"/>
    <col min="3" max="3" width="6.26953125" style="282" customWidth="1"/>
    <col min="4" max="4" width="49.26953125" style="258" customWidth="1"/>
    <col min="5" max="5" width="9" style="283" customWidth="1"/>
    <col min="6" max="6" width="16.7265625" style="284" customWidth="1"/>
    <col min="7" max="8" width="19.26953125" style="285" customWidth="1"/>
    <col min="9" max="9" width="13.26953125" style="283" customWidth="1"/>
    <col min="10" max="12" width="15.26953125" style="285" customWidth="1"/>
    <col min="13" max="14" width="19.26953125" style="285" customWidth="1"/>
    <col min="15" max="15" width="31.7265625" style="258" customWidth="1"/>
    <col min="16" max="16" width="8.7265625" style="248"/>
    <col min="17" max="18" width="10" style="248" bestFit="1" customWidth="1"/>
    <col min="19" max="49" width="8.7265625" style="248"/>
    <col min="50" max="16384" width="8.7265625" style="258"/>
  </cols>
  <sheetData>
    <row r="1" spans="1:49" s="248" customFormat="1" ht="12.5" customHeight="1">
      <c r="C1" s="249"/>
      <c r="E1" s="250"/>
      <c r="F1" s="251"/>
      <c r="G1" s="252"/>
      <c r="H1" s="252"/>
      <c r="I1" s="250"/>
      <c r="J1" s="252"/>
      <c r="K1" s="252"/>
      <c r="L1" s="252"/>
      <c r="M1" s="252"/>
      <c r="N1" s="252"/>
    </row>
    <row r="2" spans="1:49" s="248" customFormat="1" ht="12.5" customHeight="1">
      <c r="C2" s="249"/>
      <c r="E2" s="250"/>
      <c r="F2" s="253" t="s">
        <v>559</v>
      </c>
      <c r="G2" s="254" t="s">
        <v>45</v>
      </c>
      <c r="H2" s="252"/>
      <c r="I2" s="250"/>
      <c r="J2" s="255"/>
      <c r="K2" s="252"/>
      <c r="L2" s="252"/>
      <c r="M2" s="252"/>
      <c r="N2" s="252"/>
    </row>
    <row r="3" spans="1:49" s="248" customFormat="1" ht="12.5" customHeight="1">
      <c r="B3" s="579" t="s">
        <v>523</v>
      </c>
      <c r="C3" s="579"/>
      <c r="D3" s="579"/>
      <c r="E3" s="250"/>
      <c r="F3" s="251"/>
      <c r="G3" s="252"/>
      <c r="H3" s="252"/>
      <c r="I3" s="250"/>
      <c r="J3" s="252"/>
      <c r="K3" s="252"/>
      <c r="L3" s="252"/>
      <c r="M3" s="252"/>
      <c r="N3" s="252"/>
    </row>
    <row r="4" spans="1:49" s="248" customFormat="1" ht="12.5" customHeight="1">
      <c r="B4" s="579"/>
      <c r="C4" s="579"/>
      <c r="D4" s="579"/>
      <c r="E4" s="250"/>
      <c r="F4" s="253" t="s">
        <v>560</v>
      </c>
      <c r="G4" s="256">
        <v>0.1</v>
      </c>
      <c r="H4" s="252"/>
      <c r="I4" s="250"/>
      <c r="J4" s="252"/>
      <c r="K4" s="252"/>
      <c r="L4" s="252"/>
      <c r="M4" s="252"/>
      <c r="N4" s="252"/>
    </row>
    <row r="5" spans="1:49" s="248" customFormat="1" ht="12.5" customHeight="1" thickBot="1">
      <c r="B5" s="249"/>
      <c r="C5" s="257"/>
      <c r="F5" s="251"/>
      <c r="G5" s="252"/>
      <c r="H5" s="252"/>
      <c r="I5" s="250"/>
      <c r="J5" s="252"/>
      <c r="K5" s="252"/>
      <c r="L5" s="252"/>
      <c r="M5" s="252"/>
      <c r="N5" s="252"/>
    </row>
    <row r="6" spans="1:49" ht="12.5" customHeight="1" thickBot="1">
      <c r="C6" s="249"/>
      <c r="D6" s="248"/>
      <c r="E6" s="250"/>
      <c r="F6" s="251"/>
      <c r="G6" s="588" t="s">
        <v>509</v>
      </c>
      <c r="H6" s="588"/>
      <c r="I6" s="250"/>
      <c r="J6" s="252"/>
      <c r="K6" s="252"/>
      <c r="L6" s="252"/>
      <c r="M6" s="588" t="s">
        <v>510</v>
      </c>
      <c r="N6" s="588"/>
      <c r="O6" s="248"/>
    </row>
    <row r="7" spans="1:49" s="265" customFormat="1" ht="36" customHeight="1" thickBot="1">
      <c r="A7" s="259"/>
      <c r="B7" s="582" t="s">
        <v>477</v>
      </c>
      <c r="C7" s="583"/>
      <c r="D7" s="260" t="s">
        <v>48</v>
      </c>
      <c r="E7" s="261" t="s">
        <v>529</v>
      </c>
      <c r="F7" s="262" t="s">
        <v>27</v>
      </c>
      <c r="G7" s="263" t="s">
        <v>521</v>
      </c>
      <c r="H7" s="263" t="s">
        <v>520</v>
      </c>
      <c r="I7" s="261" t="s">
        <v>522</v>
      </c>
      <c r="J7" s="261" t="s">
        <v>47</v>
      </c>
      <c r="K7" s="261" t="s">
        <v>45</v>
      </c>
      <c r="L7" s="261" t="s">
        <v>46</v>
      </c>
      <c r="M7" s="263" t="s">
        <v>521</v>
      </c>
      <c r="N7" s="263" t="s">
        <v>520</v>
      </c>
      <c r="O7" s="264" t="s">
        <v>49</v>
      </c>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row>
    <row r="8" spans="1:49" ht="27.65" customHeight="1">
      <c r="B8" s="584" t="s">
        <v>468</v>
      </c>
      <c r="C8" s="585" t="s">
        <v>476</v>
      </c>
      <c r="D8" s="266" t="str">
        <f>VLOOKUP($D$7,'Child Poverty'!$B$2:$C$2,2,FALSE)</f>
        <v>% Children in Child Poverty after Housing Costs</v>
      </c>
      <c r="E8" s="267" t="s">
        <v>752</v>
      </c>
      <c r="F8" s="268">
        <f>VLOOKUP(F$7,'Child Poverty'!$C$7:$H$20,5,FALSE)</f>
        <v>32.9</v>
      </c>
      <c r="G8" s="268" t="str">
        <f>IF(G2="Scotland",IF(F8&lt;SUM(K8-SUM(K8*$G$4)),"Green",IF(F8&lt;SUM(K8+SUM(K8*$G$4)),"Amber","Red")),IF(F8&lt;SUM(L8-SUM(L8*$G$4)),"Green",IF(F8&lt;SUM(L8+SUM(L8*$G$4)),"Amber","Red")))</f>
        <v>Red</v>
      </c>
      <c r="H8" s="268" t="str">
        <f>IF(G2="Scotland",IF(VLOOKUP($F$7,'Child Poverty'!$C$7:$I$20,7,FALSE)&lt;VLOOKUP($K$7,'Child Poverty'!$C$7:$I$20,7,FALSE),"Green",IF(VLOOKUP($F$7,'Child Poverty'!$C$7:$I$20,7,FALSE)&lt;0,"Amber","Red")),IF(VLOOKUP($F$7,'Child Poverty'!$C$7:$I$20,7,FALSE)&lt;VLOOKUP($L$7,'Child Poverty'!$C$7:$I$20,7,FALSE),"Green",IF(VLOOKUP($F$7,'Child Poverty'!$C$7:$I$20,7,FALSE)&lt;0,"Amber","Red")))</f>
        <v>Red</v>
      </c>
      <c r="I8" s="269" t="s">
        <v>513</v>
      </c>
      <c r="J8" s="268">
        <f>VLOOKUP(J$7,'Child Poverty'!$C$7:$H$20,5,FALSE)</f>
        <v>26.399326302588388</v>
      </c>
      <c r="K8" s="268">
        <f>VLOOKUP(K$7,'Child Poverty'!$C$7:$H$20,5,FALSE)</f>
        <v>24.473927977812586</v>
      </c>
      <c r="L8" s="268">
        <f>VLOOKUP(L$7,'Child Poverty'!$C$7:$H$20,5,FALSE)</f>
        <v>28.936021126269207</v>
      </c>
      <c r="M8" s="268" t="str">
        <f>IF(L8="-",IF(J8&lt;SUM(K8-SUM(K8*$G$4)),"Green",IF(J8&lt;SUM(K8+SUM(K8*$G$4)),"Amber","Red")),IF(J8&lt;SUM(L8-SUM(L8*$G$4)),"Green",IF(J8&lt;SUM(L8+SUM(L8*$G$4)),"Amber","Red")))</f>
        <v>Amber</v>
      </c>
      <c r="N8" s="268" t="str">
        <f>IF(L8="-",IF(VLOOKUP($J$7,'Child Poverty'!$C$7:$I$20,7,FALSE)&lt;VLOOKUP($K$7,'Child Poverty'!$C$7:$I$20,7,FALSE),"Green",IF(VLOOKUP($J$7,'Child Poverty'!$C$7:$I$20,7,FALSE)&lt;0,"Amber","Red")),IF(VLOOKUP($J$7,'Child Poverty'!$C$7:$I$20,7,FALSE)&lt;VLOOKUP($L$7,'Child Poverty'!$C$7:$I$20,7,FALSE),"Green",IF(VLOOKUP($J$7,'Child Poverty'!$C$7:$I$20,7,FALSE)&lt;0,"Amber","Red")))</f>
        <v>Red</v>
      </c>
      <c r="O8" s="270" t="str">
        <f>VLOOKUP($O$7,'Child Poverty'!$B$3:$C$3,2,TRUE)</f>
        <v>End Child Poverty</v>
      </c>
    </row>
    <row r="9" spans="1:49" ht="27.65" customHeight="1">
      <c r="B9" s="584"/>
      <c r="C9" s="581"/>
      <c r="D9" s="271" t="str">
        <f>VLOOKUP($D$7,'Claimant Count'!$B$2:$C$2,2,FALSE)</f>
        <v>Claimant Count Rate</v>
      </c>
      <c r="E9" s="274">
        <v>45536</v>
      </c>
      <c r="F9" s="273">
        <f>VLOOKUP(F$7,'Claimant Count'!$C$7:$H$20,5,FALSE)</f>
        <v>5.3</v>
      </c>
      <c r="G9" s="268" t="str">
        <f>IF(G2="Scotland",IF(F9&lt;SUM(K9-SUM(K9*$G$4)),"Green",IF(F9&lt;SUM(K9+SUM(K9*$G$4)),"Amber","Red")),IF(F9&lt;SUM(L9-SUM(L9*$G$4)),"Green",IF(F9&lt;SUM(L9+SUM(L9*$G$4)),"Amber","Red")))</f>
        <v>Red</v>
      </c>
      <c r="H9" s="273" t="str">
        <f>IF(G2="Scotland",IF(VLOOKUP($F$7,'Claimant Count'!$C$7:$I$20,7,FALSE)&lt;VLOOKUP($K$7,'Claimant Count'!$C$7:$I$20,7,FALSE),"Green",IF(VLOOKUP($F$7,'Claimant Count'!$C$7:$I$20,7,FALSE)&lt;0,"Amber","Red")),IF(VLOOKUP($F$7,'Claimant Count'!$C$7:$I$20,7,FALSE)&lt;VLOOKUP($L$7,'Claimant Count'!$C$7:$I$20,7,FALSE),"Green",IF(VLOOKUP($F$7,'Claimant Count'!$C$7:$I$20,7,FALSE)&lt;0,"Amber","Red")))</f>
        <v>Amber</v>
      </c>
      <c r="I9" s="269" t="s">
        <v>513</v>
      </c>
      <c r="J9" s="273">
        <f>VLOOKUP(J$7,'Claimant Count'!$C$7:$H$20,5,FALSE)</f>
        <v>3.9</v>
      </c>
      <c r="K9" s="273">
        <f>VLOOKUP(K$7,'Claimant Count'!$C$7:$H$20,5,FALSE)</f>
        <v>3.2</v>
      </c>
      <c r="L9" s="273">
        <f>VLOOKUP(L$7,'Claimant Count'!$C$7:$H$20,5,FALSE)</f>
        <v>4.3</v>
      </c>
      <c r="M9" s="268" t="str">
        <f>IF(L9="-",IF(J9&lt;SUM(K9-SUM(K9*$G$4)),"Green",IF(J9&lt;SUM(K9+SUM(K9*$G$4)),"Amber","Red")),IF(J9&lt;SUM(L9-SUM(L9*$G$4)),"Green",IF(J9&lt;SUM(L9+SUM(L9*$G$4)),"Amber","Red")))</f>
        <v>Amber</v>
      </c>
      <c r="N9" s="273" t="str">
        <f>IF(L9="-",IF(VLOOKUP($J$7,'Claimant Count'!$C$7:$I$20,7,FALSE)&lt;VLOOKUP($K$7,'Claimant Count'!$C$7:$I$20,7,FALSE),"Green",IF(VLOOKUP($J$7,'Claimant Count'!$C$7:$I$20,7,FALSE)&lt;0,"Amber","Red")),IF(VLOOKUP($J$7,'Claimant Count'!$C$7:$I$20,7,FALSE)&lt;VLOOKUP($L$7,'Claimant Count'!$C$7:$I$20,7,FALSE),"Green",IF(VLOOKUP($J$7,'Claimant Count'!$C$7:$I$20,7,FALSE)&lt;0,"Amber","Red")))</f>
        <v>Green</v>
      </c>
      <c r="O9" s="270" t="str">
        <f>VLOOKUP($O$7,'Claimant Count'!$B$3:$C$3,2,TRUE)</f>
        <v>NOMIS - Claimant Count</v>
      </c>
    </row>
    <row r="10" spans="1:49" ht="27.65" customHeight="1">
      <c r="B10" s="584"/>
      <c r="C10" s="581"/>
      <c r="D10" s="271" t="str">
        <f>VLOOKUP($D$7,'Workless Households'!$B$2:$C$2,2,FALSE)</f>
        <v>% of Households that are Workless</v>
      </c>
      <c r="E10" s="272">
        <v>2023</v>
      </c>
      <c r="F10" s="273">
        <f>VLOOKUP(F$7,'Workless Households'!$C$7:$H$20,5,FALSE)</f>
        <v>20.408615136876008</v>
      </c>
      <c r="G10" s="268" t="str">
        <f>IF(G2="Scotland",IF(F10&lt;SUM(K10-SUM(K10*$G$4)),"Green",IF(F10&lt;SUM(K10+SUM(K10*$G$4)),"Amber","Red")),IF(F10&lt;SUM(L10-SUM(L10*$G$4)),"Green",IF(F10&lt;SUM(L10+SUM(L10*$G$4)),"Amber","Red")))</f>
        <v>Red</v>
      </c>
      <c r="H10" s="273" t="str">
        <f>IF(G2="Scotland",IF(VLOOKUP($F$7,'Workless Households'!$C$7:$I$20,7,FALSE)&lt;VLOOKUP($K$7,'Workless Households'!$C$7:$I$20,7,FALSE),"Green",IF(VLOOKUP($F$7,'Workless Households'!$C$7:$I$20,7,FALSE)&lt;0,"Amber","Red")),IF(VLOOKUP($F$7,'Workless Households'!$C$7:$I$20,7,FALSE)&lt;VLOOKUP($L$7,'Workless Households'!$C$7:$I$20,7,FALSE),"Green",IF(VLOOKUP($F$7,'Workless Households'!$C$7:$I$20,7,FALSE)&lt;0,"Amber","Red")))</f>
        <v>Amber</v>
      </c>
      <c r="I10" s="269" t="s">
        <v>513</v>
      </c>
      <c r="J10" s="273">
        <f>VLOOKUP(J$7,'Workless Households'!$C$7:$H$20,5,FALSE)</f>
        <v>18.235810263284609</v>
      </c>
      <c r="K10" s="273">
        <f>VLOOKUP(K$7,'Workless Households'!$C$7:$H$20,5,FALSE)</f>
        <v>17.411213010467797</v>
      </c>
      <c r="L10" s="273">
        <f>VLOOKUP(L$7,'Workless Households'!$C$7:$H$20,5,FALSE)</f>
        <v>13.888453323453035</v>
      </c>
      <c r="M10" s="268" t="str">
        <f>IF(L10="-",IF(J10&lt;SUM(K10-SUM(K10*$G$4)),"Green",IF(J10&lt;SUM(K10+SUM(K10*$G$4)),"Amber","Red")),IF(J10&lt;SUM(L10-SUM(L10*$G$4)),"Green",IF(J10&lt;SUM(L10+SUM(L10*$G$4)),"Amber","Red")))</f>
        <v>Red</v>
      </c>
      <c r="N10" s="273" t="str">
        <f>IF(L10="-",IF(VLOOKUP($J$7,'Workless Households'!$C$7:$I$20,7,FALSE)&lt;VLOOKUP($K$7,'Workless Households'!$C$7:$I$20,7,FALSE),"Green",IF(VLOOKUP($J$7,'Workless Households'!$C$7:$I$20,7,FALSE)&lt;0,"Amber","Red")),IF(VLOOKUP($J$7,'Workless Households'!$C$7:$I$20,7,FALSE)&lt;VLOOKUP($L$7,'Workless Households'!$C$7:$I$20,7,FALSE),"Green",IF(VLOOKUP($J$7,'Workless Households'!$C$7:$I$20,7,FALSE)&lt;0,"Amber","Red")))</f>
        <v>Amber</v>
      </c>
      <c r="O10" s="270" t="str">
        <f>VLOOKUP($O$7,'Workless Households'!$B$3:$C$3,2,TRUE)</f>
        <v>ONS - Households by Combined Economic Activity</v>
      </c>
    </row>
    <row r="11" spans="1:49" ht="27.65" customHeight="1">
      <c r="B11" s="584"/>
      <c r="C11" s="581" t="s">
        <v>471</v>
      </c>
      <c r="D11" s="271" t="str">
        <f>VLOOKUP($D$7,SLDR!$B$2:$C$2,2,FALSE)</f>
        <v>% of School Leavers in Positive Destinations</v>
      </c>
      <c r="E11" s="272" t="s">
        <v>752</v>
      </c>
      <c r="F11" s="275">
        <f>VLOOKUP(F$7,SLDR!$C$7:$H$20,5,FALSE)</f>
        <v>97.723187537447572</v>
      </c>
      <c r="G11" s="273" t="str">
        <f>IF(G2="Scotland",IF(F11&gt;SUM(K11+SUM(K11*$G$4)),"Green",IF(F11&gt;SUM(K11-SUM(K11*$G$4)),"Amber","Red")),IF(L11="-","n/a",IF(F11&gt;SUM(L11+SUM(L11*$G$4)),"Green",IF(F11&gt;SUM(L11-SUM(L11*$G$4)),"Amber","Red"))))</f>
        <v>Amber</v>
      </c>
      <c r="H11" s="273" t="str">
        <f>IF(G2="Scotland",IF(VLOOKUP($F$7,SLDR!$C$7:$I$20,7,FALSE)&gt;VLOOKUP($K$7,SLDR!$C$7:$I$20,7,FALSE),"Green",IF(VLOOKUP($F$7,SLDR!$C$7:$I$20,7,FALSE)&gt;0,"Amber","Red")),IF(L11="-","n/a",IF(VLOOKUP($F$7,SLDR!$C$7:$I$20,7,FALSE)&gt;VLOOKUP($L$7,SLDR!$C$7:$I$20,7,FALSE),"Green",IF(VLOOKUP($F$7,SLDR!$C$7:$I$20,7,FALSE)&gt;0,"Amber","Red"))))</f>
        <v>Green</v>
      </c>
      <c r="I11" s="276" t="s">
        <v>512</v>
      </c>
      <c r="J11" s="275">
        <f>VLOOKUP(J$7,SLDR!$C$7:$H$20,5,FALSE)</f>
        <v>96.612267867191889</v>
      </c>
      <c r="K11" s="275">
        <f>VLOOKUP(K$7,SLDR!$C$7:$H$20,5,FALSE)</f>
        <v>95.866138136382745</v>
      </c>
      <c r="L11" s="275" t="str">
        <f>VLOOKUP(L$7,SLDR!$C$7:$H$20,5,FALSE)</f>
        <v>-</v>
      </c>
      <c r="M11" s="273" t="str">
        <f>IF(L11="-",IF(J11&gt;SUM(K11+SUM(K11*$G$4)),"Green",IF(J11&gt;SUM(K11-SUM(K11*$G$4)),"Amber","Red")),IF(J11&gt;SUM(L11+SUM(L11*$G$4)),"Green",IF(J11&gt;SUM(L11-SUM(L11*$G$4)),"Amber","Red")))</f>
        <v>Amber</v>
      </c>
      <c r="N11" s="273" t="str">
        <f>IF(L11="-",IF(VLOOKUP($J$7,SLDR!$C$7:$I$20,7,FALSE)&gt;VLOOKUP($K$7,SLDR!$C$7:$I$20,7,FALSE),"Green",IF(VLOOKUP($J$7,SLDR!$C$7:$I$20,7,FALSE)&gt;0,"Amber","Red")),IF(VLOOKUP($J$7,SLDR!$C$7:$I$20,7,FALSE)&gt;VLOOKUP($L$7,SLDR!$C$7:$I$20,7,FALSE),"Green",IF(VLOOKUP($J$7,SLDR!$C$7:$I$20,7,FALSE)&gt;0,"Amber","Red")))</f>
        <v>Green</v>
      </c>
      <c r="O11" s="270" t="str">
        <f>VLOOKUP($O$7,SLDR!$B$3:$C$3,2,TRUE)</f>
        <v>Scottish Government - Attainment and Initial Leaver Destinations</v>
      </c>
    </row>
    <row r="12" spans="1:49" ht="27.65" customHeight="1">
      <c r="B12" s="584"/>
      <c r="C12" s="581"/>
      <c r="D12" s="271" t="s">
        <v>757</v>
      </c>
      <c r="E12" s="272">
        <v>2023</v>
      </c>
      <c r="F12" s="273">
        <f>VLOOKUP(F$7,'High Qualifications'!$C$7:$F$20,3,FALSE)</f>
        <v>56.9</v>
      </c>
      <c r="G12" s="273" t="str">
        <f>IF(G2="Scotland",IF(F12&gt;SUM(K12+SUM(K12*$G$4)),"Green",IF(F12&gt;SUM(K12-SUM(K12*$G$4)),"Amber","Red")),IF(F12&gt;SUM(L12+SUM(L12*$G$4)),"Green",IF(F12&gt;SUM(L12-SUM(L12*$G$4)),"Amber","Red")))</f>
        <v>Amber</v>
      </c>
      <c r="H12" s="273" t="str">
        <f>IF(G2="Scotland",IF(VLOOKUP($F$7,'High Qualifications'!$C$7:$G$20,5,FALSE)&gt;VLOOKUP($K$7,'High Qualifications'!$C$7:$G$20,5,FALSE),"Green",IF(VLOOKUP($F$7,'High Qualifications'!$C$7:$G$20,5,FALSE)&gt;0,"Amber","Red")),IF(VLOOKUP($F$7,'High Qualifications'!$C$7:$G$20,5,FALSE)&gt;VLOOKUP($L$7,'High Qualifications'!$C$7:$G$20,5,FALSE),"Green",IF(VLOOKUP($F$7,'High Qualifications'!$C$7:$G$20,5,FALSE)&gt;0,"Amber","Red")))</f>
        <v>Green</v>
      </c>
      <c r="I12" s="276" t="s">
        <v>512</v>
      </c>
      <c r="J12" s="273">
        <f>VLOOKUP(J$7,'High Qualifications'!$C$7:$F$20,3,FALSE)</f>
        <v>53.9</v>
      </c>
      <c r="K12" s="273">
        <f>VLOOKUP(K$7,'High Qualifications'!$C$7:$F$20,3,FALSE)</f>
        <v>55.1</v>
      </c>
      <c r="L12" s="273">
        <f>VLOOKUP(L$7,'High Qualifications'!$C$7:$F$20,3,FALSE)</f>
        <v>47.1</v>
      </c>
      <c r="M12" s="273" t="str">
        <f>IF(L12="-",IF(J12&gt;SUM(K12+SUM(K12*$G$4)),"Green",IF(J12&gt;SUM(K12-SUM(K12*$G$4)),"Amber","Red")),IF(J12&gt;SUM(L12+SUM(L12*$G$4)),"Green",IF(J12&gt;SUM(L12-SUM(L12*$G$4)),"Amber","Red")))</f>
        <v>Green</v>
      </c>
      <c r="N12" s="273" t="str">
        <f>IF(L12="-",IF(VLOOKUP($J$7,'High Qualifications'!$C$7:$G$20,5,FALSE)&gt;VLOOKUP($K$7,'High Qualifications'!$C$7:$G$20,5,FALSE),"Green",IF(VLOOKUP($J$7,'High Qualifications'!$C$7:$G$20,5,FALSE)&gt;0,"Amber","Red")),IF(VLOOKUP($J$7,'High Qualifications'!$C$7:$G$20,5,FALSE)&gt;VLOOKUP($L$7,'High Qualifications'!$C$7:$G$20,5,FALSE),"Green",IF(VLOOKUP($J$7,'High Qualifications'!$C$7:$G$20,5,FALSE)&gt;0,"Amber","Red")))</f>
        <v>Green</v>
      </c>
      <c r="O12" s="277" t="s">
        <v>756</v>
      </c>
      <c r="P12" s="278"/>
    </row>
    <row r="13" spans="1:49" ht="27.65" customHeight="1">
      <c r="B13" s="584"/>
      <c r="C13" s="581"/>
      <c r="D13" s="271" t="s">
        <v>460</v>
      </c>
      <c r="E13" s="272">
        <v>2023</v>
      </c>
      <c r="F13" s="273">
        <f>VLOOKUP(F$7,'No Qualifications'!$C$7:$F$20,3,FALSE)</f>
        <v>11.9</v>
      </c>
      <c r="G13" s="268" t="str">
        <f>IF(G2="Scotland",IF(F13&lt;SUM(K13-SUM(K13*$G$4)),"Green",IF(F13&lt;SUM(K13+SUM(K13*$G$4)),"Amber","Red")),IF(F13&lt;SUM(L13-SUM(L13*$G$4)),"Green",IF(F13&lt;SUM(L13+SUM(L13*$G$4)),"Amber","Red")))</f>
        <v>Red</v>
      </c>
      <c r="H13" s="273" t="str">
        <f>IF(G2="Scotland",IF(VLOOKUP($F$7,'No Qualifications'!$C$7:$G$20,5,FALSE)&lt;VLOOKUP($K$7,'No Qualifications'!$C$7:$G$20,5,FALSE),"Green",IF(VLOOKUP($F$7,'No Qualifications'!$C$7:$G$20,5,FALSE)&lt;0,"Amber","Red")),IF(VLOOKUP($F$7,'No Qualifications'!$C$7:$G$20,5,FALSE)&lt;VLOOKUP($L$7,'No Qualifications'!$C$7:$G$20,5,FALSE),"Green",IF(VLOOKUP($F$7,'No Qualifications'!$C$7:$G$20,5,FALSE)&lt;0,"Amber","Red")))</f>
        <v>Red</v>
      </c>
      <c r="I13" s="269" t="s">
        <v>513</v>
      </c>
      <c r="J13" s="273">
        <f>VLOOKUP(J$7,'No Qualifications'!$C$7:$F$20,3,FALSE)</f>
        <v>10.7</v>
      </c>
      <c r="K13" s="273">
        <f>VLOOKUP(K$7,'No Qualifications'!$C$7:$F$20,3,FALSE)</f>
        <v>8.1999999999999993</v>
      </c>
      <c r="L13" s="273">
        <f>VLOOKUP(L$7,'No Qualifications'!$C$7:$F$20,3,FALSE)</f>
        <v>6.6</v>
      </c>
      <c r="M13" s="268" t="str">
        <f>IF(L13="-",IF(J13&lt;SUM(K13-SUM(K13*$G$4)),"Green",IF(J13&lt;SUM(K13+SUM(K13*$G$4)),"Amber","Red")),IF(J13&lt;SUM(L13-SUM(L13*$G$4)),"Green",IF(J13&lt;SUM(L13+SUM(L13*$G$4)),"Amber","Red")))</f>
        <v>Red</v>
      </c>
      <c r="N13" s="273" t="str">
        <f>IF(L13="-",IF(VLOOKUP($J$7,'No Qualifications'!$C$7:$G$20,5,FALSE)&lt;VLOOKUP($K$7,'No Qualifications'!$C$7:$G$20,5,FALSE),"Green",IF(VLOOKUP($J$7,'No Qualifications'!$C$7:$G$20,5,FALSE)&lt;0,"Amber","Red")),IF(VLOOKUP($J$7,'No Qualifications'!$C$7:$G$20,5,FALSE)&lt;VLOOKUP($L$7,'No Qualifications'!$C$7:$G$20,5,FALSE),"Green",IF(VLOOKUP($J$7,'No Qualifications'!$C$7:$G$20,5,FALSE)&lt;0,"Amber","Red")))</f>
        <v>Red</v>
      </c>
      <c r="O13" s="277" t="s">
        <v>756</v>
      </c>
    </row>
    <row r="14" spans="1:49" ht="27.65" customHeight="1">
      <c r="B14" s="584"/>
      <c r="C14" s="581" t="s">
        <v>469</v>
      </c>
      <c r="D14" s="271" t="str">
        <f>VLOOKUP($D$7,Incapacity!$B$2:$C$2,2,FALSE)</f>
        <v>Number of Incapacity-based benefits (per 1,000 16-64 pop)</v>
      </c>
      <c r="E14" s="274">
        <v>45323</v>
      </c>
      <c r="F14" s="273">
        <f>VLOOKUP(F$7,Incapacity!$C$7:$H$20,5,FALSE)</f>
        <v>71.805950962774517</v>
      </c>
      <c r="G14" s="268" t="str">
        <f>IF(G2="Scotland",IF(F14&lt;SUM(K14-SUM(K14*$G$4)),"Green",IF(F14&lt;SUM(K14+SUM(K14*$G$4)),"Amber","Red")),IF(L14="-","n/a",IF(F14&lt;SUM(L14-SUM(L14*$G$4)),"Green",IF(F14&lt;SUM(L14+SUM(L14*$G$4)),"Amber","Red"))))</f>
        <v>Red</v>
      </c>
      <c r="H14" s="273" t="str">
        <f>IF(G2="Scotland",IF(VLOOKUP($F$7,Incapacity!$C$7:$I$20,7,FALSE)&lt;VLOOKUP($K$7,Incapacity!$C$7:$I$20,7,FALSE),"Green",IF(VLOOKUP($F$7,Incapacity!$C$7:$I$20,7,FALSE)&lt;0,"Amber","Red")),IF(L14="-","n/a",IF(VLOOKUP($F$7,Incapacity!$C$7:$I$20,7,FALSE)&lt;VLOOKUP($L$7,Incapacity!$C$7:$I$20,7,FALSE),"Green",IF(VLOOKUP($F$7,Incapacity!$C$7:$I$20,7,FALSE)&lt;0,"Amber","Red"))))</f>
        <v>Green</v>
      </c>
      <c r="I14" s="269" t="s">
        <v>513</v>
      </c>
      <c r="J14" s="273">
        <f>VLOOKUP(J$7,Incapacity!$C$7:$H$20,5,FALSE)</f>
        <v>79.323809490914243</v>
      </c>
      <c r="K14" s="273">
        <f>VLOOKUP(K$7,Incapacity!$C$7:$H$20,5,FALSE)</f>
        <v>50.934394621051069</v>
      </c>
      <c r="L14" s="273" t="s">
        <v>69</v>
      </c>
      <c r="M14" s="268" t="str">
        <f>IF(L14="-",IF(J14&lt;SUM(K14-SUM(K14*$G$4)),"Green",IF(J14&lt;SUM(K14+SUM(K14*$G$4)),"Amber","Red")),IF(J14&lt;SUM(L14-SUM(L14*$G$4)),"Green",IF(J14&lt;SUM(L14+SUM(L14*$G$4)),"Amber","Red")))</f>
        <v>Red</v>
      </c>
      <c r="N14" s="273" t="str">
        <f>IF(L14="-",IF(VLOOKUP($J$7,Incapacity!$C$7:$I$20,7,FALSE)&lt;VLOOKUP($K$7,Incapacity!$C$7:$I$20,7,FALSE),"Green",IF(VLOOKUP($J$7,Incapacity!$C$7:$I$20,7,FALSE)&lt;0,"Amber","Red")),IF(VLOOKUP($J$7,Incapacity!$C$7:$I$20,7,FALSE)&lt;VLOOKUP($L$7,Incapacity!$C$7:$I$20,7,FALSE),"Green",IF(VLOOKUP($J$7,Incapacity!$C$7:$I$20,7,FALSE)&lt;0,"Amber","Red")))</f>
        <v>Amber</v>
      </c>
      <c r="O14" s="270" t="str">
        <f>VLOOKUP($O$7,Incapacity!$B$3:$C$3,2,TRUE)</f>
        <v>DWP Stat-Xplore</v>
      </c>
    </row>
    <row r="15" spans="1:49" ht="27.65" customHeight="1">
      <c r="B15" s="584"/>
      <c r="C15" s="581"/>
      <c r="D15" s="271" t="s">
        <v>461</v>
      </c>
      <c r="E15" s="272">
        <v>2023</v>
      </c>
      <c r="F15" s="273">
        <f>VLOOKUP(F$7,'Ill Health'!$C$7:$H$20,5,FALSE)</f>
        <v>24.1</v>
      </c>
      <c r="G15" s="268" t="str">
        <f>IF(G2="Scotland",IF(F15&lt;SUM(K15-SUM(K15*$G$4)),"Green",IF(F15&lt;SUM(K15+SUM(K15*$G$4)),"Amber","Red")),IF(F15&lt;SUM(L15-SUM(L15*$G$4)),"Green",IF(F15&lt;SUM(L15+SUM(L15*$G$4)),"Amber","Red")))</f>
        <v>Green</v>
      </c>
      <c r="H15" s="273" t="str">
        <f>IF(G2="Scotland",IF(VLOOKUP($F$7,'Ill Health'!$C$7:$I$20,7,FALSE)&lt;VLOOKUP($K$7,'Ill Health'!$C$7:$I$20,7,FALSE),"Green",IF(VLOOKUP($F$7,'Ill Health'!$C$7:$I$20,7,FALSE)&lt;0,"Amber","Red")),IF(VLOOKUP($F$7,'Ill Health'!$C$7:$I$20,7,FALSE)&lt;VLOOKUP($L$7,'Ill Health'!$C$7:$I$20,7,FALSE),"Green",IF(VLOOKUP($F$7,'Ill Health'!$C$7:$I$20,7,FALSE)&lt;0,"Amber","Red")))</f>
        <v>Green</v>
      </c>
      <c r="I15" s="269" t="s">
        <v>513</v>
      </c>
      <c r="J15" s="273">
        <f>VLOOKUP(J$7,'Ill Health'!$C$7:$H$20,5,FALSE)</f>
        <v>31.3</v>
      </c>
      <c r="K15" s="273">
        <f>VLOOKUP(K$7,'Ill Health'!$C$7:$H$20,5,FALSE)</f>
        <v>31.6</v>
      </c>
      <c r="L15" s="273">
        <f>VLOOKUP(L$7,'Ill Health'!$C$7:$H$20,5,FALSE)</f>
        <v>27.5</v>
      </c>
      <c r="M15" s="268" t="str">
        <f>IF(L15="-",IF(J15&lt;SUM(K15-SUM(K15*$G$4)),"Green",IF(J15&lt;SUM(K15+SUM(K15*$G$4)),"Amber","Red")),IF(J15&lt;SUM(L15-SUM(L15*$G$4)),"Green",IF(J15&lt;SUM(L15+SUM(L15*$G$4)),"Amber","Red")))</f>
        <v>Red</v>
      </c>
      <c r="N15" s="273" t="str">
        <f>IF(L15="-",IF(VLOOKUP($J$7,'Ill Health'!$C$7:$I$20,7,FALSE)&lt;VLOOKUP($K$7,'Ill Health'!$C$7:$I$20,7,FALSE),"Green",IF(VLOOKUP($J$7,'Ill Health'!$C$7:$I$20,7,FALSE)&lt;0,"Amber","Red")),IF(VLOOKUP($J$7,'Ill Health'!$C$7:$I$20,7,FALSE)&lt;VLOOKUP($L$7,'Ill Health'!$C$7:$I$20,7,FALSE),"Green",IF(VLOOKUP($J$7,'Ill Health'!$C$7:$I$20,7,FALSE)&lt;0,"Amber","Red")))</f>
        <v>Green</v>
      </c>
      <c r="O15" s="277" t="s">
        <v>524</v>
      </c>
    </row>
    <row r="16" spans="1:49" ht="27.65" customHeight="1">
      <c r="B16" s="584"/>
      <c r="C16" s="581"/>
      <c r="D16" s="271" t="str">
        <f>VLOOKUP($D$7,'HLE Females'!$B$2:$C$2,2,FALSE)</f>
        <v>Healthy Life Expectancy - Females at birth</v>
      </c>
      <c r="E16" s="272" t="s">
        <v>607</v>
      </c>
      <c r="F16" s="273">
        <f>IF(F7="Pan-Lanarkshire","-",VLOOKUP(F$7,'HLE Females'!$C$7:$H$20,5,FALSE))</f>
        <v>57.43</v>
      </c>
      <c r="G16" s="273" t="str">
        <f>IF(F7="Pan-Lanarkshire","n/a",IF(G2="Scotland",IF(F16&gt;SUM(K16+SUM(K16*$G$4)),"Green",IF(F16&gt;SUM(K16-SUM(K16*$G$4)),"Amber","Red")),IF(F16&gt;SUM(L16+SUM(L16*$G$4)),"Green",IF(F16&gt;SUM(L16-SUM(L16*$G$4)),"Amber","Red"))))</f>
        <v>Amber</v>
      </c>
      <c r="H16" s="273" t="str">
        <f>IF(F7="Pan-Lanarkshire","n/a",IF(G2="Scotland",IF(VLOOKUP($F$7,'HLE Females'!$C$7:$I$20,7,FALSE)&gt;VLOOKUP($K$7,'HLE Females'!$C$7:$I$20,7,FALSE),"Green",IF(VLOOKUP($F$7,'HLE Females'!$C$7:$I$20,7,FALSE)&gt;0,"Amber","Red")),IF(VLOOKUP($F$7,'HLE Females'!$C$7:$I$20,7,FALSE)&gt;VLOOKUP($L$7,'HLE Females'!$C$7:$I$20,7,FALSE),"Green",IF(VLOOKUP($F$7,'HLE Females'!$C$7:$I$20,7,FALSE)&gt;0,"Amber","Red"))))</f>
        <v>Red</v>
      </c>
      <c r="I16" s="276" t="s">
        <v>512</v>
      </c>
      <c r="J16" s="273">
        <f>VLOOKUP(J$7,'HLE Females'!$C$7:$H$20,5,FALSE)</f>
        <v>61.053750000000008</v>
      </c>
      <c r="K16" s="273">
        <f>VLOOKUP(K$7,'HLE Females'!$C$7:$H$20,5,FALSE)</f>
        <v>61.79</v>
      </c>
      <c r="L16" s="273">
        <f>VLOOKUP(L$7,'HLE Females'!$C$7:$H$20,5,FALSE)</f>
        <v>63.59</v>
      </c>
      <c r="M16" s="273" t="str">
        <f>IF(L16="-",IF(J16&gt;SUM(K16+SUM(K16*$G$4)),"Green",IF(J16&gt;SUM(K16-SUM(K16*$G$4)),"Amber","Red")),IF(J16&gt;SUM(L16+SUM(L16*$G$4)),"Green",IF(J16&gt;SUM(L16-SUM(L16*$G$4)),"Amber","Red")))</f>
        <v>Amber</v>
      </c>
      <c r="N16" s="273" t="str">
        <f>IF(L16="-",IF(VLOOKUP($J$7,'HLE Females'!$C$7:$I$20,7,FALSE)&gt;VLOOKUP($K$7,'HLE Females'!$C$7:$I$20,7,FALSE),"Green",IF(VLOOKUP($J$7,'HLE Females'!$C$7:$I$20,7,FALSE)&gt;0,"Amber","Red")),IF(VLOOKUP($J$7,'HLE Females'!$C$7:$I$20,7,FALSE)&gt;VLOOKUP($L$7,'HLE Females'!$C$7:$I$20,7,FALSE),"Green",IF(VLOOKUP($J$7,'HLE Females'!$C$7:$I$20,7,FALSE)&gt;0,"Amber","Red")))</f>
        <v>Red</v>
      </c>
      <c r="O16" s="270" t="str">
        <f>VLOOKUP($O$7,'HLE Females'!$B$3:$C$3,2,TRUE)</f>
        <v>ONS - Healthy Life Expectancy</v>
      </c>
    </row>
    <row r="17" spans="2:16" ht="27.65" customHeight="1">
      <c r="B17" s="584"/>
      <c r="C17" s="581"/>
      <c r="D17" s="271" t="str">
        <f>VLOOKUP($D$7,'HLE Males'!$B$2:$C$2,2,FALSE)</f>
        <v>Healthy Life Expectancy - Males at birth</v>
      </c>
      <c r="E17" s="272" t="s">
        <v>607</v>
      </c>
      <c r="F17" s="273">
        <f>IF(F7="Pan-Lanarkshire","-",VLOOKUP(F$7,'HLE Males'!$C$7:$H$20,5,FALSE))</f>
        <v>56.01</v>
      </c>
      <c r="G17" s="273" t="str">
        <f>IF(F7="Pan-Lanarkshire","n/a",IF(G2="Scotland",IF(F17&gt;SUM(K17+SUM(K17*$G$4)),"Green",IF(F17&gt;SUM(K17-SUM(K17*$G$4)),"Amber","Red")),IF(F17&gt;SUM(L17+SUM(L17*$G$4)),"Green",IF(F17&gt;SUM(L17-SUM(L17*$G$4)),"Amber","Red"))))</f>
        <v>Amber</v>
      </c>
      <c r="H17" s="273" t="str">
        <f>IF(F7="Pan-Lanarkshire","n/a",IF(G2="Scotland",IF(VLOOKUP($F$7,'HLE Males'!$C$7:$I$20,7,FALSE)&gt;VLOOKUP($K$7,'HLE Males'!$C$7:$I$20,7,FALSE),"Green",IF(VLOOKUP($F$7,'HLE Males'!$C$7:$I$20,7,FALSE)&gt;0,"Amber","Red")),IF(VLOOKUP($F$7,'HLE Males'!$C$7:$I$20,7,FALSE)&gt;VLOOKUP($L$7,'HLE Males'!$C$7:$I$20,7,FALSE),"Green",IF(VLOOKUP($F$7,'HLE Males'!$C$7:$I$20,7,FALSE)&gt;0,"Amber","Red"))))</f>
        <v>Green</v>
      </c>
      <c r="I17" s="276" t="s">
        <v>512</v>
      </c>
      <c r="J17" s="273">
        <f>VLOOKUP(J$7,'HLE Males'!$C$7:$H$20,5,FALSE)</f>
        <v>60.057500000000005</v>
      </c>
      <c r="K17" s="273">
        <f>VLOOKUP(K$7,'HLE Males'!$C$7:$H$20,5,FALSE)</f>
        <v>60.93</v>
      </c>
      <c r="L17" s="273">
        <f>VLOOKUP(L$7,'HLE Males'!$C$7:$H$20,5,FALSE)</f>
        <v>62.83</v>
      </c>
      <c r="M17" s="273" t="str">
        <f>IF(L17="-",IF(J17&gt;SUM(K17+SUM(K17*$G$4)),"Green",IF(J17&gt;SUM(K17-SUM(K17*$G$4)),"Amber","Red")),IF(J17&gt;SUM(L17+SUM(L17*$G$4)),"Green",IF(J17&gt;SUM(L17-SUM(L17*$G$4)),"Amber","Red")))</f>
        <v>Amber</v>
      </c>
      <c r="N17" s="273" t="str">
        <f>IF(L17="-",IF(VLOOKUP($J$7,'HLE Males'!$C$7:$I$20,7,FALSE)&gt;VLOOKUP($K$7,'HLE Males'!$C$7:$I$20,7,FALSE),"Green",IF(VLOOKUP($J$7,'HLE Males'!$C$7:$I$20,7,FALSE)&gt;0,"Amber","Red")),IF(VLOOKUP($J$7,'HLE Males'!$C$7:$I$20,7,FALSE)&gt;VLOOKUP($L$7,'HLE Males'!$C$7:$I$20,7,FALSE),"Green",IF(VLOOKUP($J$7,'HLE Males'!$C$7:$I$20,7,FALSE)&gt;0,"Amber","Red")))</f>
        <v>Red</v>
      </c>
      <c r="O17" s="270" t="str">
        <f>VLOOKUP($O$7,'HLE Males'!$B$3:$C$3,2,TRUE)</f>
        <v>ONS - Healthy Life Expectancy</v>
      </c>
    </row>
    <row r="18" spans="2:16" ht="27.65" customHeight="1">
      <c r="B18" s="584"/>
      <c r="C18" s="581" t="s">
        <v>472</v>
      </c>
      <c r="D18" s="271" t="s">
        <v>458</v>
      </c>
      <c r="E18" s="272">
        <v>2023</v>
      </c>
      <c r="F18" s="273">
        <f>VLOOKUP(F$7,'Economic Inactivity'!$C$7:$H$20,5,FALSE)</f>
        <v>25.6</v>
      </c>
      <c r="G18" s="268" t="str">
        <f>IF(G2="Scotland",IF(F18&lt;SUM(K18-SUM(K18*$G$4)),"Green",IF(F18&lt;SUM(K18+SUM(K18*$G$4)),"Amber","Red")),IF(F18&lt;SUM(L18-SUM(L18*$G$4)),"Green",IF(F18&lt;SUM(L18+SUM(L18*$G$4)),"Amber","Red")))</f>
        <v>Red</v>
      </c>
      <c r="H18" s="273" t="str">
        <f>IF(G2="Scotland",IF(VLOOKUP($F$7,'Economic Inactivity'!$C$7:$I$20,7,FALSE)&lt;VLOOKUP($K$7,'Economic Inactivity'!$C$7:$I$20,7,FALSE),"Green",IF(VLOOKUP($F$7,'Economic Inactivity'!$C$7:$I$20,7,FALSE)&lt;0,"Amber","Red")),IF(VLOOKUP($F$7,'Economic Inactivity'!$C$7:$I$20,7,FALSE)&lt;VLOOKUP($L$7,'Economic Inactivity'!$C$7:$I$20,7,FALSE),"Green",IF(VLOOKUP($F$7,'Economic Inactivity'!$C$7:$I$20,7,FALSE)&lt;0,"Amber","Red")))</f>
        <v>Green</v>
      </c>
      <c r="I18" s="269" t="s">
        <v>513</v>
      </c>
      <c r="J18" s="273">
        <f>VLOOKUP(J$7,'Economic Inactivity'!$C$7:$H$20,5,FALSE)</f>
        <v>24.7</v>
      </c>
      <c r="K18" s="273">
        <f>VLOOKUP(K$7,'Economic Inactivity'!$C$7:$H$20,5,FALSE)</f>
        <v>22.5</v>
      </c>
      <c r="L18" s="273">
        <f>VLOOKUP(L$7,'Economic Inactivity'!$C$7:$H$20,5,FALSE)</f>
        <v>21.3</v>
      </c>
      <c r="M18" s="268" t="str">
        <f>IF(L18="-",IF(J18&lt;SUM(K18-SUM(K18*$G$4)),"Green",IF(J18&lt;SUM(K18+SUM(K18*$G$4)),"Amber","Red")),IF(J18&lt;SUM(L18-SUM(L18*$G$4)),"Green",IF(J18&lt;SUM(L18+SUM(L18*$G$4)),"Amber","Red")))</f>
        <v>Red</v>
      </c>
      <c r="N18" s="273" t="str">
        <f>IF(L18="-",IF(VLOOKUP($J$7,'Economic Inactivity'!$C$7:$I$20,7,FALSE)&lt;VLOOKUP($K$7,'Economic Inactivity'!$C$7:$I$20,7,FALSE),"Green",IF(VLOOKUP($J$7,'Economic Inactivity'!$C$7:$I$20,7,FALSE)&lt;0,"Amber","Red")),IF(VLOOKUP($J$7,'Economic Inactivity'!$C$7:$I$20,7,FALSE)&lt;VLOOKUP($L$7,'Economic Inactivity'!$C$7:$I$20,7,FALSE),"Green",IF(VLOOKUP($J$7,'Economic Inactivity'!$C$7:$I$20,7,FALSE)&lt;0,"Amber","Red")))</f>
        <v>Red</v>
      </c>
      <c r="O18" s="277" t="s">
        <v>524</v>
      </c>
      <c r="P18" s="278"/>
    </row>
    <row r="19" spans="2:16" ht="27.65" customHeight="1">
      <c r="B19" s="584"/>
      <c r="C19" s="581"/>
      <c r="D19" s="271" t="s">
        <v>456</v>
      </c>
      <c r="E19" s="272">
        <v>2023</v>
      </c>
      <c r="F19" s="273">
        <f>VLOOKUP(F$7,Employment!$C$7:$H$20,5,FALSE)</f>
        <v>71.2</v>
      </c>
      <c r="G19" s="273" t="str">
        <f>IF(G2="Scotland",IF(F19&gt;SUM(K19+SUM(K19*$G$4)),"Green",IF(F19&gt;SUM(K19-SUM(K19*$G$4)),"Amber","Red")),IF(F19&gt;SUM(L19+SUM(L19*$G$4)),"Green",IF(F19&gt;SUM(L19-SUM(L19*$G$4)),"Amber","Red")))</f>
        <v>Amber</v>
      </c>
      <c r="H19" s="273" t="str">
        <f>IF(G2="Scotland",IF(VLOOKUP($F$7,Employment!$C$7:$I$20,7,FALSE)&gt;VLOOKUP($K$7,Employment!$C$7:$I$20,7,FALSE),"Green",IF(VLOOKUP($F$7,Employment!$C$7:$I$20,7,FALSE)&gt;0,"Amber","Red")),IF(VLOOKUP($F$7,Employment!$C$7:$I$20,7,FALSE)&gt;VLOOKUP($L$7,Employment!$C$7:$I$20,7,FALSE),"Green",IF(VLOOKUP($F$7,Employment!$C$7:$I$20,7,FALSE)&gt;0,"Amber","Red")))</f>
        <v>Green</v>
      </c>
      <c r="I19" s="276" t="s">
        <v>512</v>
      </c>
      <c r="J19" s="273">
        <f>VLOOKUP(J$7,Employment!$C$7:$H$20,5,FALSE)</f>
        <v>72.900000000000006</v>
      </c>
      <c r="K19" s="273">
        <f>VLOOKUP(K$7,Employment!$C$7:$H$20,5,FALSE)</f>
        <v>74.7</v>
      </c>
      <c r="L19" s="273">
        <f>VLOOKUP(L$7,Employment!$C$7:$H$20,5,FALSE)</f>
        <v>75.7</v>
      </c>
      <c r="M19" s="273" t="str">
        <f>IF(L19="-",IF(J19&gt;SUM(K19+SUM(K19*$G$4)),"Green",IF(J19&gt;SUM(K19-SUM(K19*$G$4)),"Amber","Red")),IF(J19&gt;SUM(L19+SUM(L19*$G$4)),"Green",IF(J19&gt;SUM(L19-SUM(L19*$G$4)),"Amber","Red")))</f>
        <v>Amber</v>
      </c>
      <c r="N19" s="273" t="str">
        <f>IF(L19="-",IF(VLOOKUP($J$7,Employment!$C$7:$I$20,7,FALSE)&gt;VLOOKUP($K$7,Employment!$C$7:$I$20,7,FALSE),"Green",IF(VLOOKUP($J$7,Employment!$C$7:$I$20,7,FALSE)&gt;0,"Amber","Red")),IF(VLOOKUP($J$7,Employment!$C$7:$I$20,7,FALSE)&gt;VLOOKUP($L$7,Employment!$C$7:$I$20,7,FALSE),"Green",IF(VLOOKUP($J$7,Employment!$C$7:$I$20,7,FALSE)&gt;0,"Amber","Red")))</f>
        <v>Green</v>
      </c>
      <c r="O19" s="277" t="s">
        <v>524</v>
      </c>
    </row>
    <row r="20" spans="2:16" ht="27.65" customHeight="1">
      <c r="B20" s="584"/>
      <c r="C20" s="581"/>
      <c r="D20" s="271" t="s">
        <v>457</v>
      </c>
      <c r="E20" s="272">
        <v>2023</v>
      </c>
      <c r="F20" s="273">
        <f>VLOOKUP(F$7,Unemployment!$C$7:$H$20,5,FALSE)</f>
        <v>4.3</v>
      </c>
      <c r="G20" s="268" t="str">
        <f>IF(G2="Scotland",IF(F20&lt;SUM(K20-SUM(K20*$G$4)),"Green",IF(F20&lt;SUM(K20+SUM(K20*$G$4)),"Amber","Red")),IF(F20&lt;SUM(L20-SUM(L20*$G$4)),"Green",IF(F20&lt;SUM(L20+SUM(L20*$G$4)),"Amber","Red")))</f>
        <v>Red</v>
      </c>
      <c r="H20" s="273" t="str">
        <f>IF(G2="Scotland",IF(VLOOKUP($F$7,Unemployment!$C$7:$I$20,7,FALSE)&lt;VLOOKUP($K$7,Unemployment!$C$7:$I$20,7,FALSE),"Green",IF(VLOOKUP($F$7,Unemployment!$C$7:$I$20,7,FALSE)&lt;0,"Amber","Red")),IF(VLOOKUP($F$7,Unemployment!$C$7:$I$20,7,FALSE)&lt;VLOOKUP($L$7,Unemployment!$C$7:$I$20,7,FALSE),"Green",IF(VLOOKUP($F$7,Unemployment!$C$7:$I$20,7,FALSE)&lt;0,"Amber","Red")))</f>
        <v>Amber</v>
      </c>
      <c r="I20" s="269" t="s">
        <v>513</v>
      </c>
      <c r="J20" s="273">
        <f>VLOOKUP(J$7,Unemployment!$C$7:$H$20,5,FALSE)</f>
        <v>3.2</v>
      </c>
      <c r="K20" s="273">
        <f>VLOOKUP(K$7,Unemployment!$C$7:$H$20,5,FALSE)</f>
        <v>3.6</v>
      </c>
      <c r="L20" s="273">
        <f>VLOOKUP(L$7,Unemployment!$C$7:$H$20,5,FALSE)</f>
        <v>3.8</v>
      </c>
      <c r="M20" s="268" t="str">
        <f>IF(L20="-",IF(J20&lt;SUM(K20-SUM(K20*$G$4)),"Green",IF(J20&lt;SUM(K20+SUM(K20*$G$4)),"Amber","Red")),IF(J20&lt;SUM(L20-SUM(L20*$G$4)),"Green",IF(J20&lt;SUM(L20+SUM(L20*$G$4)),"Amber","Red")))</f>
        <v>Green</v>
      </c>
      <c r="N20" s="273" t="str">
        <f>IF(L20="-",IF(VLOOKUP($J$7,Unemployment!$C$7:$I$20,7,FALSE)&lt;VLOOKUP($K$7,Unemployment!$C$7:$I$20,7,FALSE),"Green",IF(VLOOKUP($J$7,Unemployment!$C$7:$I$20,7,FALSE)&lt;0,"Amber","Red")),IF(VLOOKUP($J$7,Unemployment!$C$7:$I$20,7,FALSE)&lt;VLOOKUP($L$7,Unemployment!$C$7:$I$20,7,FALSE),"Green",IF(VLOOKUP($J$7,Unemployment!$C$7:$I$20,7,FALSE)&lt;0,"Amber","Red")))</f>
        <v>Green</v>
      </c>
      <c r="O20" s="277" t="s">
        <v>524</v>
      </c>
    </row>
    <row r="21" spans="2:16" ht="27.65" customHeight="1">
      <c r="B21" s="584"/>
      <c r="C21" s="581"/>
      <c r="D21" s="271" t="str">
        <f>VLOOKUP($D$7,'Low Pay Sectors'!$B$2:$C$2,2,FALSE)</f>
        <v>Employment in low pay sectors (%)</v>
      </c>
      <c r="E21" s="272">
        <v>2023</v>
      </c>
      <c r="F21" s="273">
        <f>VLOOKUP(F$7,'Low Pay Sectors'!$C$7:$H$20,5,FALSE)</f>
        <v>29.9</v>
      </c>
      <c r="G21" s="268" t="str">
        <f>IF(G2="Scotland",IF(F21&lt;SUM(K21-SUM(K21*$G$4)),"Green",IF(F21&lt;SUM(K21+SUM(K21*$G$4)),"Amber","Red")),IF(L21="-","n/a",IF(F21&lt;SUM(L21-SUM(L21*$G$4)),"Green",IF(F21&lt;SUM(L21+SUM(L21*$G$4)),"Amber","Red"))))</f>
        <v>Amber</v>
      </c>
      <c r="H21" s="273" t="str">
        <f>IF(G2="Scotland",IF(VLOOKUP($F$7,'Low Pay Sectors'!$C$7:$I$20,7,FALSE)&lt;VLOOKUP($K$7,'Low Pay Sectors'!$C$7:$I$20,7,FALSE),"Green",IF(VLOOKUP($F$7,'Low Pay Sectors'!$C$7:$I$20,7,FALSE)&lt;0,"Amber","Red")),IF(L21="-","n/a",IF(VLOOKUP($F$7,'Low Pay Sectors'!$C$7:$I$20,7,FALSE)&lt;VLOOKUP($L$7,'Low Pay Sectors'!$C$7:$I$20,7,FALSE),"Green",IF(VLOOKUP($F$7,'Low Pay Sectors'!$C$7:$I$20,7,FALSE)&lt;0,"Amber","Red"))))</f>
        <v>Green</v>
      </c>
      <c r="I21" s="269" t="s">
        <v>513</v>
      </c>
      <c r="J21" s="273">
        <f>VLOOKUP(J$7,'Low Pay Sectors'!$C$7:$H$20,5,FALSE)</f>
        <v>30</v>
      </c>
      <c r="K21" s="273">
        <f>VLOOKUP(K$7,'Low Pay Sectors'!$C$7:$H$20,4,FALSE)</f>
        <v>29</v>
      </c>
      <c r="L21" s="273" t="s">
        <v>69</v>
      </c>
      <c r="M21" s="268" t="str">
        <f>IF(L21="-",IF(J21&lt;SUM(K21-SUM(K21*$G$4)),"Green",IF(J21&lt;SUM(K21+SUM(K21*$G$4)),"Amber","Red")),IF(J21&lt;SUM(L21-SUM(L21*$G$4)),"Green",IF(J21&lt;SUM(L21+SUM(L21*$G$4)),"Amber","Red")))</f>
        <v>Amber</v>
      </c>
      <c r="N21" s="273" t="str">
        <f>IF(L21="-",IF(VLOOKUP($J$7,'Low Pay Sectors'!$C$7:$I$20,7,FALSE)&lt;VLOOKUP($K$7,'Low Pay Sectors'!$C$7:$I$20,7,FALSE),"Green",IF(VLOOKUP($J$7,'Low Pay Sectors'!$C$7:$I$20,7,FALSE)&lt;0,"Amber","Red")),IF(VLOOKUP($J$7,'Low Pay Sectors'!$C$7:$I$20,7,FALSE)&lt;VLOOKUP($L$7,'Low Pay Sectors'!$C$7:$I$20,7,FALSE),"Green",IF(VLOOKUP($J$7,'Low Pay Sectors'!$C$7:$I$20,7,FALSE)&lt;0,"Amber","Red")))</f>
        <v>Red</v>
      </c>
      <c r="O21" s="270" t="str">
        <f>VLOOKUP($O$7,'Low Pay Sectors'!$B$3:$C$3,2,TRUE)</f>
        <v>Business Register and Employment Survey</v>
      </c>
    </row>
    <row r="22" spans="2:16" ht="27.65" customHeight="1">
      <c r="B22" s="584"/>
      <c r="C22" s="581"/>
      <c r="D22" s="271" t="str">
        <f>VLOOKUP($D$7,'Gender Gap'!$B$2:$C$2,2,FALSE)</f>
        <v xml:space="preserve">Gender Employment Gap (% points) </v>
      </c>
      <c r="E22" s="272">
        <v>2023</v>
      </c>
      <c r="F22" s="273">
        <f>VLOOKUP(F$7,'Gender Gap'!$C$7:$H$20,5,FALSE)</f>
        <v>1.7999999999999972</v>
      </c>
      <c r="G22" s="273" t="s">
        <v>455</v>
      </c>
      <c r="H22" s="273" t="str">
        <f>IF(G2="Scotland",IF(VLOOKUP($F$7,'Gender Gap'!$C$7:$H$20,6,FALSE)&lt;VLOOKUP($K$7,'Gender Gap'!$C$7:$H$20,6,FALSE),"Green",IF(VLOOKUP($F$7,'Gender Gap'!$C$7:$H$20,6,FALSE)&lt;0,"Amber","Red")),IF(VLOOKUP($F$7,'Gender Gap'!$C$7:$H$20,6,FALSE)&lt;VLOOKUP($L$7,'Gender Gap'!$C$7:$H$20,6,FALSE),"Green",IF(VLOOKUP($F$7,'Gender Gap'!$C$7:$H$20,6,FALSE)&lt;0,"Amber","Red")))</f>
        <v>Green</v>
      </c>
      <c r="I22" s="276" t="s">
        <v>514</v>
      </c>
      <c r="J22" s="273">
        <f>VLOOKUP(J$7,'Gender Gap'!$C$7:$H$20,5,FALSE)</f>
        <v>5.8000000000000114</v>
      </c>
      <c r="K22" s="273">
        <f>VLOOKUP(K$7,'Gender Gap'!$C$7:$H$20,5,FALSE)</f>
        <v>4.2000000000000028</v>
      </c>
      <c r="L22" s="273">
        <f>VLOOKUP(L$7,'Gender Gap'!$C$7:$H$20,5,FALSE)</f>
        <v>7.0999999999999943</v>
      </c>
      <c r="M22" s="273" t="str">
        <f>IF(L22="-",IF(J22&lt;SUM(K22-SUM(K8*G4)),"Green",IF(J22&lt;SUM(K22+SUM(K8*G4)),"Amber","Red")),IF(J22&lt;SUM(L22-SUM(L8*G4)),"Green",IF(J22&lt;SUM(L22+SUM(L8*G4)),"Amber","Red")))</f>
        <v>Amber</v>
      </c>
      <c r="N22" s="273" t="str">
        <f>IF(L22="-",IF(VLOOKUP($J$7,'Gender Gap'!$C$7:$H$20,6,FALSE)&lt;VLOOKUP($K$7,'Gender Gap'!$C$7:$H$20,6,FALSE),"Green",IF(VLOOKUP($J$7,'Gender Gap'!$C$7:$H$20,6,FALSE)&lt;0,"Amber","Red")),IF(VLOOKUP($J$7,'Gender Gap'!$C$7:$H$20,6,FALSE)&lt;VLOOKUP($L$7,'Gender Gap'!$C$7:$H$20,6,FALSE),"Green",IF(VLOOKUP($J$7,'Gender Gap'!$C$7:$H$20,6,FALSE)&lt;0,"Amber","Red")))</f>
        <v>Green</v>
      </c>
      <c r="O22" s="270" t="str">
        <f>VLOOKUP($O$7,'Gender Gap'!$B$3:$C$3,2,TRUE)</f>
        <v>Annual Population Survey 2023</v>
      </c>
    </row>
    <row r="23" spans="2:16" ht="27.65" customHeight="1">
      <c r="B23" s="584"/>
      <c r="C23" s="581"/>
      <c r="D23" s="271" t="s">
        <v>65</v>
      </c>
      <c r="E23" s="272">
        <v>2023</v>
      </c>
      <c r="F23" s="273">
        <f>VLOOKUP(F$7,Earnings!$C$7:$H$20,5,FALSE)</f>
        <v>681.4</v>
      </c>
      <c r="G23" s="273" t="str">
        <f>IF(G2="Scotland",IF(F23&gt;SUM(K23+SUM(K23*$G$4)),"Green",IF(F23&gt;SUM(K23-SUM(K23*$G$4)),"Amber","Red")),IF(F23&gt;SUM(L23+SUM(L23*$G$4)),"Green",IF(F23&gt;SUM(L23-SUM(L23*$G$4)),"Amber","Red")))</f>
        <v>Amber</v>
      </c>
      <c r="H23" s="273" t="str">
        <f>IF(G2="Scotland",IF(VLOOKUP($F$7,Earnings!$C$7:$I$20,6,FALSE)&gt;VLOOKUP($K$7,Earnings!$C$7:$I$20,6,FALSE),"Green",IF(VLOOKUP($F$7,Earnings!$C$7:$I$20,6,FALSE)&gt;0,"Amber","Red")),IF(VLOOKUP($F$7,Earnings!$C$7:$I$20,6,FALSE)&gt;VLOOKUP($L$7,Earnings!$C$7:$I$20,6,FALSE),"Green",IF(VLOOKUP($F$7,Earnings!$C$7:$I$20,6,FALSE)&gt;0,"Amber","Red")))</f>
        <v>Amber</v>
      </c>
      <c r="I23" s="276" t="s">
        <v>512</v>
      </c>
      <c r="J23" s="273">
        <f>VLOOKUP(J$7,Earnings!$C$7:$H$20,5,FALSE)</f>
        <v>739.30000000000007</v>
      </c>
      <c r="K23" s="273">
        <f>VLOOKUP(K$7,Earnings!$C$7:$H$20,5,FALSE)</f>
        <v>702.4</v>
      </c>
      <c r="L23" s="273">
        <f>VLOOKUP(L$7,Earnings!$C$7:$H$20,5,FALSE)</f>
        <v>681.7</v>
      </c>
      <c r="M23" s="273" t="str">
        <f>IF(L23="-",IF(J23&gt;SUM(K23+SUM(K23*$G$4)),"Green",IF(J23&gt;SUM(K23-SUM(K23*$G$4)),"Amber","Red")),IF(J23&gt;SUM(L23+SUM(L23*$G$4)),"Green",IF(J23&gt;SUM(L23-SUM(L23*$G$4)),"Amber","Red")))</f>
        <v>Amber</v>
      </c>
      <c r="N23" s="273" t="str">
        <f>IF(L23="-",IF(VLOOKUP($J$7,Earnings!$C$7:$I$20,6,FALSE)&gt;VLOOKUP($K$7,Earnings!$C$7:$I$20,6,FALSE),"Green",IF(VLOOKUP($J$7,Earnings!$C$7:$I$20,6,FALSE)&gt;0,"Amber","Red")),IF(VLOOKUP($J$7,Earnings!$C$7:$I$20,6,FALSE)&gt;VLOOKUP($L$7,Earnings!$C$7:$I$20,6,FALSE),"Green",IF(VLOOKUP($J$7,Earnings!$C$7:$I$20,6,FALSE)&gt;0,"Amber","Red")))</f>
        <v>Amber</v>
      </c>
      <c r="O23" s="270" t="str">
        <f>VLOOKUP($O$7,Earnings!$B$3:$C$3,2,TRUE)</f>
        <v>ASHE</v>
      </c>
    </row>
    <row r="24" spans="2:16" ht="27.65" customHeight="1">
      <c r="B24" s="584"/>
      <c r="C24" s="581"/>
      <c r="D24" s="271" t="str">
        <f>VLOOKUP($D$7,'Low Earnings'!$B$2:$C$2,2,FALSE)</f>
        <v>20th Percentile Weekly Earnings (Residence-based, FT)</v>
      </c>
      <c r="E24" s="272">
        <v>2023</v>
      </c>
      <c r="F24" s="273">
        <f>VLOOKUP(F$7,'Low Earnings'!$C$7:$H$20,5,FALSE)</f>
        <v>492.1</v>
      </c>
      <c r="G24" s="273" t="str">
        <f>IF(G2="Scotland",IF(F24&gt;SUM(K24+SUM(K24*$G$4)),"Green",IF(F24&gt;SUM(K24-SUM(K24*$G$4)),"Amber","Red")),IF(F24&gt;SUM(L24+SUM(L24*$G$4)),"Green",IF(F24&gt;SUM(L24-SUM(L24*$G$4)),"Amber","Red")))</f>
        <v>Amber</v>
      </c>
      <c r="H24" s="273" t="str">
        <f>IF(G2="Scotland",IF(VLOOKUP($F$7,'Low Earnings'!$C$7:$I$20,6,FALSE)&gt;VLOOKUP($K$7,'Low Earnings'!$C$7:$I$20,6,FALSE),"Green",IF(VLOOKUP($F$7,'Low Earnings'!$C$7:$I$20,6,FALSE)&gt;0,"Amber","Red")),IF(VLOOKUP($F$7,'Low Earnings'!$C$7:$I$20,6,FALSE)&gt;VLOOKUP($L$7,'Low Earnings'!$C$7:$I$20,6,FALSE),"Green",IF(VLOOKUP($F$7,'Low Earnings'!$C$7:$I$20,6,FALSE)&gt;0,"Amber","Red")))</f>
        <v>Amber</v>
      </c>
      <c r="I24" s="276" t="s">
        <v>512</v>
      </c>
      <c r="J24" s="273">
        <f>VLOOKUP(J$7,'Low Earnings'!$C$7:$H$20,5,FALSE)</f>
        <v>525.27500000000009</v>
      </c>
      <c r="K24" s="273">
        <f>VLOOKUP(K$7,'Low Earnings'!$C$7:$H$20,5,FALSE)</f>
        <v>499.7</v>
      </c>
      <c r="L24" s="273">
        <f>VLOOKUP(L$7,'Low Earnings'!$C$7:$H$20,5,FALSE)</f>
        <v>490.5</v>
      </c>
      <c r="M24" s="273" t="str">
        <f>IF(L24="-",IF(J24&gt;SUM(K24+SUM(K24*$G$4)),"Green",IF(J24&gt;SUM(K24-SUM(K24*$G$4)),"Amber","Red")),IF(J24&gt;SUM(L24+SUM(L24*$G$4)),"Green",IF(J24&gt;SUM(L24-SUM(L24*$G$4)),"Amber","Red")))</f>
        <v>Amber</v>
      </c>
      <c r="N24" s="273" t="str">
        <f>IF(L24="-",IF(VLOOKUP($J$7,'Low Earnings'!$C$7:$I$20,6,FALSE)&gt;VLOOKUP($K$7,'Low Earnings'!$C$7:$I$20,6,FALSE),"Green",IF(VLOOKUP($J$7,'Low Earnings'!$C$7:$I$20,6,FALSE)&gt;0,"Amber","Red")),IF(VLOOKUP($J$7,'Low Earnings'!$C$7:$I$20,6,FALSE)&gt;VLOOKUP($L$7,'Low Earnings'!$C$7:$I$20,6,FALSE),"Green",IF(VLOOKUP($J$7,'Low Earnings'!$C$7:$I$20,6,FALSE)&gt;0,"Amber","Red")))</f>
        <v>Green</v>
      </c>
      <c r="O24" s="270" t="str">
        <f>VLOOKUP($O$7,'Low Earnings'!$B$3:$C$3,2,TRUE)</f>
        <v>ASHE</v>
      </c>
    </row>
    <row r="25" spans="2:16" ht="27.65" customHeight="1">
      <c r="B25" s="584"/>
      <c r="C25" s="581"/>
      <c r="D25" s="271" t="str">
        <f>VLOOKUP($D$7,Underemployment!$B$2:$C$2,2,FALSE)</f>
        <v>Underemployment Rate</v>
      </c>
      <c r="E25" s="272">
        <v>2020</v>
      </c>
      <c r="F25" s="273">
        <f>IF(F7="Pan-Lanarkshire","-",VLOOKUP(F$7,Underemployment!$C$7:$H$20,5,FALSE))</f>
        <v>6.3</v>
      </c>
      <c r="G25" s="268" t="str">
        <f>IF(F7="Pan-Lanarkshire","n/a",IF(G2="Scotland",IF(F25&lt;SUM(K25-SUM(K25*$G$4)),"Green",IF(F25&lt;SUM(K25+SUM(K25*$G$4)),"Amber","Red")),IF(L25="-","n/a",IF(F25&lt;SUM(L25-SUM(L25*$G$4)),"Green",IF(F25&lt;SUM(L25+SUM(L25*$G$4)),"Amber","Red")))))</f>
        <v>Green</v>
      </c>
      <c r="H25" s="273" t="str">
        <f>IF(F7="Pan-Lanarkshire","n/a",IF(G2="Scotland",IF(VLOOKUP($F$7,Underemployment!$C$7:$I$20,7,FALSE)&lt;VLOOKUP($K$7,Underemployment!$C$7:$I$20,7,FALSE),"Green",IF(VLOOKUP($F$7,Underemployment!$C$7:$I$20,7,FALSE)&lt;0,"Amber","Red")),IF(L25="-","n/a",IF(VLOOKUP($F$7,Underemployment!$C$7:$I$20,7,FALSE)&lt;VLOOKUP($L$7,Underemployment!$C$7:$I$20,7,FALSE),"Green",IF(VLOOKUP($F$7,Underemployment!$C$7:$I$20,7,FALSE)&lt;0,"Amber","Red")))))</f>
        <v>Green</v>
      </c>
      <c r="I25" s="269" t="s">
        <v>513</v>
      </c>
      <c r="J25" s="273">
        <f>VLOOKUP(J$7,Underemployment!$C$7:$H$20,5,FALSE)</f>
        <v>7.391824808634845</v>
      </c>
      <c r="K25" s="273">
        <f>VLOOKUP(K$7,Underemployment!$C$7:$H$20,5,FALSE)</f>
        <v>8.1</v>
      </c>
      <c r="L25" s="273" t="str">
        <f>VLOOKUP(L$7,Underemployment!$C$7:$H$20,5,FALSE)</f>
        <v>-</v>
      </c>
      <c r="M25" s="268" t="str">
        <f>IF(L25="-",IF(J25&lt;SUM(K25-SUM(K25*$G$4)),"Green",IF(J25&lt;SUM(K25+SUM(K25*$G$4)),"Amber","Red")),IF(J25&lt;SUM(L25-SUM(L25*$G$4)),"Green",IF(J25&lt;SUM(L25+SUM(L25*$G$4)),"Amber","Red")))</f>
        <v>Amber</v>
      </c>
      <c r="N25" s="273" t="str">
        <f>IF(L25="-",IF(VLOOKUP($J$7,Underemployment!$C$7:$I$20,7,FALSE)&lt;VLOOKUP($K$7,Underemployment!$C$7:$I$20,7,FALSE),"Green",IF(VLOOKUP($J$7,Underemployment!$C$7:$I$20,7,FALSE)&lt;0,"Amber","Red")),IF(VLOOKUP($J$7,Underemployment!$C$7:$I$20,7,FALSE)&lt;VLOOKUP($L$7,Underemployment!$C$7:$I$20,7,FALSE),"Green",IF(VLOOKUP($J$7,Underemployment!$C$7:$I$20,7,FALSE)&lt;0,"Amber","Red")))</f>
        <v>Green</v>
      </c>
      <c r="O25" s="270" t="str">
        <f>VLOOKUP($O$7,Underemployment!$B$3:$C$3,2,TRUE)</f>
        <v>Scotland's Labour Market</v>
      </c>
    </row>
    <row r="26" spans="2:16" ht="27.65" customHeight="1">
      <c r="B26" s="584"/>
      <c r="C26" s="581"/>
      <c r="D26" s="271" t="str">
        <f>VLOOKUP($D$7,'SOC 1 Occupation'!$B$2:$C$2,2,FALSE)</f>
        <v>% Employed in SOC1 Occupations</v>
      </c>
      <c r="E26" s="272">
        <v>2023</v>
      </c>
      <c r="F26" s="273">
        <f>VLOOKUP(F$7,'SOC 1 Occupation'!$C$7:$H$20,5,FALSE)</f>
        <v>3.4</v>
      </c>
      <c r="G26" s="273" t="str">
        <f>IF(G2="Scotland",IF(F26&gt;SUM(K26+SUM(K26*$G$4)),"Green",IF(F26&gt;SUM(K26-SUM(K26*$G$4)),"Amber","Red")),IF(F26&gt;SUM(L26+SUM(L26*$G$4)),"Green",IF(F26&gt;SUM(L26-SUM(L26*$G$4)),"Amber","Red")))</f>
        <v>Red</v>
      </c>
      <c r="H26" s="273" t="s">
        <v>69</v>
      </c>
      <c r="I26" s="276" t="s">
        <v>512</v>
      </c>
      <c r="J26" s="273">
        <f>VLOOKUP(J$7,'SOC 1 Occupation'!$C$7:$H$20,5,FALSE)</f>
        <v>6.4</v>
      </c>
      <c r="K26" s="273">
        <f>VLOOKUP(K$7,'SOC 1 Occupation'!$C$7:$H$20,5,FALSE)</f>
        <v>7.7</v>
      </c>
      <c r="L26" s="273">
        <f>VLOOKUP(L$7,'SOC 1 Occupation'!$C$7:$H$20,5,FALSE)</f>
        <v>10.7</v>
      </c>
      <c r="M26" s="273" t="str">
        <f>IF(L26="-",IF(J26&gt;SUM(K26+SUM(K26*$G$4)),"Green",IF(J26&gt;SUM(K26-SUM(K26*$G$4)),"Amber","Red")),IF(J26&gt;SUM(L26+SUM(L26*$G$4)),"Green",IF(J26&gt;SUM(L26-SUM(L26*$G$4)),"Amber","Red")))</f>
        <v>Red</v>
      </c>
      <c r="N26" s="273" t="s">
        <v>69</v>
      </c>
      <c r="O26" s="270" t="str">
        <f>VLOOKUP($O$7,'SOC 1 Occupation'!$B$3:$C$3,2,TRUE)</f>
        <v>Annual Population Survey 2023</v>
      </c>
    </row>
    <row r="27" spans="2:16" ht="27.65" customHeight="1">
      <c r="B27" s="584"/>
      <c r="C27" s="581"/>
      <c r="D27" s="271" t="str">
        <f>'Satisfactory hours'!C2</f>
        <v>Satisfactory hours (% of employees)</v>
      </c>
      <c r="E27" s="272">
        <v>2021</v>
      </c>
      <c r="F27" s="273">
        <f>VLOOKUP(F$7,'Satisfactory hours'!$C$7:$E$20,2,FALSE)</f>
        <v>81.5</v>
      </c>
      <c r="G27" s="273" t="s">
        <v>69</v>
      </c>
      <c r="H27" s="273" t="s">
        <v>69</v>
      </c>
      <c r="I27" s="276" t="s">
        <v>512</v>
      </c>
      <c r="J27" s="273">
        <f>VLOOKUP(J$7,'Satisfactory hours'!$C$7:$E$20,2,FALSE)</f>
        <v>83.763279445727477</v>
      </c>
      <c r="K27" s="273" t="s">
        <v>69</v>
      </c>
      <c r="L27" s="273" t="s">
        <v>69</v>
      </c>
      <c r="M27" s="273" t="s">
        <v>69</v>
      </c>
      <c r="N27" s="273" t="s">
        <v>69</v>
      </c>
      <c r="O27" s="270" t="s">
        <v>631</v>
      </c>
    </row>
    <row r="28" spans="2:16" ht="27.65" customHeight="1">
      <c r="B28" s="584"/>
      <c r="C28" s="581"/>
      <c r="D28" s="271" t="str">
        <f>'Low pay'!C2</f>
        <v>Low Pay (% of employees)</v>
      </c>
      <c r="E28" s="272">
        <v>2021</v>
      </c>
      <c r="F28" s="273">
        <f>VLOOKUP(F$7,'Low pay'!$C$7:$H$20,2,FALSE)</f>
        <v>7.4</v>
      </c>
      <c r="G28" s="273" t="s">
        <v>69</v>
      </c>
      <c r="H28" s="273" t="s">
        <v>69</v>
      </c>
      <c r="I28" s="269" t="s">
        <v>513</v>
      </c>
      <c r="J28" s="273">
        <f>VLOOKUP(J$7,'Low pay'!$C$7:$H$20,2,FALSE)</f>
        <v>9.1503464203233253</v>
      </c>
      <c r="K28" s="273" t="s">
        <v>69</v>
      </c>
      <c r="L28" s="273" t="s">
        <v>69</v>
      </c>
      <c r="M28" s="273" t="s">
        <v>69</v>
      </c>
      <c r="N28" s="273" t="s">
        <v>69</v>
      </c>
      <c r="O28" s="270" t="s">
        <v>631</v>
      </c>
    </row>
    <row r="29" spans="2:16" ht="27.65" customHeight="1">
      <c r="B29" s="584"/>
      <c r="C29" s="581"/>
      <c r="D29" s="271" t="str">
        <f>'Zero-hour contracts'!C2</f>
        <v>Zero-hour contracts (% of employees)</v>
      </c>
      <c r="E29" s="272">
        <v>2021</v>
      </c>
      <c r="F29" s="273">
        <f>VLOOKUP(F$7,'Zero-hour contracts'!$C$7:$H$20,2,FALSE)</f>
        <v>1.4</v>
      </c>
      <c r="G29" s="273" t="s">
        <v>69</v>
      </c>
      <c r="H29" s="273" t="s">
        <v>69</v>
      </c>
      <c r="I29" s="269" t="s">
        <v>513</v>
      </c>
      <c r="J29" s="273">
        <f>VLOOKUP(J$7,'Zero-hour contracts'!$C$7:$H$20,2,FALSE)</f>
        <v>1.5071593533487297</v>
      </c>
      <c r="K29" s="273" t="s">
        <v>69</v>
      </c>
      <c r="L29" s="273" t="s">
        <v>69</v>
      </c>
      <c r="M29" s="273" t="s">
        <v>69</v>
      </c>
      <c r="N29" s="273" t="s">
        <v>69</v>
      </c>
      <c r="O29" s="270" t="s">
        <v>631</v>
      </c>
    </row>
    <row r="30" spans="2:16" ht="27.65" customHeight="1">
      <c r="B30" s="584"/>
      <c r="C30" s="586" t="s">
        <v>473</v>
      </c>
      <c r="D30" s="271" t="str">
        <f>VLOOKUP($D$7,'10 Mb'!$B$2:$C$2,2,FALSE)</f>
        <v>% premises unable to access 10Mb connection</v>
      </c>
      <c r="E30" s="272">
        <v>2023</v>
      </c>
      <c r="F30" s="273">
        <f>VLOOKUP(F$7,'10 Mb'!$C$7:$I$20,5,FALSE)</f>
        <v>0.19726294006782563</v>
      </c>
      <c r="G30" s="268" t="str">
        <f>IF(G2="Scotland",IF(F30&lt;SUM(K30-SUM(K30*$G$4)),"Green",IF(F30&lt;SUM(K30+SUM(K30*$G$4)),"Amber","Red")),IF(F30&lt;SUM(L30-SUM(L30*$G$4)),"Green",IF(F30&lt;SUM(L30+SUM(L30*$G$4)),"Amber","Red")))</f>
        <v>Green</v>
      </c>
      <c r="H30" s="273" t="str">
        <f>IF(G2="Scotland",IF(VLOOKUP($F$7,'10 Mb'!$C$7:$J$20,7,FALSE)&lt;VLOOKUP($K$7,'10 Mb'!$C$7:$J$20,7,FALSE),"Green",IF(VLOOKUP($F$7,'10 Mb'!$C$7:$J$20,7,FALSE)&lt;0,"Amber","Red")),IF(VLOOKUP($F$7,'10 Mb'!$C$7:$J$20,7,FALSE)&lt;VLOOKUP($L$7,'10 Mb'!$C$7:$J$20,7,FALSE),"Green",IF(VLOOKUP($F$7,'10 Mb'!$C$7:$J$20,7,FALSE)&lt;0,"Amber","Red")))</f>
        <v>Green</v>
      </c>
      <c r="I30" s="269" t="s">
        <v>513</v>
      </c>
      <c r="J30" s="273">
        <f>VLOOKUP(J$7,'10 Mb'!$C$7:$I$20,5,FALSE)</f>
        <v>0.51038141981305907</v>
      </c>
      <c r="K30" s="273">
        <f>VLOOKUP(K$7,'10 Mb'!$C$7:$I$20,5,FALSE)</f>
        <v>1.9962149234637843</v>
      </c>
      <c r="L30" s="273">
        <f>VLOOKUP(L$7,'10 Mb'!$C$7:$I$20,5,FALSE)</f>
        <v>0.96442335420487291</v>
      </c>
      <c r="M30" s="268" t="str">
        <f>IF(L30="-",IF(J30&lt;SUM(K30-SUM(K30*$G$4)),"Green",IF(J30&lt;SUM(K30+SUM(K30*$G$4)),"Amber","Red")),IF(J30&lt;SUM(L30-SUM(L30*$G$4)),"Green",IF(J30&lt;SUM(L30+SUM(L30*$G$4)),"Amber","Red")))</f>
        <v>Green</v>
      </c>
      <c r="N30" s="273" t="str">
        <f>IF(L30="-",IF(VLOOKUP($J$7,'10 Mb'!$C$7:$J$20,7,FALSE)&lt;VLOOKUP($K$7,'10 Mb'!$C$7:$J$20,7,FALSE),"Green",IF(VLOOKUP($J$7,'10 Mb'!$C$7:$J$20,7,FALSE)&lt;0,"Amber","Red")),IF(VLOOKUP($J$7,'10 Mb'!$C$7:$J$20,7,FALSE)&lt;VLOOKUP($L$7,'10 Mb'!$C$7:$J$20,7,FALSE),"Green",IF(VLOOKUP($J$7,'10 Mb'!$C$7:$J$20,7,FALSE)&lt;0,"Amber","Red")))</f>
        <v>Red</v>
      </c>
      <c r="O30" s="270" t="str">
        <f>VLOOKUP($O$7,'10 Mb'!$B$3:$C$3,2,TRUE)</f>
        <v>OFCOM - Connected Nations</v>
      </c>
    </row>
    <row r="31" spans="2:16" ht="27.65" customHeight="1">
      <c r="B31" s="584"/>
      <c r="C31" s="587"/>
      <c r="D31" s="271" t="str">
        <f>VLOOKUP($D$7,UFBB!$B$2:$C$2,2,FALSE)</f>
        <v>% premises with available Ultra-fast broadband connection</v>
      </c>
      <c r="E31" s="272">
        <v>2023</v>
      </c>
      <c r="F31" s="275">
        <f>VLOOKUP(F$7,UFBB!$C$7:$I$20,5,FALSE)</f>
        <v>85.637323437944247</v>
      </c>
      <c r="G31" s="273" t="str">
        <f>IF(G2="Scotland",IF(F31&gt;SUM(K31+SUM(K31*$G$4)),"Green",IF(F31&gt;SUM(K31-SUM(K31*$G$4)),"Amber","Red")),IF(F31&gt;SUM(L31+SUM(L31*$G$4)),"Green",IF(F31&gt;SUM(L31-SUM(L31*$G$4)),"Amber","Red")))</f>
        <v>Green</v>
      </c>
      <c r="H31" s="273" t="str">
        <f>IF(G2="Scotland",IF(VLOOKUP($F$7,UFBB!$C$7:$J$20,7,FALSE)&gt;VLOOKUP($K$7,UFBB!$C$7:$J$20,7,FALSE),"Green",IF(VLOOKUP($F$7,UFBB!$C$7:$J$20,7,FALSE)&gt;0,"Amber","Red")),IF(VLOOKUP($F$7,UFBB!$C$7:$J$20,7,FALSE)&gt;VLOOKUP($L$7,UFBB!$C$7:$J$20,7,FALSE),"Green",IF(VLOOKUP($F$7,UFBB!$C$7:$J$20,7,FALSE)&gt;0,"Amber","Red")))</f>
        <v>Green</v>
      </c>
      <c r="I31" s="276" t="s">
        <v>512</v>
      </c>
      <c r="J31" s="275">
        <f>VLOOKUP(J$7,UFBB!$C$7:$I$20,5,FALSE)</f>
        <v>85.937866427686018</v>
      </c>
      <c r="K31" s="275">
        <f>VLOOKUP(K$7,UFBB!$C$7:$I$20,5,FALSE)</f>
        <v>71.206251526594826</v>
      </c>
      <c r="L31" s="275">
        <f>VLOOKUP(L$7,UFBB!$C$7:$I$20,5,FALSE)</f>
        <v>76.809329674909861</v>
      </c>
      <c r="M31" s="273" t="str">
        <f>IF(L31="-",IF(J31&gt;SUM(K31+SUM(K31*$G$4)),"Green",IF(J31&gt;SUM(K31-SUM(K31*$G$4)),"Amber","Red")),IF(J31&gt;SUM(L31+SUM(L31*$G$4)),"Green",IF(J31&gt;SUM(L31-SUM(L31*$G$4)),"Amber","Red")))</f>
        <v>Green</v>
      </c>
      <c r="N31" s="273" t="str">
        <f>IF(L31="-",IF(VLOOKUP($J$7,UFBB!$C$7:$J$20,7,FALSE)&gt;VLOOKUP($K$7,UFBB!$C$7:$J$20,7,FALSE),"Green",IF(VLOOKUP($J$7,UFBB!$C$7:$J$20,7,FALSE)&gt;0,"Amber","Red")),IF(VLOOKUP($J$7,UFBB!$C$7:$J$20,7,FALSE)&gt;VLOOKUP($L$7,UFBB!$C$7:$J$20,7,FALSE),"Green",IF(VLOOKUP($J$7,UFBB!$C$7:$J$20,7,FALSE)&gt;0,"Amber","Red")))</f>
        <v>Amber</v>
      </c>
      <c r="O31" s="270" t="str">
        <f>VLOOKUP($O$7,UFBB!$B$3:$C$3,2,TRUE)</f>
        <v>OFCOM - Connected Nations</v>
      </c>
    </row>
    <row r="32" spans="2:16" ht="27.65" customHeight="1">
      <c r="B32" s="584"/>
      <c r="C32" s="585"/>
      <c r="D32" s="271" t="str">
        <f>VLOOKUP($D$7,Fibre!$B$2:$C$2,2,FALSE)</f>
        <v>% premises with available Fibre broadband connection</v>
      </c>
      <c r="E32" s="272">
        <v>2023</v>
      </c>
      <c r="F32" s="275">
        <f>VLOOKUP(F$7,Fibre!$C$7:$I$20,5,FALSE)</f>
        <v>71.167075554930264</v>
      </c>
      <c r="G32" s="273" t="str">
        <f>IF(G2="Scotland",IF(F32&gt;SUM(K32+SUM(K32*$G$4)),"Green",IF(F32&gt;SUM(K32-SUM(K32*$G$4)),"Amber","Red")),IF(F32&gt;SUM(L32+SUM(L32*$G$4)),"Green",IF(F32&gt;SUM(L32-SUM(L32*$G$4)),"Amber","Red")))</f>
        <v>Green</v>
      </c>
      <c r="H32" s="273" t="str">
        <f>IF(G2="Scotland",IF(VLOOKUP($F$7,Fibre!$C$7:$J$20,7,FALSE)&gt;VLOOKUP($K$7,Fibre!$C$7:$J$20,7,FALSE),"Green",IF(VLOOKUP($F$7,Fibre!$C$7:$J$20,7,FALSE)&gt;0,"Amber","Red")),IF(VLOOKUP($F$7,Fibre!$C$7:$J$20,7,FALSE)&gt;VLOOKUP($L$7,Fibre!$C$7:$J$20,7,FALSE),"Green",IF(VLOOKUP($F$7,Fibre!$C$7:$J$20,7,FALSE)&gt;0,"Amber","Red")))</f>
        <v>Green</v>
      </c>
      <c r="I32" s="276" t="s">
        <v>512</v>
      </c>
      <c r="J32" s="275">
        <f>VLOOKUP(J$7,Fibre!$C$7:$I$20,5,FALSE)</f>
        <v>52.789980401353475</v>
      </c>
      <c r="K32" s="275">
        <f>VLOOKUP(K$7,Fibre!$C$7:$I$20,5,FALSE)</f>
        <v>52.148654751465969</v>
      </c>
      <c r="L32" s="275">
        <f>VLOOKUP(L$7,Fibre!$C$7:$I$20,5,FALSE)</f>
        <v>55.79323835754397</v>
      </c>
      <c r="M32" s="273" t="str">
        <f>IF(L32="-",IF(J32&gt;SUM(K32+SUM(K32*$G$4)),"Green",IF(J32&gt;SUM(K32-SUM(K32*$G$4)),"Amber","Red")),IF(J32&gt;SUM(L32+SUM(L32*$G$4)),"Green",IF(J32&gt;SUM(L32-SUM(L32*$G$4)),"Amber","Red")))</f>
        <v>Amber</v>
      </c>
      <c r="N32" s="273" t="str">
        <f>IF(L32="-",IF(VLOOKUP($J$7,Fibre!$C$7:$J$20,7,FALSE)&gt;VLOOKUP($K$7,Fibre!$C$7:$J$20,7,FALSE),"Green",IF(VLOOKUP($J$7,Fibre!$C$7:$J$20,7,FALSE)&gt;0,"Amber","Red")),IF(VLOOKUP($J$7,Fibre!$C$7:$J$20,7,FALSE)&gt;VLOOKUP($L$7,Fibre!$C$7:$J$20,7,FALSE),"Green",IF(VLOOKUP($J$7,Fibre!$C$7:$J$20,7,FALSE)&gt;0,"Amber","Red")))</f>
        <v>Green</v>
      </c>
      <c r="O32" s="270" t="str">
        <f>VLOOKUP($O$7,Fibre!$B$3:$C$3,2,TRUE)</f>
        <v>OFCOM - Connected Nations</v>
      </c>
    </row>
    <row r="33" spans="2:15" ht="27.65" customHeight="1">
      <c r="B33" s="584"/>
      <c r="C33" s="581" t="s">
        <v>474</v>
      </c>
      <c r="D33" s="271" t="str">
        <f>VLOOKUP($D$7,'New Builds'!$B$2:$C$2,2,FALSE)</f>
        <v>Rate of Housing New Builds (per 10,000 total population)</v>
      </c>
      <c r="E33" s="272">
        <v>2023</v>
      </c>
      <c r="F33" s="275">
        <f>VLOOKUP(F$7,'New Builds'!$C$7:$I$20,5,FALSE)</f>
        <v>34.263511126810315</v>
      </c>
      <c r="G33" s="273" t="str">
        <f>IF(G2="Scotland",IF(F33&gt;SUM(K33+SUM(K33*$G$4)),"Green",IF(F33&gt;SUM(K33-SUM(K33*$G$4)),"Amber","Red")),IF(L33="-","n/a",IF(F33&gt;SUM(L33+SUM(L33*$G$4)),"Green",IF(F33&gt;SUM(L33-SUM(L33*$G$4)),"Amber","Red"))))</f>
        <v>Red</v>
      </c>
      <c r="H33" s="273" t="str">
        <f>IF(G2="Scotland",IF(VLOOKUP($F$7,'New Builds'!$C$7:$J$20,6,FALSE)&gt;VLOOKUP($K$7,'New Builds'!$C$7:$J$20,6,FALSE),"Green",IF(VLOOKUP($F$7,'New Builds'!$C$7:$J$20,6,FALSE)&gt;0,"Amber","Red")),IF(L33="-","n/a",IF(VLOOKUP($F$7,'New Builds'!$C$7:$J$20,6,FALSE)&gt;VLOOKUP($L$7,'New Builds'!$C$7:$J$20,6,FALSE),"Green",IF(VLOOKUP($F$7,'New Builds'!$C$7:$J$20,6,FALSE)&gt;0,"Amber","Red"))))</f>
        <v>Amber</v>
      </c>
      <c r="I33" s="276" t="s">
        <v>512</v>
      </c>
      <c r="J33" s="275">
        <f>VLOOKUP(J$7,'New Builds'!$C$7:$I$20,5,FALSE)</f>
        <v>34.989476645728161</v>
      </c>
      <c r="K33" s="275">
        <f>VLOOKUP(K$7,'New Builds'!$C$7:$I$20,5,FALSE)</f>
        <v>38.533693118196673</v>
      </c>
      <c r="L33" s="275" t="str">
        <f>VLOOKUP(L$7,'New Builds'!$C$7:$I$20,4,FALSE)</f>
        <v>-</v>
      </c>
      <c r="M33" s="273" t="str">
        <f>IF(L33="-",IF(J33&gt;SUM(K33+SUM(K33*$G$4)),"Green",IF(J33&gt;SUM(K33-SUM(K33*$G$4)),"Amber","Red")),IF(J33&gt;SUM(L33+SUM(L33*$G$4)),"Green",IF(J33&gt;SUM(L33-SUM(L33*$G$4)),"Amber","Red")))</f>
        <v>Amber</v>
      </c>
      <c r="N33" s="273" t="str">
        <f>IF(L33="-",IF(VLOOKUP($J$7,'New Builds'!$C$7:$J$20,6,FALSE)&gt;VLOOKUP($K$7,'New Builds'!$C$7:$J$20,6,FALSE),"Green",IF(VLOOKUP($J$7,'New Builds'!$C$7:$J$20,6,FALSE)&gt;0,"Amber","Red")),IF(VLOOKUP($J$7,'New Builds'!$C$7:$J$20,6,FALSE)&gt;VLOOKUP($L$7,'New Builds'!$C$7:$J$20,6,FALSE),"Green",IF(VLOOKUP($J$7,'New Builds'!$C$7:$J$20,6,FALSE)&gt;0,"Amber","Red")))</f>
        <v>Amber</v>
      </c>
      <c r="O33" s="270" t="str">
        <f>VLOOKUP($O$7,'New Builds'!$B$3:$C$3,2,TRUE)</f>
        <v>Scottish Government - Housing Quarterly</v>
      </c>
    </row>
    <row r="34" spans="2:15" ht="27.65" customHeight="1">
      <c r="B34" s="584"/>
      <c r="C34" s="581"/>
      <c r="D34" s="271" t="str">
        <f>VLOOKUP($D$7,'Social Builds'!$B$2:$C$2,2,FALSE)</f>
        <v>Rate of Social Housing New Builds (per 10,000 total population)</v>
      </c>
      <c r="E34" s="272">
        <v>2023</v>
      </c>
      <c r="F34" s="275">
        <f>VLOOKUP(F$7,'Social Builds'!$C$7:$I$20,5,FALSE)</f>
        <v>10.243730130695868</v>
      </c>
      <c r="G34" s="273" t="str">
        <f>IF(G2="Scotland",IF(F34&gt;SUM(K34+SUM(K34*$G$4)),"Green",IF(F34&gt;SUM(K34-SUM(K34*$G$4)),"Amber","Red")),IF(L34="-","n/a",IF(F34&gt;SUM(L34+SUM(L34*$G$4)),"Green",IF(F34&gt;SUM(L34-SUM(L34*$G$4)),"Amber","Red"))))</f>
        <v>Amber</v>
      </c>
      <c r="H34" s="273" t="str">
        <f>IF(G2="Scotland",IF(VLOOKUP($F$7,'Social Builds'!$C$7:$J$20,6,FALSE)&gt;VLOOKUP($K$7,'Social Builds'!$C$7:$J$20,6,FALSE),"Green",IF(VLOOKUP($F$7,'Social Builds'!$C$7:$J$20,6,FALSE)&gt;0,"Amber","Red")),IF(L34="-","n/a",IF(VLOOKUP($F$7,'Social Builds'!$C$7:$J$20,6,FALSE)&gt;VLOOKUP($L$7,'Social Builds'!$C$7:$J$20,6,FALSE),"Green",IF(VLOOKUP($F$7,'Social Builds'!$C$7:$J$20,6,FALSE)&gt;0,"Amber","Red"))))</f>
        <v>Amber</v>
      </c>
      <c r="I34" s="276" t="s">
        <v>512</v>
      </c>
      <c r="J34" s="275">
        <f>VLOOKUP(J$7,'Social Builds'!$C$7:$I$20,5,FALSE)</f>
        <v>10.279883350376297</v>
      </c>
      <c r="K34" s="275">
        <f>VLOOKUP(K$7,'Social Builds'!$C$7:$I$20,5,FALSE)</f>
        <v>10.565926904932358</v>
      </c>
      <c r="L34" s="275" t="str">
        <f>VLOOKUP(L$7,'Social Builds'!$C$7:$I$20,4,FALSE)</f>
        <v>-</v>
      </c>
      <c r="M34" s="273" t="str">
        <f>IF(L34="-",IF(J34&gt;SUM(K34+SUM(K34*$G$4)),"Green",IF(J34&gt;SUM(K34-SUM(K34*$G$4)),"Amber","Red")),IF(J34&gt;SUM(L34+SUM(L34*$G$4)),"Green",IF(J34&gt;SUM(L34-SUM(L34*$G$4)),"Amber","Red")))</f>
        <v>Amber</v>
      </c>
      <c r="N34" s="273" t="str">
        <f>IF(L34="-",IF(VLOOKUP($J$7,'Social Builds'!$C$7:$J$20,6,FALSE)&gt;VLOOKUP($K$7,'Social Builds'!$C$7:$J$20,6,FALSE),"Green",IF(VLOOKUP($J$7,'Social Builds'!$C$7:$J$20,6,FALSE)&gt;0,"Amber","Red")),IF(VLOOKUP($J$7,'Social Builds'!$C$7:$J$20,6,FALSE)&gt;VLOOKUP($L$7,'Social Builds'!$C$7:$J$20,6,FALSE),"Green",IF(VLOOKUP($J$7,'Social Builds'!$C$7:$J$20,6,FALSE)&gt;0,"Amber","Red")))</f>
        <v>Amber</v>
      </c>
      <c r="O34" s="270" t="str">
        <f>VLOOKUP($O$7,'Social Builds'!$B$3:$C$3,2,TRUE)</f>
        <v>Scottish Government - Housing Quarterly</v>
      </c>
    </row>
    <row r="35" spans="2:15" ht="27.65" customHeight="1">
      <c r="B35" s="584"/>
      <c r="C35" s="581"/>
      <c r="D35" s="271" t="str">
        <f>VLOOKUP($D$7,'V&amp;DL'!$B$2:$C$2,2,FALSE)</f>
        <v>Total Vacant &amp; Derelict Land (Ha)</v>
      </c>
      <c r="E35" s="272">
        <v>2023</v>
      </c>
      <c r="F35" s="275">
        <f>VLOOKUP(F$7,'V&amp;DL'!$C$7:$H$20,5,FALSE)</f>
        <v>833.88</v>
      </c>
      <c r="G35" s="273" t="s">
        <v>455</v>
      </c>
      <c r="H35" s="273" t="str">
        <f>IF(G2="Scotland",IF(VLOOKUP($F$7,'V&amp;DL'!$C$7:$I$20,6,FALSE)&lt;VLOOKUP($K$7,'V&amp;DL'!$C$7:$I$20,6,FALSE),"Green",IF(VLOOKUP($F$7,'V&amp;DL'!$C$7:$I$20,6,FALSE)&lt;0,"Amber","Red")),IF(L35="-","n/a",IF(VLOOKUP($F$7,'V&amp;DL'!$C$7:$I$20,6,FALSE)&lt;VLOOKUP($L$7,'V&amp;DL'!$C$7:$I$20,6,FALSE),"Green",IF(VLOOKUP($F$7,'V&amp;DL'!$C$7:$I$20,6,FALSE)&lt;0,"Amber","Red"))))</f>
        <v>Amber</v>
      </c>
      <c r="I35" s="269" t="s">
        <v>513</v>
      </c>
      <c r="J35" s="275">
        <f>VLOOKUP(J$7,'V&amp;DL'!$C$7:$H$20,5,FALSE)</f>
        <v>3085.2000000000003</v>
      </c>
      <c r="K35" s="275">
        <f>VLOOKUP(K$7,'V&amp;DL'!$C$7:$H$20,5,FALSE)</f>
        <v>9111.4699999999993</v>
      </c>
      <c r="L35" s="275" t="str">
        <f>VLOOKUP(L$7,'V&amp;DL'!$C$7:$H$20,5,FALSE)</f>
        <v>-</v>
      </c>
      <c r="M35" s="273" t="s">
        <v>455</v>
      </c>
      <c r="N35" s="273" t="str">
        <f>IF(L35="-",IF(VLOOKUP($J$7,'V&amp;DL'!$C$7:$I$20,6,FALSE)&lt;VLOOKUP($K$7,'V&amp;DL'!$C$7:$I$20,6,FALSE),"Green",IF(VLOOKUP($J$7,'V&amp;DL'!$C$7:$I$20,6,FALSE)&lt;0,"Amber","Red")),IF(VLOOKUP($J$7,'V&amp;DL'!$C$7:$I$20,6,FALSE)&lt;VLOOKUP($L$7,'V&amp;DL'!$C$7:$I$20,6,FALSE),"Green",IF(VLOOKUP($J$7,'V&amp;DL'!$C$7:$I$20,6,FALSE)&lt;0,"Amber","Red")))</f>
        <v>Amber</v>
      </c>
      <c r="O35" s="270" t="str">
        <f>VLOOKUP($O$7,'V&amp;DL'!$B$3:$C$3,2,TRUE)</f>
        <v>Scottish Government - Vacant &amp; Derelict Land Survey</v>
      </c>
    </row>
    <row r="36" spans="2:15" ht="27.65" customHeight="1">
      <c r="B36" s="584"/>
      <c r="C36" s="581"/>
      <c r="D36" s="271" t="str">
        <f>VLOOKUP($D$7,'SIMD V&amp;DL'!$B$2:$C$2,2,FALSE)</f>
        <v>Total Vacant &amp; Derelict Land (Ha) in bottom 15% SIMD areas</v>
      </c>
      <c r="E36" s="272">
        <v>2023</v>
      </c>
      <c r="F36" s="275">
        <f>VLOOKUP(F$7,'SIMD V&amp;DL'!$C$7:$H$20,5,FALSE)</f>
        <v>497.32</v>
      </c>
      <c r="G36" s="268" t="s">
        <v>455</v>
      </c>
      <c r="H36" s="273" t="str">
        <f>IF(G2="Scotland",IF(VLOOKUP($F$7,'SIMD V&amp;DL'!$C$7:$I$20,6,FALSE)&lt;VLOOKUP($K$7,'SIMD V&amp;DL'!$C$7:$I$20,6,FALSE),"Green",IF(VLOOKUP($F$7,'SIMD V&amp;DL'!$C$7:$I$20,6,FALSE)&lt;0,"Amber","Red")),IF(L36="-","n/a",IF(VLOOKUP($F$7,'SIMD V&amp;DL'!$C$7:$I$20,6,FALSE)&lt;VLOOKUP($L$7,'SIMD V&amp;DL'!$C$7:$I$20,6,FALSE),"Green",IF(VLOOKUP($F$7,'SIMD V&amp;DL'!$C$7:$I$20,6,FALSE)&lt;0,"Amber","Red"))))</f>
        <v>Amber</v>
      </c>
      <c r="I36" s="269" t="s">
        <v>513</v>
      </c>
      <c r="J36" s="275">
        <f>VLOOKUP(J$7,'SIMD V&amp;DL'!$C$7:$H$20,5,FALSE)</f>
        <v>267.92999999999995</v>
      </c>
      <c r="K36" s="275">
        <f>VLOOKUP(K$7,'SIMD V&amp;DL'!$C$7:$H$20,5,FALSE)</f>
        <v>957.52</v>
      </c>
      <c r="L36" s="275" t="str">
        <f>VLOOKUP(L$7,'SIMD V&amp;DL'!$C$7:$H$20,5,FALSE)</f>
        <v>-</v>
      </c>
      <c r="M36" s="273" t="s">
        <v>455</v>
      </c>
      <c r="N36" s="273" t="str">
        <f>IF($L$36="-",IF(VLOOKUP($J$7,'SIMD V&amp;DL'!$C$7:$I$20,6,FALSE)&lt;VLOOKUP($K$7,'SIMD V&amp;DL'!$C$7:$I$20,6,FALSE),"Green",IF(VLOOKUP($J$7,'SIMD V&amp;DL'!$C$7:$I$20,6,FALSE)&lt;0,"Amber","Red")),IF(VLOOKUP($J$7,'SIMD V&amp;DL'!$C$7:$I$20,6,FALSE)&lt;VLOOKUP($L$7,'SIMD V&amp;DL'!$C$7:$I$20,6,FALSE),"Green",IF(VLOOKUP($J$7,'SIMD V&amp;DL'!$C$7:$I$20,6,FALSE)&lt;0,"Amber","Red")))</f>
        <v>Amber</v>
      </c>
      <c r="O36" s="270" t="str">
        <f>VLOOKUP($O$7,'SIMD V&amp;DL'!$B$3:$C$3,2,TRUE)</f>
        <v>Scottish Government - Vacant &amp; Derelict Land Survey</v>
      </c>
    </row>
    <row r="37" spans="2:15" ht="27.65" customHeight="1">
      <c r="B37" s="584"/>
      <c r="C37" s="581"/>
      <c r="D37" s="271" t="str">
        <f>VLOOKUP($D$7,'Housing Affordability'!$B$2:$C$2,2,FALSE)</f>
        <v>Housing Affordability Ratio (Average House Price / Gross Disposable Household Income per head)</v>
      </c>
      <c r="E37" s="272">
        <v>2021</v>
      </c>
      <c r="F37" s="275">
        <f>IF(F7="Pan-Lanarkshire","-",VLOOKUP(F$7,'Housing Affordability'!$C$7:$H$20,5,FALSE))</f>
        <v>9.5176812891674132</v>
      </c>
      <c r="G37" s="268" t="str">
        <f>IF(F7="Pan-Lanarkshire","n/a",IF(G2="Scotland",IF(F37&lt;SUM(K37-SUM(K37*$G$4)),"Green",IF(F37&lt;SUM(K37+SUM(K37*$G$4)),"Amber","Red")),IF(L37="-","n/a",IF(F37&lt;SUM(L37-SUM(L37*$G$4)),"Green",IF(F37&lt;SUM(L37+SUM(L37*$G$4)),"Amber","Red")))))</f>
        <v>Amber</v>
      </c>
      <c r="H37" s="273" t="str">
        <f>IF(F7="Pan-Lanarkshire","n/a",IF(G2="Scotland",IF(VLOOKUP($F$7,'Housing Affordability'!$C$7:$I$20,6,FALSE)&lt;VLOOKUP($K$7,'Housing Affordability'!$C$7:$I$20,6,FALSE),"Green",IF(VLOOKUP($F$7,'Housing Affordability'!$C$7:$I$20,6,FALSE)&lt;0,"Amber","Red")),IF(L37="-","n/a",IF(VLOOKUP($F$7,'Housing Affordability'!$C$7:$I$20,6,FALSE)&lt;VLOOKUP($L$7,'Housing Affordability'!$C$7:$I$20,6,FALSE),"Green",IF(VLOOKUP($F$7,'Housing Affordability'!$C$7:$I$20,6,FALSE)&lt;0,"Amber","Red")))))</f>
        <v>Red</v>
      </c>
      <c r="I37" s="269" t="s">
        <v>513</v>
      </c>
      <c r="J37" s="275">
        <f>VLOOKUP(J$7,'Housing Affordability'!$C$7:$H$20,5,FALSE)</f>
        <v>8.5822195534549781</v>
      </c>
      <c r="K37" s="275">
        <f>VLOOKUP(K$7,'Housing Affordability'!$C$7:$H$20,5,FALSE)</f>
        <v>9.169638308711157</v>
      </c>
      <c r="L37" s="275" t="str">
        <f>VLOOKUP(L$7,'Housing Affordability'!$C$7:$H$20,5,FALSE)</f>
        <v>-</v>
      </c>
      <c r="M37" s="268" t="str">
        <f>IF(L37="-",IF(J37&lt;SUM(K37-SUM(K37*$G$4)),"Green",IF(J37&lt;SUM(K37+SUM(K37*$G$4)),"Amber","Red")),IF(J37&lt;SUM(L37-SUM(L37*$G$4)),"Green",IF(J37&lt;SUM(L37+SUM(L37*$G$4)),"Amber","Red")))</f>
        <v>Amber</v>
      </c>
      <c r="N37" s="273" t="str">
        <f>IF(L37="-",IF(VLOOKUP($J$7,'Housing Affordability'!$C$7:$I$20,6,FALSE)&lt;VLOOKUP($K$7,'Housing Affordability'!$C$7:$I$20,6,FALSE),"Green",IF(VLOOKUP($J$7,'Housing Affordability'!$C$7:$I$20,6,FALSE)&lt;0,"Amber","Red")),IF(VLOOKUP($J$7,'Housing Affordability'!$C$7:$I$20,6,FALSE)&lt;VLOOKUP($L$7,'Housing Affordability'!$C$7:$I$20,6,FALSE),"Green",IF(VLOOKUP($J$7,'Housing Affordability'!$C$7:$I$20,6,FALSE)&lt;0,"Amber","Red")))</f>
        <v>Green</v>
      </c>
      <c r="O37" s="270" t="str">
        <f>VLOOKUP($O$7,'Housing Affordability'!$B$3:$C$3,2,TRUE)</f>
        <v>House Sales - UK</v>
      </c>
    </row>
    <row r="38" spans="2:15" ht="27.65" customHeight="1">
      <c r="B38" s="584"/>
      <c r="C38" s="563" t="s">
        <v>475</v>
      </c>
      <c r="D38" s="271" t="str">
        <f>VLOOKUP($D$7,Procurement!$B$2:$C$2,2,FALSE)</f>
        <v>% of Procurement spend spent on local enterprises</v>
      </c>
      <c r="E38" s="272" t="s">
        <v>752</v>
      </c>
      <c r="F38" s="273">
        <f>VLOOKUP(F$7,Procurement!$C$7:$H$21,5,FALSE)</f>
        <v>36.7532025012733</v>
      </c>
      <c r="G38" s="273" t="str">
        <f>IF(G2="Scotland",IF(F38&gt;SUM(K38+SUM(K38*$G$4)),"Green",IF(F38&gt;SUM(K38-SUM(K38*$G$4)),"Amber","Red")),IF(L38="-","n/a",IF(F38&gt;SUM(L38+SUM(L38*$G$4)),"Green",IF(F38&gt;SUM(L38-SUM(L38*$G$4)),"Amber","Red"))))</f>
        <v>Green</v>
      </c>
      <c r="H38" s="273" t="str">
        <f>IF(G2="Scotland",IF(VLOOKUP($F$7,Procurement!$C$7:$I$21,6,FALSE)&gt;VLOOKUP($K$7,Procurement!$C$7:$I$21,6,FALSE),"Green",IF(VLOOKUP($F$7,Procurement!$C$7:$I$21,6,FALSE)&gt;0,"Amber","Red")),IF(L38="-","n/a",IF(VLOOKUP($F$7,Procurement!$C$7:$I$21,6,FALSE)&gt;VLOOKUP($L$7,Procurement!$C$7:$I$21,6,FALSE),"Green",IF(VLOOKUP($F$7,Procurement!$C$7:$I$21,6,FALSE)&gt;0,"Amber","Red"))))</f>
        <v>Green</v>
      </c>
      <c r="I38" s="276" t="s">
        <v>512</v>
      </c>
      <c r="J38" s="273">
        <f>VLOOKUP(J$7,Procurement!$C$7:$H$21,5,FALSE)</f>
        <v>20.851827763251688</v>
      </c>
      <c r="K38" s="273">
        <f>VLOOKUP(K$7,Procurement!$C$7:$H$21,5,FALSE)</f>
        <v>29.619142281546303</v>
      </c>
      <c r="L38" s="273" t="str">
        <f>VLOOKUP(L$7,Procurement!$C$7:$H$21,5,FALSE)</f>
        <v>-</v>
      </c>
      <c r="M38" s="273" t="str">
        <f>IF(L38="-",IF(J38&gt;SUM(K38+SUM(K38*$G$4)),"Green",IF(J38&gt;SUM(K38-SUM(K38*$G$4)),"Amber","Red")),IF(J38&gt;SUM(L38+SUM(L38*$G$4)),"Green",IF(J38&gt;SUM(L38-SUM(L38*$G$4)),"Amber","Red")))</f>
        <v>Red</v>
      </c>
      <c r="N38" s="273" t="str">
        <f>IF(L38="-",IF(VLOOKUP($J$7,Procurement!$C$7:$I$21,6,FALSE)&gt;VLOOKUP($K$7,Procurement!$C$7:$I$21,6,FALSE),"Green",IF(VLOOKUP($J$7,Procurement!$C$7:$I$21,6,FALSE)&gt;0,"Amber","Red")),IF(VLOOKUP($J$7,Procurement!$C$7:$I$21,6,FALSE)&gt;VLOOKUP($L$7,Procurement!$C$7:$I$21,6,FALSE),"Green",IF(VLOOKUP($J$7,Procurement!$C$7:$I$21,6,FALSE)&gt;0,"Amber","Red")))</f>
        <v>Amber</v>
      </c>
      <c r="O38" s="270" t="str">
        <f>VLOOKUP($O$7,Procurement!$B$3:$C$3,2,TRUE)</f>
        <v>Local Government Benchmarking Framework</v>
      </c>
    </row>
    <row r="39" spans="2:15" ht="27.65" customHeight="1">
      <c r="B39" s="580" t="s">
        <v>470</v>
      </c>
      <c r="C39" s="581" t="s">
        <v>463</v>
      </c>
      <c r="D39" s="271" t="s">
        <v>454</v>
      </c>
      <c r="E39" s="272">
        <v>2022</v>
      </c>
      <c r="F39" s="279">
        <f>VLOOKUP(F$7,GVA!$C$7:$H$20,5,FALSE)</f>
        <v>25845</v>
      </c>
      <c r="G39" s="273" t="s">
        <v>455</v>
      </c>
      <c r="H39" s="273" t="str">
        <f>IF(G2="Scotland",IF(VLOOKUP($F$7,GVA!$C$7:$I$20,6,FALSE)&gt;VLOOKUP($K$7,GVA!$C$7:$I$20,6,FALSE),"Green",IF(VLOOKUP($F$7,GVA!$C$7:$I$20,6,FALSE)&gt;0,"Amber","Red")),IF(L39="-","n/a",IF(VLOOKUP($F$7,GVA!$C$7:$I$20,6,FALSE)&gt;VLOOKUP($L$7,GVA!$C$7:$I$20,6,FALSE),"Green",IF(VLOOKUP($F$7,GVA!$C$7:$I$20,6,FALSE)&gt;0,"Amber","Red"))))</f>
        <v>Green</v>
      </c>
      <c r="I39" s="276" t="s">
        <v>512</v>
      </c>
      <c r="J39" s="279">
        <f>VLOOKUP(J$7,GVA!$C$7:$H$20,5,FALSE)</f>
        <v>53368</v>
      </c>
      <c r="K39" s="279">
        <f>VLOOKUP(K$7,GVA!$C$7:$H$20,5,FALSE)</f>
        <v>165714</v>
      </c>
      <c r="L39" s="279">
        <f>VLOOKUP(L$7,GVA!$C$7:$H$20,5,FALSE)</f>
        <v>2246047</v>
      </c>
      <c r="M39" s="273" t="s">
        <v>455</v>
      </c>
      <c r="N39" s="273" t="str">
        <f>IF(L39="-",IF(VLOOKUP($J$7,GVA!$C$7:$I$20,6,FALSE)&gt;VLOOKUP($K$7,GVA!$C$7:$I$20,6,FALSE),"Green",IF(VLOOKUP($J$7,GVA!$C$7:$I$20,6,FALSE)&gt;0,"Amber","Red")),IF(VLOOKUP($J$7,GVA!$C$7:$I$20,7,FALSE)&gt;VLOOKUP($L$7,GVA!$C$7:$I$20,7,FALSE),"Green",IF(VLOOKUP($J$7,GVA!$C$7:$I$20,7,FALSE)&gt;0,"Amber","Red")))</f>
        <v>Amber</v>
      </c>
      <c r="O39" s="270" t="s">
        <v>123</v>
      </c>
    </row>
    <row r="40" spans="2:15" ht="27.65" customHeight="1">
      <c r="B40" s="580"/>
      <c r="C40" s="581"/>
      <c r="D40" s="280" t="s">
        <v>137</v>
      </c>
      <c r="E40" s="272">
        <v>2020</v>
      </c>
      <c r="F40" s="273">
        <f>VLOOKUP(F$7,'GVA phw'!$C$7:$H$20,5,FALSE)</f>
        <v>36</v>
      </c>
      <c r="G40" s="273" t="str">
        <f>IF(G2="Scotland",IF(F40&gt;SUM(K40+SUM(K40*$G$4)),"Green",IF(F40&gt;SUM(K40-SUM(K40*$G$4)),"Amber","Red")),IF(F40&gt;SUM(L40+SUM(L40*$G$4)),"Green",IF(F40&gt;SUM(L40-SUM(L40*$G$4)),"Amber","Red")))</f>
        <v>Amber</v>
      </c>
      <c r="H40" s="273" t="str">
        <f>IF(G2="Scotland",IF(VLOOKUP($F$7,'GVA phw'!$C$7:$I$20,6,FALSE)&gt;VLOOKUP($K$7,'GVA phw'!$C$7:$I$20,6,FALSE),"Green",IF(VLOOKUP($F$7,'GVA phw'!$C$7:$I$20,6,FALSE)&gt;0,"Amber","Red")),IF(VLOOKUP($F$7,'GVA phw'!$C$7:$I$20,6,FALSE)&gt;VLOOKUP($L$7,'GVA phw'!$C$7:$I$20,6,FALSE),"Green",IF(VLOOKUP($F$7,'GVA phw'!$C$7:$I$20,6,FALSE)&gt;0,"Amber","Red")))</f>
        <v>Green</v>
      </c>
      <c r="I40" s="276" t="s">
        <v>512</v>
      </c>
      <c r="J40" s="273">
        <f>VLOOKUP(J$7,'GVA phw'!$C$7:$H$20,5,FALSE)</f>
        <v>36</v>
      </c>
      <c r="K40" s="273">
        <f>VLOOKUP(K$7,'GVA phw'!$C$7:$H$20,5,FALSE)</f>
        <v>38</v>
      </c>
      <c r="L40" s="273">
        <f>VLOOKUP(L$7,'GVA phw'!$C$7:$H$20,5,FALSE)</f>
        <v>39.1</v>
      </c>
      <c r="M40" s="273" t="str">
        <f>IF(L40="-",IF(J40&gt;SUM(K40+SUM(K40*$G$4)),"Green",IF(J40&gt;SUM(K40-SUM(K40*$G$4)),"Amber","Red")),IF(J40&gt;SUM(L40+SUM(L40*$G$4)),"Green",IF(J40&gt;SUM(L40-SUM(L40*$G$4)),"Amber","Red")))</f>
        <v>Amber</v>
      </c>
      <c r="N40" s="273" t="str">
        <f>IF(L40="-",IF(VLOOKUP($J$7,'GVA phw'!$C$7:$I$20,6,FALSE)&gt;VLOOKUP($K$7,'GVA phw'!$C$7:$I$20,6,FALSE),"Green",IF(VLOOKUP($J$7,'GVA phw'!$C$7:$I$20,6,FALSE)&gt;0,"Amber","Red")),IF(VLOOKUP($J$7,'GVA phw'!$C$7:$I$20,6,FALSE)&gt;VLOOKUP($L$7,'GVA phw'!$C$7:$I$20,6,FALSE),"Green",IF(VLOOKUP($J$7,'GVA phw'!$C$7:$I$20,6,FALSE)&gt;0,"Amber","Red")))</f>
        <v>Amber</v>
      </c>
      <c r="O40" s="270" t="s">
        <v>138</v>
      </c>
    </row>
    <row r="41" spans="2:15" ht="27.65" customHeight="1">
      <c r="B41" s="580"/>
      <c r="C41" s="581"/>
      <c r="D41" s="271" t="str">
        <f>VLOOKUP($D$7,'Enterprise Rate'!$B$2:$C$2,2,FALSE)</f>
        <v>Enterprise Rate (per 10,000 working-age population)</v>
      </c>
      <c r="E41" s="272">
        <v>2024</v>
      </c>
      <c r="F41" s="275">
        <f>VLOOKUP(F$7,'Enterprise Rate'!$C$7:$H$20,5,FALSE)</f>
        <v>446.19476361582849</v>
      </c>
      <c r="G41" s="273" t="str">
        <f>IF(G2="Scotland",IF(F41&gt;SUM(K41+SUM(K41*$G$4)),"Green",IF(F41&gt;SUM(K41-SUM(K41*$G$4)),"Amber","Red")),IF(F41&gt;SUM(L41+SUM(L41*$G$4)),"Green",IF(F41&gt;SUM(L41-SUM(L41*$G$4)),"Amber","Red")))</f>
        <v>Red</v>
      </c>
      <c r="H41" s="273" t="str">
        <f>IF(G2="Scotland",IF(VLOOKUP($F$7,'Enterprise Rate'!$C$7:$I$20,7,FALSE)&gt;VLOOKUP($K$7,'Enterprise Rate'!$C$7:$I$20,7,FALSE),"Green",IF(VLOOKUP($F$7,'Enterprise Rate'!$C$7:$I$20,7,FALSE)&gt;0,"Amber","Red")),IF(VLOOKUP($F$7,'Enterprise Rate'!$C$7:$I$20,7,FALSE)&gt;VLOOKUP($L$7,'Enterprise Rate'!$C$7:$I$20,7,FALSE),"Green",IF(VLOOKUP($F$7,'Enterprise Rate'!$C$7:$I$20,7,FALSE)&gt;0,"Amber","Red")))</f>
        <v>Green</v>
      </c>
      <c r="I41" s="276" t="s">
        <v>512</v>
      </c>
      <c r="J41" s="275">
        <f>VLOOKUP(J$7,'Enterprise Rate'!$C$7:$H$20,5,FALSE)</f>
        <v>432.05126533025532</v>
      </c>
      <c r="K41" s="275">
        <f>VLOOKUP(K$7,'Enterprise Rate'!$C$7:$H$20,5,FALSE)</f>
        <v>498.07527325394625</v>
      </c>
      <c r="L41" s="275">
        <f>VLOOKUP(L$7,'Enterprise Rate'!$C$7:$H$20,5,FALSE)</f>
        <v>641.58288868670979</v>
      </c>
      <c r="M41" s="273" t="str">
        <f>IF(L41="-",IF(J41&gt;SUM(K41+SUM(K41*$G$4)),"Green",IF(J41&gt;SUM(K41-SUM(K41*$G$4)),"Amber","Red")),IF(J41&gt;SUM(L41+SUM(L41*$G$4)),"Green",IF(J41&gt;SUM(L41-SUM(L41*$G$4)),"Amber","Red")))</f>
        <v>Red</v>
      </c>
      <c r="N41" s="273" t="str">
        <f>IF(L41="-",IF(VLOOKUP($J$7,'Enterprise Rate'!$C$7:$I$20,7,FALSE)&gt;VLOOKUP($K$7,'Enterprise Rate'!$C$7:$I$20,7,FALSE),"Green",IF(VLOOKUP($J$7,'Enterprise Rate'!$C$7:$I$20,7,FALSE)&gt;0,"Amber","Red")),IF(VLOOKUP($J$7,'Enterprise Rate'!$C$7:$I$20,7,FALSE)&gt;VLOOKUP($L$7,'Enterprise Rate'!$C$7:$I$20,7,FALSE),"Green",IF(VLOOKUP($J$7,'Enterprise Rate'!$C$7:$I$20,7,FALSE)&gt;0,"Amber","Red")))</f>
        <v>Green</v>
      </c>
      <c r="O41" s="270" t="str">
        <f>VLOOKUP($O$7,'Enterprise Rate'!$B$3:$C$3,2,TRUE)</f>
        <v>NOMIS - UK Business Count</v>
      </c>
    </row>
    <row r="42" spans="2:15" ht="27.65" customHeight="1">
      <c r="B42" s="580"/>
      <c r="C42" s="581"/>
      <c r="D42" s="271" t="str">
        <f>VLOOKUP($D$7,'Business Births'!$B$2:$C$2,2,FALSE)</f>
        <v>Business Birth Rate (per 10,000 16-64 Population)</v>
      </c>
      <c r="E42" s="272">
        <v>2022</v>
      </c>
      <c r="F42" s="275">
        <f>VLOOKUP(F$7,'Business Births'!$C$7:$H$20,5,FALSE)</f>
        <v>69.451085941733965</v>
      </c>
      <c r="G42" s="273" t="str">
        <f>IF(G2="Scotland",IF(F42&gt;SUM(K42+SUM(K42*$G$4)),"Green",IF(F42&gt;SUM(K42-SUM(K42*$G$4)),"Amber","Red")),IF(F42&gt;SUM(L42+SUM(L42*$G$4)),"Green",IF(F42&gt;SUM(L42-SUM(L42*$G$4)),"Amber","Red")))</f>
        <v>Green</v>
      </c>
      <c r="H42" s="273" t="str">
        <f>IF(G2="Scotland",IF(VLOOKUP($F$7,'Business Births'!$C$7:$I$20,7,FALSE)&gt;VLOOKUP($K$7,'Business Births'!$C$7:$I$20,7,FALSE),"Green",IF(VLOOKUP($F$7,'Business Births'!$C$7:$I$20,7,FALSE)&gt;0,"Amber","Red")),IF(VLOOKUP($F$7,'Business Births'!$C$7:$I$20,7,FALSE)&gt;VLOOKUP($L$7,'Business Births'!$C$7:$I$20,7,FALSE),"Green",IF(VLOOKUP($F$7,'Business Births'!$C$7:$I$20,7,FALSE)&gt;0,"Amber","Red")))</f>
        <v>Green</v>
      </c>
      <c r="I42" s="276" t="s">
        <v>512</v>
      </c>
      <c r="J42" s="275">
        <f>VLOOKUP(J$7,'Business Births'!$C$7:$H$20,5,FALSE)</f>
        <v>58.423994112850295</v>
      </c>
      <c r="K42" s="275">
        <f>VLOOKUP(K$7,'Business Births'!$C$7:$H$20,5,FALSE)</f>
        <v>54.562598509778908</v>
      </c>
      <c r="L42" s="275">
        <f>VLOOKUP(L$7,'Business Births'!$C$7:$H$20,5,FALSE)</f>
        <v>79.887987758341055</v>
      </c>
      <c r="M42" s="273" t="str">
        <f>IF(L42="-",IF(J42&gt;SUM(K42+SUM(K42*$G$4)),"Green",IF(J42&gt;SUM(K42-SUM(K42*$G$4)),"Amber","Red")),IF(J42&gt;SUM(L42+SUM(L42*$G$4)),"Green",IF(J42&gt;SUM(L42-SUM(L42*$G$4)),"Amber","Red")))</f>
        <v>Red</v>
      </c>
      <c r="N42" s="273" t="str">
        <f>IF(L42="-",IF(VLOOKUP($J$7,'Business Births'!$C$7:$I$20,7,FALSE)&gt;VLOOKUP($K$7,'Business Births'!$C$7:$I$20,7,FALSE),"Green",IF(VLOOKUP($J$7,'Business Births'!$C$7:$I$20,7,FALSE)&gt;0,"Amber","Red")),IF(VLOOKUP($J$7,'Business Births'!$C$7:$I$20,7,FALSE)&gt;VLOOKUP($L$7,'Business Births'!$C$7:$I$20,7,FALSE),"Green",IF(VLOOKUP($J$7,'Business Births'!$C$7:$I$20,7,FALSE)&gt;0,"Amber","Red")))</f>
        <v>Green</v>
      </c>
      <c r="O42" s="270" t="str">
        <f>VLOOKUP($O$7,'Business Births'!$B$3:$C$3,2,TRUE)</f>
        <v>Business Demography</v>
      </c>
    </row>
    <row r="43" spans="2:15" ht="27.65" customHeight="1">
      <c r="B43" s="580"/>
      <c r="C43" s="581"/>
      <c r="D43" s="271" t="str">
        <f>VLOOKUP($D$7,'Business Deaths'!$B$2:$C$2,2,FALSE)</f>
        <v>Business Death Rate (per 10,000 16-64 Population)</v>
      </c>
      <c r="E43" s="272">
        <v>2022</v>
      </c>
      <c r="F43" s="275">
        <f>VLOOKUP(F$7,'Business Deaths'!$C$7:$H$20,5,FALSE)</f>
        <v>61.481289194321867</v>
      </c>
      <c r="G43" s="268" t="str">
        <f>IF(G2="Scotland",IF(F43&lt;SUM(K43-SUM(K43*$G$4)),"Green",IF(F43&lt;SUM(K43+SUM(K43*$G$4)),"Amber","Red")),IF(F43&lt;SUM(L43-SUM(L43*$G$4)),"Green",IF(F43&lt;SUM(L43+SUM(L43*$G$4)),"Amber","Red")))</f>
        <v>Amber</v>
      </c>
      <c r="H43" s="273" t="str">
        <f>IF(G2="Scotland",IF(VLOOKUP($F$7,'Business Deaths'!$C$7:$I$20,7,FALSE)&lt;VLOOKUP($K$7,'Business Deaths'!$C$7:$I$20,7,FALSE),"Green",IF(VLOOKUP($F$7,'Business Deaths'!$C$7:$I$20,7,FALSE)&lt;0,"Amber","Red")),IF(VLOOKUP($F$7,'Business Deaths'!$C$7:$I$20,7,FALSE)&lt;VLOOKUP($L$7,'Business Deaths'!$C$7:$I$20,7,FALSE),"Green",IF(VLOOKUP($F$7,'Business Deaths'!$C$7:$I$20,7,FALSE)&lt;0,"Amber","Red")))</f>
        <v>Red</v>
      </c>
      <c r="I43" s="269" t="s">
        <v>513</v>
      </c>
      <c r="J43" s="275">
        <f>VLOOKUP(J$7,'Business Deaths'!$C$7:$H$20,5,FALSE)</f>
        <v>55.357770308346097</v>
      </c>
      <c r="K43" s="275">
        <f>VLOOKUP(K$7,'Business Deaths'!$C$7:$H$20,5,FALSE)</f>
        <v>56.789053244942117</v>
      </c>
      <c r="L43" s="275">
        <f>VLOOKUP(L$7,'Business Deaths'!$C$7:$H$20,5,FALSE)</f>
        <v>81.918827307647845</v>
      </c>
      <c r="M43" s="268" t="str">
        <f>IF(L43="-",IF(J43&lt;SUM(K43-SUM(K43*$G$4)),"Green",IF(J43&lt;SUM(K43+SUM(K43*$G$4)),"Amber","Red")),IF(J43&lt;SUM(L43-SUM(L43*$G$4)),"Green",IF(J43&lt;SUM(L43+SUM(L43*$G$4)),"Amber","Red")))</f>
        <v>Green</v>
      </c>
      <c r="N43" s="273" t="str">
        <f>IF(L43="-",IF(VLOOKUP($J$7,'Business Deaths'!$C$7:$I$20,7,FALSE)&lt;VLOOKUP($K$7,'Business Deaths'!$C$7:$I$20,7,FALSE),"Green",IF(VLOOKUP($J$7,'Business Deaths'!$C$7:$I$20,7,FALSE)&lt;0,"Amber","Red")),IF(VLOOKUP($J$7,'Business Deaths'!$C$7:$I$20,7,FALSE)&lt;VLOOKUP($L$7,'Business Deaths'!$C$7:$I$20,7,FALSE),"Green",IF(VLOOKUP($J$7,'Business Deaths'!$C$7:$I$20,7,FALSE)&lt;0,"Amber","Red")))</f>
        <v>Green</v>
      </c>
      <c r="O43" s="270" t="str">
        <f>VLOOKUP($O$7,'Business Deaths'!$B$3:$C$3,2,TRUE)</f>
        <v>Business Demography</v>
      </c>
    </row>
    <row r="44" spans="2:15" ht="27.65" customHeight="1">
      <c r="B44" s="580"/>
      <c r="C44" s="581"/>
      <c r="D44" s="271" t="str">
        <f>VLOOKUP($D$7,'Business Survival'!$B$2:$C$2,2,FALSE)</f>
        <v>New Enterprise Survival Rate % (3 Year)</v>
      </c>
      <c r="E44" s="272">
        <v>2019</v>
      </c>
      <c r="F44" s="275">
        <f>VLOOKUP(F$7,'Business Survival'!$C$7:$I$20,5,FALSE)</f>
        <v>57.557251908396942</v>
      </c>
      <c r="G44" s="273" t="str">
        <f>IF(G2="Scotland",IF(F44&gt;SUM(K44+SUM(K44*$G$4)),"Green",IF(F44&gt;SUM(K44-SUM(K44*$G$4)),"Amber","Red")),IF(F44&gt;SUM(L44+SUM(L44*$G$4)),"Green",IF(F44&gt;SUM(L44-SUM(L44*$G$4)),"Amber","Red")))</f>
        <v>Amber</v>
      </c>
      <c r="H44" s="273" t="str">
        <f>IF(G2="Scotland",IF(VLOOKUP($F$7,'Business Survival'!$C$7:$J$20,7,FALSE)&gt;VLOOKUP($K$7,'Business Survival'!$C$7:$J$20,7,FALSE),"Green",IF(VLOOKUP($F$7,'Business Survival'!$C$7:$J$20,7,FALSE)&gt;0,"Amber","Red")),IF(VLOOKUP($F$7,'Business Survival'!$C$7:$J$20,7,FALSE)&gt;VLOOKUP($L$7,'Business Survival'!$C$7:$J$20,7,FALSE),"Green",IF(VLOOKUP($F$7,'Business Survival'!$C$7:$J$20,7,FALSE)&gt;0,"Amber","Red")))</f>
        <v>Green</v>
      </c>
      <c r="I44" s="276" t="s">
        <v>512</v>
      </c>
      <c r="J44" s="275">
        <f>VLOOKUP(J$7,'Business Survival'!$C$7:$I$20,5,FALSE)</f>
        <v>56.22057834566241</v>
      </c>
      <c r="K44" s="275">
        <f>VLOOKUP(K$7,'Business Survival'!$C$7:$I$20,5,FALSE)</f>
        <v>57.398452611218566</v>
      </c>
      <c r="L44" s="275">
        <f>VLOOKUP(L$7,'Business Survival'!$C$7:$I$20,5,FALSE)</f>
        <v>55.925238782381633</v>
      </c>
      <c r="M44" s="273" t="str">
        <f>IF(L44="-",IF(J44&gt;SUM(K44+SUM(K44*$G$4)),"Green",IF(J44&gt;SUM(K44-SUM(K44*$G$4)),"Amber","Red")),IF(J44&gt;SUM(L44+SUM(L44*$G$4)),"Green",IF(J44&gt;SUM(L44-SUM(L44*$G$4)),"Amber","Red")))</f>
        <v>Amber</v>
      </c>
      <c r="N44" s="273" t="str">
        <f>IF(L44="-",IF(VLOOKUP($J$7,'Business Survival'!$C$7:$J$20,7,FALSE)&gt;VLOOKUP($K$7,'Business Survival'!$C$7:$J$20,7,FALSE),"Green",IF(VLOOKUP($J$7,'Business Survival'!$C$7:$J$20,7,FALSE)&gt;0,"Amber","Red")),IF(VLOOKUP($J$7,'Business Survival'!$C$7:$J$20,7,FALSE)&gt;VLOOKUP($L$7,'Business Survival'!$C$7:$J$20,7,FALSE),"Green",IF(VLOOKUP($J$7,'Business Survival'!$C$7:$J$20,7,FALSE)&gt;0,"Amber","Red")))</f>
        <v>Amber</v>
      </c>
      <c r="O44" s="270" t="str">
        <f>VLOOKUP($O$7,'Business Survival'!$B$3:$C$3,2,TRUE)</f>
        <v>Business Demography</v>
      </c>
    </row>
    <row r="45" spans="2:15" ht="27.65" customHeight="1">
      <c r="B45" s="580" t="s">
        <v>795</v>
      </c>
      <c r="C45" s="581" t="s">
        <v>795</v>
      </c>
      <c r="D45" s="271" t="str">
        <f>VLOOKUP($D$7,'Emissions Population'!$B$2:$C$2,2,FALSE)</f>
        <v>Emissions per Capita (CO2 Equivalent tonnes)</v>
      </c>
      <c r="E45" s="272">
        <v>2022</v>
      </c>
      <c r="F45" s="273">
        <f>VLOOKUP(F$7,'Emissions Population'!$C$7:$H$20,5,FALSE)</f>
        <v>4.1855885634069478</v>
      </c>
      <c r="G45" s="268" t="str">
        <f>IF(G1="Scotland",IF(F45&lt;SUM(K45-SUM(K45*$G$4)),"Green",IF(F45&lt;SUM(K45+SUM(K45*$G$4)),"Amber","Red")),IF(F45&lt;SUM(L45-SUM(L45*$G$4)),"Green",IF(F45&lt;SUM(L45+SUM(L45*$G$4)),"Amber","Red")))</f>
        <v>Green</v>
      </c>
      <c r="H45" s="273" t="str">
        <f>IF(G1="Scotland",IF(VLOOKUP($F$7,'Emissions Population'!$C$7:$I$20,6,FALSE)&lt;VLOOKUP($K$7,'Emissions Population'!$C$7:$I$20,6,FALSE),"Green",IF(VLOOKUP($F$7,'Emissions Population'!$C$7:$I$20,6,FALSE)&lt;0,"Amber","Red")),IF(VLOOKUP($F$7,'Emissions Population'!$C$7:$I$20,6,FALSE)&lt;VLOOKUP($L$7,'Emissions Population'!$C$7:$I$20,6,FALSE),"Green",IF(VLOOKUP($F$7,'Emissions Population'!$C$7:$I$20,6,FALSE)&lt;0,"Amber","Red")))</f>
        <v>Green</v>
      </c>
      <c r="I45" s="269" t="s">
        <v>513</v>
      </c>
      <c r="J45" s="273">
        <f>VLOOKUP(J$7,'Emissions Population'!$C$7:$H$20,5,FALSE)</f>
        <v>4.6674307294681459</v>
      </c>
      <c r="K45" s="273">
        <f>VLOOKUP(K$7,'Emissions Population'!$C$7:$H$20,5,FALSE)</f>
        <v>7.1326611664670097</v>
      </c>
      <c r="L45" s="273">
        <f>VLOOKUP(L$7,'Emissions Population'!$C$7:$H$20,5,FALSE)</f>
        <v>5.5613900067266604</v>
      </c>
      <c r="M45" s="268" t="str">
        <f>IF(L45="-",IF(J45&lt;SUM(K45-SUM(K45*$G$4)),"Green",IF(J45&lt;SUM(K45+SUM(K45*$G$4)),"Amber","Red")),IF(J45&lt;SUM(L45-SUM(L45*$G$4)),"Green",IF(J45&lt;SUM(L45+SUM(L45*$G$4)),"Amber","Red")))</f>
        <v>Green</v>
      </c>
      <c r="N45" s="273" t="str">
        <f>IF(L45="-",IF(VLOOKUP($J$7,'Emissions Population'!$C$7:$I$20,6,FALSE)&lt;VLOOKUP($K$7,'Emissions Population'!$C$7:$I$20,6,FALSE),"Green",IF(VLOOKUP($J$7,'Emissions Population'!$C$7:$I$20,6,FALSE)&lt;0,"Amber","Red")),IF(VLOOKUP($J$7,'Emissions Population'!$C$7:$I$20,6,FALSE)&lt;VLOOKUP($L$7,'Emissions Population'!$C$7:$I$20,6,FALSE),"Green",IF(VLOOKUP($J$7,'Emissions Population'!$C$7:$I$20,6,FALSE)&lt;0,"Amber","Red")))</f>
        <v>Green</v>
      </c>
      <c r="O45" s="270" t="str">
        <f>VLOOKUP($O$7,'Emissions Population'!$B$3:$C$3,2,TRUE)</f>
        <v>UK Government - Emissions</v>
      </c>
    </row>
    <row r="46" spans="2:15" ht="27.65" customHeight="1">
      <c r="B46" s="580"/>
      <c r="C46" s="581"/>
      <c r="D46" s="271" t="str">
        <f>VLOOKUP($D$7,'Emissions KM'!$B$2:$C$2,2,FALSE)</f>
        <v>Emissions per square kilometers (CO2 Equivalent tonnes)</v>
      </c>
      <c r="E46" s="272">
        <v>2022</v>
      </c>
      <c r="F46" s="273">
        <f>VLOOKUP(F$7,'Emissions KM'!$C$7:$H$20,5,FALSE)</f>
        <v>14.781860255659808</v>
      </c>
      <c r="G46" s="268" t="str">
        <f>IF(G2="Scotland",IF(F46&lt;SUM(K46-SUM(K46*$G$4)),"Green",IF(F46&lt;SUM(K46+SUM(K46*$G$4)),"Amber","Red")),IF(F46&lt;SUM(L46-SUM(L46*$G$4)),"Green",IF(F46&lt;SUM(L46+SUM(L46*$G$4)),"Amber","Red")))</f>
        <v>Red</v>
      </c>
      <c r="H46" s="273" t="str">
        <f>IF(G2="Scotland",IF(VLOOKUP($F$7,'Emissions KM'!$C$7:$I$20,6,FALSE)&lt;VLOOKUP($K$7,'Emissions KM'!$C$7:$I$20,6,FALSE),"Green",IF(VLOOKUP($F$7,'Emissions KM'!$C$7:$I$20,6,FALSE)&lt;0,"Amber","Red")),IF(VLOOKUP($F$7,'Emissions KM'!$C$7:$I$20,6,FALSE)&lt;VLOOKUP($L$7,'Emissions KM'!$C$7:$I$20,6,FALSE),"Green",IF(VLOOKUP($F$7,'Emissions KM'!$C$7:$I$20,6,FALSE)&lt;0,"Amber","Red")))</f>
        <v>Green</v>
      </c>
      <c r="I46" s="269" t="s">
        <v>513</v>
      </c>
      <c r="J46" s="273">
        <f>VLOOKUP(J$7,'Emissions KM'!$C$7:$H$20,5,FALSE)</f>
        <v>2.5394424648870815</v>
      </c>
      <c r="K46" s="273">
        <f>VLOOKUP(K$7,'Emissions KM'!$C$7:$H$20,5,FALSE)</f>
        <v>0.48429795056531649</v>
      </c>
      <c r="L46" s="273">
        <f>VLOOKUP(L$7,'Emissions KM'!$C$7:$H$20,5,FALSE)</f>
        <v>1.5114705436306914</v>
      </c>
      <c r="M46" s="268" t="str">
        <f>IF(L46="-",IF(J46&lt;SUM(K46-SUM(K46*$G$4)),"Green",IF(J46&lt;SUM(K46+SUM(K46*$G$4)),"Amber","Red")),IF(J46&lt;SUM(L46-SUM(L46*$G$4)),"Green",IF(J46&lt;SUM(L46+SUM(L46*$G$4)),"Amber","Red")))</f>
        <v>Red</v>
      </c>
      <c r="N46" s="273" t="str">
        <f>IF(L46="-",IF(VLOOKUP($J$7,'Emissions KM'!$C$7:$I$20,6,FALSE)&lt;VLOOKUP($K$7,'Emissions KM'!$C$7:$I$20,6,FALSE),"Green",IF(VLOOKUP($J$7,'Emissions KM'!$C$7:$I$20,6,FALSE)&lt;0,"Amber","Red")),IF(VLOOKUP($J$7,'Emissions KM'!$C$7:$I$20,6,FALSE)&lt;VLOOKUP($L$7,'Emissions KM'!$C$7:$I$20,6,FALSE),"Green",IF(VLOOKUP($J$7,'Emissions KM'!$C$7:$I$20,6,FALSE)&lt;0,"Amber","Red")))</f>
        <v>Green</v>
      </c>
      <c r="O46" s="270" t="str">
        <f>VLOOKUP($O$7,'Emissions KM'!$B$3:$C$3,2,TRUE)</f>
        <v>UK Government - Emissions</v>
      </c>
    </row>
    <row r="47" spans="2:15" s="248" customFormat="1" ht="27.65" customHeight="1">
      <c r="C47" s="249"/>
      <c r="D47" s="281"/>
      <c r="E47" s="250"/>
      <c r="F47" s="251"/>
      <c r="G47" s="252"/>
      <c r="H47" s="252"/>
      <c r="I47" s="250"/>
      <c r="J47" s="252"/>
      <c r="K47" s="252"/>
      <c r="L47" s="252"/>
      <c r="M47" s="252"/>
      <c r="N47" s="252"/>
    </row>
    <row r="48" spans="2:15" s="248" customFormat="1" ht="27.65" customHeight="1">
      <c r="C48" s="249"/>
      <c r="E48" s="250"/>
      <c r="F48" s="251"/>
      <c r="G48" s="252"/>
      <c r="H48" s="252"/>
      <c r="I48" s="250"/>
      <c r="J48" s="252"/>
      <c r="K48" s="252"/>
      <c r="L48" s="252"/>
      <c r="M48" s="252"/>
      <c r="N48" s="252"/>
    </row>
    <row r="49" spans="3:14" s="248" customFormat="1" ht="27.65" customHeight="1">
      <c r="C49" s="249"/>
      <c r="E49" s="250"/>
      <c r="F49" s="251"/>
      <c r="G49" s="252"/>
      <c r="H49" s="252"/>
      <c r="I49" s="250"/>
      <c r="J49" s="252"/>
      <c r="K49" s="252"/>
      <c r="L49" s="252"/>
      <c r="M49" s="252"/>
      <c r="N49" s="252"/>
    </row>
    <row r="50" spans="3:14" s="248" customFormat="1" ht="27.65" customHeight="1">
      <c r="C50" s="249"/>
      <c r="E50" s="250"/>
      <c r="F50" s="251"/>
      <c r="G50" s="252"/>
      <c r="H50" s="252"/>
      <c r="I50" s="250"/>
      <c r="J50" s="252"/>
      <c r="K50" s="252"/>
      <c r="L50" s="252"/>
      <c r="M50" s="252"/>
      <c r="N50" s="252"/>
    </row>
    <row r="51" spans="3:14" s="248" customFormat="1" ht="27.65" customHeight="1">
      <c r="C51" s="249"/>
      <c r="E51" s="250"/>
      <c r="F51" s="251"/>
      <c r="G51" s="252"/>
      <c r="H51" s="252"/>
      <c r="I51" s="250"/>
      <c r="J51" s="252"/>
      <c r="K51" s="252"/>
      <c r="L51" s="252"/>
      <c r="M51" s="252"/>
      <c r="N51" s="252"/>
    </row>
    <row r="52" spans="3:14" s="248" customFormat="1" ht="27.65" customHeight="1">
      <c r="C52" s="249"/>
      <c r="E52" s="250"/>
      <c r="F52" s="251"/>
      <c r="G52" s="252"/>
      <c r="H52" s="252"/>
      <c r="I52" s="250"/>
      <c r="J52" s="252"/>
      <c r="K52" s="252"/>
      <c r="L52" s="252"/>
      <c r="M52" s="252"/>
      <c r="N52" s="252"/>
    </row>
    <row r="53" spans="3:14" s="248" customFormat="1" ht="27.65" customHeight="1">
      <c r="C53" s="249"/>
      <c r="E53" s="250"/>
      <c r="F53" s="251"/>
      <c r="G53" s="252"/>
      <c r="H53" s="252"/>
      <c r="I53" s="250"/>
      <c r="J53" s="252"/>
      <c r="K53" s="252"/>
      <c r="L53" s="252"/>
      <c r="M53" s="252"/>
      <c r="N53" s="252"/>
    </row>
    <row r="54" spans="3:14" s="248" customFormat="1" ht="27.65" customHeight="1">
      <c r="C54" s="249"/>
      <c r="E54" s="250"/>
      <c r="F54" s="251"/>
      <c r="G54" s="252"/>
      <c r="H54" s="252"/>
      <c r="I54" s="250"/>
      <c r="J54" s="252"/>
      <c r="K54" s="252"/>
      <c r="L54" s="252"/>
      <c r="M54" s="252"/>
      <c r="N54" s="252"/>
    </row>
    <row r="55" spans="3:14" s="248" customFormat="1" ht="27.65" customHeight="1">
      <c r="C55" s="249"/>
      <c r="E55" s="250"/>
      <c r="F55" s="251"/>
      <c r="G55" s="252"/>
      <c r="H55" s="252"/>
      <c r="I55" s="250"/>
      <c r="J55" s="252"/>
      <c r="K55" s="252"/>
      <c r="L55" s="252"/>
      <c r="M55" s="252"/>
      <c r="N55" s="252"/>
    </row>
    <row r="56" spans="3:14" s="248" customFormat="1" ht="27.65" customHeight="1">
      <c r="C56" s="249"/>
      <c r="E56" s="250"/>
      <c r="F56" s="251"/>
      <c r="G56" s="252"/>
      <c r="H56" s="252"/>
      <c r="I56" s="250"/>
      <c r="J56" s="252"/>
      <c r="K56" s="252"/>
      <c r="L56" s="252"/>
      <c r="M56" s="252"/>
      <c r="N56" s="252"/>
    </row>
    <row r="57" spans="3:14" s="248" customFormat="1" ht="27.65" customHeight="1">
      <c r="C57" s="249"/>
      <c r="E57" s="250"/>
      <c r="F57" s="251"/>
      <c r="G57" s="252"/>
      <c r="H57" s="252"/>
      <c r="I57" s="250"/>
      <c r="J57" s="252"/>
      <c r="K57" s="252"/>
      <c r="L57" s="252"/>
      <c r="M57" s="252"/>
      <c r="N57" s="252"/>
    </row>
    <row r="58" spans="3:14" s="248" customFormat="1" ht="27.65" customHeight="1">
      <c r="C58" s="249"/>
      <c r="E58" s="250"/>
      <c r="F58" s="251"/>
      <c r="G58" s="252"/>
      <c r="H58" s="252"/>
      <c r="I58" s="250"/>
      <c r="J58" s="252"/>
      <c r="K58" s="252"/>
      <c r="L58" s="252"/>
      <c r="M58" s="252"/>
      <c r="N58" s="252"/>
    </row>
    <row r="59" spans="3:14" s="248" customFormat="1" ht="27.65" customHeight="1">
      <c r="C59" s="249"/>
      <c r="E59" s="250"/>
      <c r="F59" s="251"/>
      <c r="G59" s="252"/>
      <c r="H59" s="252"/>
      <c r="I59" s="250"/>
      <c r="J59" s="252"/>
      <c r="K59" s="252"/>
      <c r="L59" s="252"/>
      <c r="M59" s="252"/>
      <c r="N59" s="252"/>
    </row>
    <row r="60" spans="3:14" s="248" customFormat="1" ht="27.65" customHeight="1">
      <c r="C60" s="249"/>
      <c r="E60" s="250"/>
      <c r="F60" s="251"/>
      <c r="G60" s="252"/>
      <c r="H60" s="252"/>
      <c r="I60" s="250"/>
      <c r="J60" s="252"/>
      <c r="K60" s="252"/>
      <c r="L60" s="252"/>
      <c r="M60" s="252"/>
      <c r="N60" s="252"/>
    </row>
    <row r="61" spans="3:14" s="248" customFormat="1" ht="27.65" customHeight="1">
      <c r="C61" s="249"/>
      <c r="E61" s="250"/>
      <c r="F61" s="251"/>
      <c r="G61" s="252"/>
      <c r="H61" s="252"/>
      <c r="I61" s="250"/>
      <c r="J61" s="252"/>
      <c r="K61" s="252"/>
      <c r="L61" s="252"/>
      <c r="M61" s="252"/>
      <c r="N61" s="252"/>
    </row>
    <row r="62" spans="3:14" s="248" customFormat="1" ht="27.65" customHeight="1">
      <c r="C62" s="249"/>
      <c r="E62" s="250"/>
      <c r="F62" s="251"/>
      <c r="G62" s="252"/>
      <c r="H62" s="252"/>
      <c r="I62" s="250"/>
      <c r="J62" s="252"/>
      <c r="K62" s="252"/>
      <c r="L62" s="252"/>
      <c r="M62" s="252"/>
      <c r="N62" s="252"/>
    </row>
    <row r="63" spans="3:14" s="248" customFormat="1" ht="27.65" customHeight="1">
      <c r="C63" s="249"/>
      <c r="E63" s="250"/>
      <c r="F63" s="251"/>
      <c r="G63" s="252"/>
      <c r="H63" s="252"/>
      <c r="I63" s="250"/>
      <c r="J63" s="252"/>
      <c r="K63" s="252"/>
      <c r="L63" s="252"/>
      <c r="M63" s="252"/>
      <c r="N63" s="252"/>
    </row>
    <row r="64" spans="3:14" s="248" customFormat="1" ht="27.65" customHeight="1">
      <c r="C64" s="249"/>
      <c r="E64" s="250"/>
      <c r="F64" s="251"/>
      <c r="G64" s="252"/>
      <c r="H64" s="252"/>
      <c r="I64" s="250"/>
      <c r="J64" s="252"/>
      <c r="K64" s="252"/>
      <c r="L64" s="252"/>
      <c r="M64" s="252"/>
      <c r="N64" s="252"/>
    </row>
    <row r="65" spans="3:14" s="248" customFormat="1" ht="27.65" customHeight="1">
      <c r="C65" s="249"/>
      <c r="E65" s="250"/>
      <c r="F65" s="251"/>
      <c r="G65" s="252"/>
      <c r="H65" s="252"/>
      <c r="I65" s="250"/>
      <c r="J65" s="252"/>
      <c r="K65" s="252"/>
      <c r="L65" s="252"/>
      <c r="M65" s="252"/>
      <c r="N65" s="252"/>
    </row>
    <row r="66" spans="3:14" s="248" customFormat="1" ht="27.65" customHeight="1">
      <c r="C66" s="249"/>
      <c r="E66" s="250"/>
      <c r="F66" s="251"/>
      <c r="G66" s="252"/>
      <c r="H66" s="252"/>
      <c r="I66" s="250"/>
      <c r="J66" s="252"/>
      <c r="K66" s="252"/>
      <c r="L66" s="252"/>
      <c r="M66" s="252"/>
      <c r="N66" s="252"/>
    </row>
    <row r="67" spans="3:14" s="248" customFormat="1" ht="27.65" customHeight="1">
      <c r="C67" s="249"/>
      <c r="E67" s="250"/>
      <c r="F67" s="251"/>
      <c r="G67" s="252"/>
      <c r="H67" s="252"/>
      <c r="I67" s="250"/>
      <c r="J67" s="252"/>
      <c r="K67" s="252"/>
      <c r="L67" s="252"/>
      <c r="M67" s="252"/>
      <c r="N67" s="252"/>
    </row>
    <row r="68" spans="3:14" s="248" customFormat="1" ht="27.65" customHeight="1">
      <c r="C68" s="249"/>
      <c r="E68" s="250"/>
      <c r="F68" s="251"/>
      <c r="G68" s="252"/>
      <c r="H68" s="252"/>
      <c r="I68" s="250"/>
      <c r="J68" s="252"/>
      <c r="K68" s="252"/>
      <c r="L68" s="252"/>
      <c r="M68" s="252"/>
      <c r="N68" s="252"/>
    </row>
    <row r="69" spans="3:14" s="248" customFormat="1" ht="27.65" customHeight="1">
      <c r="C69" s="249"/>
      <c r="E69" s="250"/>
      <c r="F69" s="251"/>
      <c r="G69" s="252"/>
      <c r="H69" s="252"/>
      <c r="I69" s="250"/>
      <c r="J69" s="252"/>
      <c r="K69" s="252"/>
      <c r="L69" s="252"/>
      <c r="M69" s="252"/>
      <c r="N69" s="252"/>
    </row>
    <row r="70" spans="3:14" s="248" customFormat="1" ht="27.65" customHeight="1">
      <c r="C70" s="249"/>
      <c r="E70" s="250"/>
      <c r="F70" s="251"/>
      <c r="G70" s="252"/>
      <c r="H70" s="252"/>
      <c r="I70" s="250"/>
      <c r="J70" s="252"/>
      <c r="K70" s="252"/>
      <c r="L70" s="252"/>
      <c r="M70" s="252"/>
      <c r="N70" s="252"/>
    </row>
    <row r="71" spans="3:14" s="248" customFormat="1" ht="27.65" customHeight="1">
      <c r="C71" s="249"/>
      <c r="E71" s="250"/>
      <c r="F71" s="251"/>
      <c r="G71" s="252"/>
      <c r="H71" s="252"/>
      <c r="I71" s="250"/>
      <c r="J71" s="252"/>
      <c r="K71" s="252"/>
      <c r="L71" s="252"/>
      <c r="M71" s="252"/>
      <c r="N71" s="252"/>
    </row>
    <row r="72" spans="3:14" s="248" customFormat="1" ht="27.65" customHeight="1">
      <c r="C72" s="249"/>
      <c r="E72" s="250"/>
      <c r="F72" s="251"/>
      <c r="G72" s="252"/>
      <c r="H72" s="252"/>
      <c r="I72" s="250"/>
      <c r="J72" s="252"/>
      <c r="K72" s="252"/>
      <c r="L72" s="252"/>
      <c r="M72" s="252"/>
      <c r="N72" s="252"/>
    </row>
    <row r="73" spans="3:14" s="248" customFormat="1" ht="27.65" customHeight="1">
      <c r="C73" s="249"/>
      <c r="E73" s="250"/>
      <c r="F73" s="251"/>
      <c r="G73" s="252"/>
      <c r="H73" s="252"/>
      <c r="I73" s="250"/>
      <c r="J73" s="252"/>
      <c r="K73" s="252"/>
      <c r="L73" s="252"/>
      <c r="M73" s="252"/>
      <c r="N73" s="252"/>
    </row>
    <row r="74" spans="3:14" s="248" customFormat="1" ht="27.65" customHeight="1">
      <c r="C74" s="249"/>
      <c r="E74" s="250"/>
      <c r="F74" s="251"/>
      <c r="G74" s="252"/>
      <c r="H74" s="252"/>
      <c r="I74" s="250"/>
      <c r="J74" s="252"/>
      <c r="K74" s="252"/>
      <c r="L74" s="252"/>
      <c r="M74" s="252"/>
      <c r="N74" s="252"/>
    </row>
    <row r="75" spans="3:14" s="248" customFormat="1" ht="27.65" customHeight="1">
      <c r="C75" s="249"/>
      <c r="E75" s="250"/>
      <c r="F75" s="251"/>
      <c r="G75" s="252"/>
      <c r="H75" s="252"/>
      <c r="I75" s="250"/>
      <c r="J75" s="252"/>
      <c r="K75" s="252"/>
      <c r="L75" s="252"/>
      <c r="M75" s="252"/>
      <c r="N75" s="252"/>
    </row>
    <row r="76" spans="3:14" s="248" customFormat="1" ht="27.65" customHeight="1">
      <c r="C76" s="249"/>
      <c r="E76" s="250"/>
      <c r="F76" s="251"/>
      <c r="G76" s="252"/>
      <c r="H76" s="252"/>
      <c r="I76" s="250"/>
      <c r="J76" s="252"/>
      <c r="K76" s="252"/>
      <c r="L76" s="252"/>
      <c r="M76" s="252"/>
      <c r="N76" s="252"/>
    </row>
    <row r="77" spans="3:14" s="248" customFormat="1" ht="27.65" customHeight="1">
      <c r="C77" s="249"/>
      <c r="E77" s="250"/>
      <c r="F77" s="251"/>
      <c r="G77" s="252"/>
      <c r="H77" s="252"/>
      <c r="I77" s="250"/>
      <c r="J77" s="252"/>
      <c r="K77" s="252"/>
      <c r="L77" s="252"/>
      <c r="M77" s="252"/>
      <c r="N77" s="252"/>
    </row>
    <row r="78" spans="3:14" s="248" customFormat="1" ht="27.65" customHeight="1">
      <c r="C78" s="249"/>
      <c r="E78" s="250"/>
      <c r="F78" s="251"/>
      <c r="G78" s="252"/>
      <c r="H78" s="252"/>
      <c r="I78" s="250"/>
      <c r="J78" s="252"/>
      <c r="K78" s="252"/>
      <c r="L78" s="252"/>
      <c r="M78" s="252"/>
      <c r="N78" s="252"/>
    </row>
    <row r="79" spans="3:14" s="248" customFormat="1" ht="27.65" customHeight="1">
      <c r="C79" s="249"/>
      <c r="E79" s="250"/>
      <c r="F79" s="251"/>
      <c r="G79" s="252"/>
      <c r="H79" s="252"/>
      <c r="I79" s="250"/>
      <c r="J79" s="252"/>
      <c r="K79" s="252"/>
      <c r="L79" s="252"/>
      <c r="M79" s="252"/>
      <c r="N79" s="252"/>
    </row>
    <row r="80" spans="3:14" s="248" customFormat="1" ht="27.65" customHeight="1">
      <c r="C80" s="249"/>
      <c r="E80" s="250"/>
      <c r="F80" s="251"/>
      <c r="G80" s="252"/>
      <c r="H80" s="252"/>
      <c r="I80" s="250"/>
      <c r="J80" s="252"/>
      <c r="K80" s="252"/>
      <c r="L80" s="252"/>
      <c r="M80" s="252"/>
      <c r="N80" s="252"/>
    </row>
    <row r="81" spans="3:14" s="248" customFormat="1" ht="27.65" customHeight="1">
      <c r="C81" s="249"/>
      <c r="E81" s="250"/>
      <c r="F81" s="251"/>
      <c r="G81" s="252"/>
      <c r="H81" s="252"/>
      <c r="I81" s="250"/>
      <c r="J81" s="252"/>
      <c r="K81" s="252"/>
      <c r="L81" s="252"/>
      <c r="M81" s="252"/>
      <c r="N81" s="252"/>
    </row>
    <row r="82" spans="3:14" s="248" customFormat="1" ht="27.65" customHeight="1">
      <c r="C82" s="249"/>
      <c r="E82" s="250"/>
      <c r="F82" s="251"/>
      <c r="G82" s="252"/>
      <c r="H82" s="252"/>
      <c r="I82" s="250"/>
      <c r="J82" s="252"/>
      <c r="K82" s="252"/>
      <c r="L82" s="252"/>
      <c r="M82" s="252"/>
      <c r="N82" s="252"/>
    </row>
    <row r="83" spans="3:14" s="248" customFormat="1" ht="27.65" customHeight="1">
      <c r="C83" s="249"/>
      <c r="E83" s="250"/>
      <c r="F83" s="251"/>
      <c r="G83" s="252"/>
      <c r="H83" s="252"/>
      <c r="I83" s="250"/>
      <c r="J83" s="252"/>
      <c r="K83" s="252"/>
      <c r="L83" s="252"/>
      <c r="M83" s="252"/>
      <c r="N83" s="252"/>
    </row>
    <row r="84" spans="3:14" s="248" customFormat="1" ht="27.65" customHeight="1">
      <c r="C84" s="249"/>
      <c r="E84" s="250"/>
      <c r="F84" s="251"/>
      <c r="G84" s="252"/>
      <c r="H84" s="252"/>
      <c r="I84" s="250"/>
      <c r="J84" s="252"/>
      <c r="K84" s="252"/>
      <c r="L84" s="252"/>
      <c r="M84" s="252"/>
      <c r="N84" s="252"/>
    </row>
    <row r="85" spans="3:14" s="248" customFormat="1" ht="27.65" customHeight="1">
      <c r="C85" s="249"/>
      <c r="E85" s="250"/>
      <c r="F85" s="251"/>
      <c r="G85" s="252"/>
      <c r="H85" s="252"/>
      <c r="I85" s="250"/>
      <c r="J85" s="252"/>
      <c r="K85" s="252"/>
      <c r="L85" s="252"/>
      <c r="M85" s="252"/>
      <c r="N85" s="252"/>
    </row>
    <row r="86" spans="3:14" s="248" customFormat="1" ht="27.65" customHeight="1">
      <c r="C86" s="249"/>
      <c r="E86" s="250"/>
      <c r="F86" s="251"/>
      <c r="G86" s="252"/>
      <c r="H86" s="252"/>
      <c r="I86" s="250"/>
      <c r="J86" s="252"/>
      <c r="K86" s="252"/>
      <c r="L86" s="252"/>
      <c r="M86" s="252"/>
      <c r="N86" s="252"/>
    </row>
    <row r="87" spans="3:14" s="248" customFormat="1" ht="27.65" customHeight="1">
      <c r="C87" s="249"/>
      <c r="E87" s="250"/>
      <c r="F87" s="251"/>
      <c r="G87" s="252"/>
      <c r="H87" s="252"/>
      <c r="I87" s="250"/>
      <c r="J87" s="252"/>
      <c r="K87" s="252"/>
      <c r="L87" s="252"/>
      <c r="M87" s="252"/>
      <c r="N87" s="252"/>
    </row>
    <row r="88" spans="3:14" s="248" customFormat="1" ht="27.65" customHeight="1">
      <c r="C88" s="249"/>
      <c r="E88" s="250"/>
      <c r="F88" s="251"/>
      <c r="G88" s="252"/>
      <c r="H88" s="252"/>
      <c r="I88" s="250"/>
      <c r="J88" s="252"/>
      <c r="K88" s="252"/>
      <c r="L88" s="252"/>
      <c r="M88" s="252"/>
      <c r="N88" s="252"/>
    </row>
    <row r="89" spans="3:14" s="248" customFormat="1" ht="27.65" customHeight="1">
      <c r="C89" s="249"/>
      <c r="E89" s="250"/>
      <c r="F89" s="251"/>
      <c r="G89" s="252"/>
      <c r="H89" s="252"/>
      <c r="I89" s="250"/>
      <c r="J89" s="252"/>
      <c r="K89" s="252"/>
      <c r="L89" s="252"/>
      <c r="M89" s="252"/>
      <c r="N89" s="252"/>
    </row>
    <row r="90" spans="3:14" s="248" customFormat="1" ht="27.65" customHeight="1">
      <c r="C90" s="249"/>
      <c r="E90" s="250"/>
      <c r="F90" s="251"/>
      <c r="G90" s="252"/>
      <c r="H90" s="252"/>
      <c r="I90" s="250"/>
      <c r="J90" s="252"/>
      <c r="K90" s="252"/>
      <c r="L90" s="252"/>
      <c r="M90" s="252"/>
      <c r="N90" s="252"/>
    </row>
    <row r="91" spans="3:14" s="248" customFormat="1" ht="27.65" customHeight="1">
      <c r="C91" s="249"/>
      <c r="E91" s="250"/>
      <c r="F91" s="251"/>
      <c r="G91" s="252"/>
      <c r="H91" s="252"/>
      <c r="I91" s="250"/>
      <c r="J91" s="252"/>
      <c r="K91" s="252"/>
      <c r="L91" s="252"/>
      <c r="M91" s="252"/>
      <c r="N91" s="252"/>
    </row>
    <row r="92" spans="3:14" s="248" customFormat="1" ht="27.65" customHeight="1">
      <c r="C92" s="249"/>
      <c r="E92" s="250"/>
      <c r="F92" s="251"/>
      <c r="G92" s="252"/>
      <c r="H92" s="252"/>
      <c r="I92" s="250"/>
      <c r="J92" s="252"/>
      <c r="K92" s="252"/>
      <c r="L92" s="252"/>
      <c r="M92" s="252"/>
      <c r="N92" s="252"/>
    </row>
    <row r="93" spans="3:14" s="248" customFormat="1" ht="27.65" customHeight="1">
      <c r="C93" s="249"/>
      <c r="E93" s="250"/>
      <c r="F93" s="251"/>
      <c r="G93" s="252"/>
      <c r="H93" s="252"/>
      <c r="I93" s="250"/>
      <c r="J93" s="252"/>
      <c r="K93" s="252"/>
      <c r="L93" s="252"/>
      <c r="M93" s="252"/>
      <c r="N93" s="252"/>
    </row>
    <row r="94" spans="3:14" s="248" customFormat="1" ht="27.65" customHeight="1">
      <c r="C94" s="249"/>
      <c r="E94" s="250"/>
      <c r="F94" s="251"/>
      <c r="G94" s="252"/>
      <c r="H94" s="252"/>
      <c r="I94" s="250"/>
      <c r="J94" s="252"/>
      <c r="K94" s="252"/>
      <c r="L94" s="252"/>
      <c r="M94" s="252"/>
      <c r="N94" s="252"/>
    </row>
    <row r="95" spans="3:14" s="248" customFormat="1" ht="27.65" customHeight="1">
      <c r="C95" s="249"/>
      <c r="E95" s="250"/>
      <c r="F95" s="251"/>
      <c r="G95" s="252"/>
      <c r="H95" s="252"/>
      <c r="I95" s="250"/>
      <c r="J95" s="252"/>
      <c r="K95" s="252"/>
      <c r="L95" s="252"/>
      <c r="M95" s="252"/>
      <c r="N95" s="252"/>
    </row>
    <row r="96" spans="3:14" s="248" customFormat="1" ht="27.65" customHeight="1">
      <c r="C96" s="249"/>
      <c r="E96" s="250"/>
      <c r="F96" s="251"/>
      <c r="G96" s="252"/>
      <c r="H96" s="252"/>
      <c r="I96" s="250"/>
      <c r="J96" s="252"/>
      <c r="K96" s="252"/>
      <c r="L96" s="252"/>
      <c r="M96" s="252"/>
      <c r="N96" s="252"/>
    </row>
    <row r="97" spans="3:14" s="248" customFormat="1" ht="27.65" customHeight="1">
      <c r="C97" s="249"/>
      <c r="E97" s="250"/>
      <c r="F97" s="251"/>
      <c r="G97" s="252"/>
      <c r="H97" s="252"/>
      <c r="I97" s="250"/>
      <c r="J97" s="252"/>
      <c r="K97" s="252"/>
      <c r="L97" s="252"/>
      <c r="M97" s="252"/>
      <c r="N97" s="252"/>
    </row>
    <row r="98" spans="3:14" ht="27.65" customHeight="1"/>
    <row r="99" spans="3:14" ht="27.65" customHeight="1"/>
    <row r="100" spans="3:14" ht="27.65" customHeight="1"/>
    <row r="101" spans="3:14" ht="27.65" customHeight="1"/>
    <row r="102" spans="3:14" ht="27.65" customHeight="1"/>
    <row r="103" spans="3:14" ht="27.65" customHeight="1"/>
    <row r="104" spans="3:14" ht="27.65" customHeight="1"/>
    <row r="105" spans="3:14" ht="27.65" customHeight="1"/>
  </sheetData>
  <sheetProtection algorithmName="SHA-512" hashValue="70XzlJuIScaCLf4+CUUSus7DeD5wjw6f8jMFhTGpw/DiHWMHGqXFsFieQJnAXmp5oEP1yJ1L8oMhLVOE6kdAkg==" saltValue="IqNFlQ+9z3fUEw1ji6qwAA==" spinCount="100000" sheet="1" objects="1" scenarios="1"/>
  <autoFilter ref="G7:H7" xr:uid="{36DE1EBF-7396-42BC-8115-A57C60051EFB}"/>
  <mergeCells count="15">
    <mergeCell ref="B45:B46"/>
    <mergeCell ref="B7:C7"/>
    <mergeCell ref="C45:C46"/>
    <mergeCell ref="C8:C10"/>
    <mergeCell ref="C11:C13"/>
    <mergeCell ref="C14:C17"/>
    <mergeCell ref="C18:C29"/>
    <mergeCell ref="C33:C37"/>
    <mergeCell ref="C39:C44"/>
    <mergeCell ref="M6:N6"/>
    <mergeCell ref="G6:H6"/>
    <mergeCell ref="B8:B38"/>
    <mergeCell ref="B39:B44"/>
    <mergeCell ref="B3:D4"/>
    <mergeCell ref="C30:C32"/>
  </mergeCells>
  <phoneticPr fontId="109" type="noConversion"/>
  <conditionalFormatting sqref="G2">
    <cfRule type="containsText" dxfId="466" priority="20" operator="containsText" text="United Kingdom">
      <formula>NOT(ISERROR(SEARCH("United Kingdom",G2)))</formula>
    </cfRule>
    <cfRule type="containsText" dxfId="465" priority="21" operator="containsText" text="Scotland">
      <formula>NOT(ISERROR(SEARCH("Scotland",G2)))</formula>
    </cfRule>
  </conditionalFormatting>
  <conditionalFormatting sqref="G8:I26 M8:N26 M30:N32 G30:I44 M43:N43 G46:I46">
    <cfRule type="containsText" dxfId="464" priority="1734" operator="containsText" text="Red">
      <formula>NOT(ISERROR(SEARCH("Red",G8)))</formula>
    </cfRule>
  </conditionalFormatting>
  <conditionalFormatting sqref="G30:I45 N32:N36 M34:M36 M35:N36">
    <cfRule type="containsText" dxfId="463" priority="16" operator="containsText" text="Amber">
      <formula>NOT(ISERROR(SEARCH("Amber",G30)))</formula>
    </cfRule>
  </conditionalFormatting>
  <conditionalFormatting sqref="H10 M35:N39 N40:N44">
    <cfRule type="containsText" dxfId="462" priority="1385" operator="containsText" text="Green">
      <formula>NOT(ISERROR(SEARCH("Green",H10)))</formula>
    </cfRule>
    <cfRule type="containsText" dxfId="461" priority="1386" operator="containsText" text="Red">
      <formula>NOT(ISERROR(SEARCH("Red",H10)))</formula>
    </cfRule>
  </conditionalFormatting>
  <conditionalFormatting sqref="H14:H16">
    <cfRule type="containsText" dxfId="460" priority="1378" operator="containsText" text="Amber">
      <formula>NOT(ISERROR(SEARCH("Amber",H14)))</formula>
    </cfRule>
    <cfRule type="containsText" dxfId="459" priority="1379" operator="containsText" text="Green">
      <formula>NOT(ISERROR(SEARCH("Green",H14)))</formula>
    </cfRule>
    <cfRule type="containsText" dxfId="458" priority="1380" operator="containsText" text="Red">
      <formula>NOT(ISERROR(SEARCH("Red",H14)))</formula>
    </cfRule>
  </conditionalFormatting>
  <conditionalFormatting sqref="H15">
    <cfRule type="containsText" dxfId="457" priority="1417" operator="containsText" text="Amber">
      <formula>NOT(ISERROR(SEARCH("Amber",H15)))</formula>
    </cfRule>
    <cfRule type="containsText" dxfId="456" priority="1418" operator="containsText" text="Green">
      <formula>NOT(ISERROR(SEARCH("Green",H15)))</formula>
    </cfRule>
    <cfRule type="containsText" dxfId="455" priority="1419" operator="containsText" text="Red">
      <formula>NOT(ISERROR(SEARCH("Red",H15)))</formula>
    </cfRule>
  </conditionalFormatting>
  <conditionalFormatting sqref="H18">
    <cfRule type="containsText" dxfId="454" priority="1270" operator="containsText" text="Amber">
      <formula>NOT(ISERROR(SEARCH("Amber",H18)))</formula>
    </cfRule>
    <cfRule type="containsText" dxfId="453" priority="1271" operator="containsText" text="Green">
      <formula>NOT(ISERROR(SEARCH("Green",H18)))</formula>
    </cfRule>
    <cfRule type="containsText" dxfId="452" priority="1272" operator="containsText" text="Red">
      <formula>NOT(ISERROR(SEARCH("Red",H18)))</formula>
    </cfRule>
  </conditionalFormatting>
  <conditionalFormatting sqref="H18:H23">
    <cfRule type="containsText" dxfId="451" priority="1240" operator="containsText" text="Amber">
      <formula>NOT(ISERROR(SEARCH("Amber",H18)))</formula>
    </cfRule>
    <cfRule type="containsText" dxfId="450" priority="1241" operator="containsText" text="Green">
      <formula>NOT(ISERROR(SEARCH("Green",H18)))</formula>
    </cfRule>
    <cfRule type="containsText" dxfId="449" priority="1242" operator="containsText" text="Red">
      <formula>NOT(ISERROR(SEARCH("Red",H18)))</formula>
    </cfRule>
  </conditionalFormatting>
  <conditionalFormatting sqref="H20">
    <cfRule type="containsText" dxfId="448" priority="1258" operator="containsText" text="Amber">
      <formula>NOT(ISERROR(SEARCH("Amber",H20)))</formula>
    </cfRule>
    <cfRule type="containsText" dxfId="447" priority="1259" operator="containsText" text="Green">
      <formula>NOT(ISERROR(SEARCH("Green",H20)))</formula>
    </cfRule>
    <cfRule type="containsText" dxfId="446" priority="1260" operator="containsText" text="Red">
      <formula>NOT(ISERROR(SEARCH("Red",H20)))</formula>
    </cfRule>
  </conditionalFormatting>
  <conditionalFormatting sqref="H21">
    <cfRule type="containsText" dxfId="445" priority="1237" operator="containsText" text="Amber">
      <formula>NOT(ISERROR(SEARCH("Amber",H21)))</formula>
    </cfRule>
    <cfRule type="containsText" dxfId="444" priority="1238" operator="containsText" text="Green">
      <formula>NOT(ISERROR(SEARCH("Green",H21)))</formula>
    </cfRule>
    <cfRule type="containsText" dxfId="443" priority="1239" operator="containsText" text="Red">
      <formula>NOT(ISERROR(SEARCH("Red",H21)))</formula>
    </cfRule>
  </conditionalFormatting>
  <conditionalFormatting sqref="H23:H24">
    <cfRule type="containsText" dxfId="442" priority="1222" operator="containsText" text="Amber">
      <formula>NOT(ISERROR(SEARCH("Amber",H23)))</formula>
    </cfRule>
    <cfRule type="containsText" dxfId="441" priority="1223" operator="containsText" text="Green">
      <formula>NOT(ISERROR(SEARCH("Green",H23)))</formula>
    </cfRule>
    <cfRule type="containsText" dxfId="440" priority="1224" operator="containsText" text="Red">
      <formula>NOT(ISERROR(SEARCH("Red",H23)))</formula>
    </cfRule>
  </conditionalFormatting>
  <conditionalFormatting sqref="H24:H26">
    <cfRule type="containsText" dxfId="439" priority="1207" operator="containsText" text="Amber">
      <formula>NOT(ISERROR(SEARCH("Amber",H24)))</formula>
    </cfRule>
    <cfRule type="containsText" dxfId="438" priority="1208" operator="containsText" text="Green">
      <formula>NOT(ISERROR(SEARCH("Green",H24)))</formula>
    </cfRule>
    <cfRule type="containsText" dxfId="437" priority="1209" operator="containsText" text="Red">
      <formula>NOT(ISERROR(SEARCH("Red",H24)))</formula>
    </cfRule>
  </conditionalFormatting>
  <conditionalFormatting sqref="H25:H26">
    <cfRule type="containsText" dxfId="436" priority="1204" operator="containsText" text="Amber">
      <formula>NOT(ISERROR(SEARCH("Amber",H25)))</formula>
    </cfRule>
    <cfRule type="containsText" dxfId="435" priority="1205" operator="containsText" text="Green">
      <formula>NOT(ISERROR(SEARCH("Green",H25)))</formula>
    </cfRule>
    <cfRule type="containsText" dxfId="434" priority="1206" operator="containsText" text="Red">
      <formula>NOT(ISERROR(SEARCH("Red",H25)))</formula>
    </cfRule>
  </conditionalFormatting>
  <conditionalFormatting sqref="H26">
    <cfRule type="containsText" dxfId="433" priority="1144" operator="containsText" text="Amber">
      <formula>NOT(ISERROR(SEARCH("Amber",H26)))</formula>
    </cfRule>
    <cfRule type="containsText" dxfId="432" priority="1145" operator="containsText" text="Green">
      <formula>NOT(ISERROR(SEARCH("Green",H26)))</formula>
    </cfRule>
    <cfRule type="containsText" dxfId="431" priority="1146" operator="containsText" text="Red">
      <formula>NOT(ISERROR(SEARCH("Red",H26)))</formula>
    </cfRule>
    <cfRule type="containsText" dxfId="430" priority="1192" operator="containsText" text="Amber">
      <formula>NOT(ISERROR(SEARCH("Amber",H26)))</formula>
    </cfRule>
    <cfRule type="containsText" dxfId="429" priority="1193" operator="containsText" text="Green">
      <formula>NOT(ISERROR(SEARCH("Green",H26)))</formula>
    </cfRule>
    <cfRule type="containsText" dxfId="428" priority="1194" operator="containsText" text="Red">
      <formula>NOT(ISERROR(SEARCH("Red",H26)))</formula>
    </cfRule>
    <cfRule type="containsText" dxfId="427" priority="1195" operator="containsText" text="Amber">
      <formula>NOT(ISERROR(SEARCH("Amber",H26)))</formula>
    </cfRule>
    <cfRule type="containsText" dxfId="426" priority="1196" operator="containsText" text="Green">
      <formula>NOT(ISERROR(SEARCH("Green",H26)))</formula>
    </cfRule>
    <cfRule type="containsText" dxfId="425" priority="1197" operator="containsText" text="Red">
      <formula>NOT(ISERROR(SEARCH("Red",H26)))</formula>
    </cfRule>
  </conditionalFormatting>
  <conditionalFormatting sqref="H30:H31">
    <cfRule type="containsText" dxfId="424" priority="1153" operator="containsText" text="Amber">
      <formula>NOT(ISERROR(SEARCH("Amber",H30)))</formula>
    </cfRule>
    <cfRule type="containsText" dxfId="423" priority="1154" operator="containsText" text="Green">
      <formula>NOT(ISERROR(SEARCH("Green",H30)))</formula>
    </cfRule>
    <cfRule type="containsText" dxfId="422" priority="1155" operator="containsText" text="Red">
      <formula>NOT(ISERROR(SEARCH("Red",H30)))</formula>
    </cfRule>
  </conditionalFormatting>
  <conditionalFormatting sqref="H30:H39 N33:N35 M34:M35 M35:N36 G45:I45">
    <cfRule type="containsText" dxfId="421" priority="17" operator="containsText" text="Green">
      <formula>NOT(ISERROR(SEARCH("Green",G30)))</formula>
    </cfRule>
    <cfRule type="containsText" dxfId="420" priority="18" operator="containsText" text="Red">
      <formula>NOT(ISERROR(SEARCH("Red",G30)))</formula>
    </cfRule>
  </conditionalFormatting>
  <conditionalFormatting sqref="H31">
    <cfRule type="containsText" dxfId="419" priority="1132" operator="containsText" text="Amber">
      <formula>NOT(ISERROR(SEARCH("Amber",H31)))</formula>
    </cfRule>
    <cfRule type="containsText" dxfId="418" priority="1133" operator="containsText" text="Green">
      <formula>NOT(ISERROR(SEARCH("Green",H31)))</formula>
    </cfRule>
    <cfRule type="containsText" dxfId="417" priority="1134" operator="containsText" text="Red">
      <formula>NOT(ISERROR(SEARCH("Red",H31)))</formula>
    </cfRule>
    <cfRule type="containsText" dxfId="416" priority="1135" operator="containsText" text="Amber">
      <formula>NOT(ISERROR(SEARCH("Amber",H31)))</formula>
    </cfRule>
    <cfRule type="containsText" dxfId="415" priority="1136" operator="containsText" text="Green">
      <formula>NOT(ISERROR(SEARCH("Green",H31)))</formula>
    </cfRule>
    <cfRule type="containsText" dxfId="414" priority="1137" operator="containsText" text="Red">
      <formula>NOT(ISERROR(SEARCH("Red",H31)))</formula>
    </cfRule>
    <cfRule type="containsText" dxfId="413" priority="1150" operator="containsText" text="Amber">
      <formula>NOT(ISERROR(SEARCH("Amber",H31)))</formula>
    </cfRule>
    <cfRule type="containsText" dxfId="412" priority="1151" operator="containsText" text="Green">
      <formula>NOT(ISERROR(SEARCH("Green",H31)))</formula>
    </cfRule>
    <cfRule type="containsText" dxfId="411" priority="1152" operator="containsText" text="Red">
      <formula>NOT(ISERROR(SEARCH("Red",H31)))</formula>
    </cfRule>
  </conditionalFormatting>
  <conditionalFormatting sqref="H31:H39">
    <cfRule type="containsText" dxfId="410" priority="1120" operator="containsText" text="Amber">
      <formula>NOT(ISERROR(SEARCH("Amber",H31)))</formula>
    </cfRule>
    <cfRule type="containsText" dxfId="409" priority="1121" operator="containsText" text="Green">
      <formula>NOT(ISERROR(SEARCH("Green",H31)))</formula>
    </cfRule>
    <cfRule type="containsText" dxfId="408" priority="1122" operator="containsText" text="Red">
      <formula>NOT(ISERROR(SEARCH("Red",H31)))</formula>
    </cfRule>
  </conditionalFormatting>
  <conditionalFormatting sqref="H32">
    <cfRule type="containsText" dxfId="407" priority="1096" operator="containsText" text="Amber">
      <formula>NOT(ISERROR(SEARCH("Amber",H32)))</formula>
    </cfRule>
    <cfRule type="containsText" dxfId="406" priority="1097" operator="containsText" text="Green">
      <formula>NOT(ISERROR(SEARCH("Green",H32)))</formula>
    </cfRule>
    <cfRule type="containsText" dxfId="405" priority="1098" operator="containsText" text="Red">
      <formula>NOT(ISERROR(SEARCH("Red",H32)))</formula>
    </cfRule>
    <cfRule type="containsText" dxfId="404" priority="1099" operator="containsText" text="Amber">
      <formula>NOT(ISERROR(SEARCH("Amber",H32)))</formula>
    </cfRule>
    <cfRule type="containsText" dxfId="403" priority="1100" operator="containsText" text="Green">
      <formula>NOT(ISERROR(SEARCH("Green",H32)))</formula>
    </cfRule>
    <cfRule type="containsText" dxfId="402" priority="1101" operator="containsText" text="Red">
      <formula>NOT(ISERROR(SEARCH("Red",H32)))</formula>
    </cfRule>
    <cfRule type="containsText" dxfId="401" priority="1108" operator="containsText" text="Amber">
      <formula>NOT(ISERROR(SEARCH("Amber",H32)))</formula>
    </cfRule>
    <cfRule type="containsText" dxfId="400" priority="1109" operator="containsText" text="Green">
      <formula>NOT(ISERROR(SEARCH("Green",H32)))</formula>
    </cfRule>
    <cfRule type="containsText" dxfId="399" priority="1110" operator="containsText" text="Red">
      <formula>NOT(ISERROR(SEARCH("Red",H32)))</formula>
    </cfRule>
    <cfRule type="containsText" dxfId="398" priority="1111" operator="containsText" text="Amber">
      <formula>NOT(ISERROR(SEARCH("Amber",H32)))</formula>
    </cfRule>
    <cfRule type="containsText" dxfId="397" priority="1112" operator="containsText" text="Green">
      <formula>NOT(ISERROR(SEARCH("Green",H32)))</formula>
    </cfRule>
    <cfRule type="containsText" dxfId="396" priority="1113" operator="containsText" text="Red">
      <formula>NOT(ISERROR(SEARCH("Red",H32)))</formula>
    </cfRule>
  </conditionalFormatting>
  <conditionalFormatting sqref="H32:H33">
    <cfRule type="containsText" dxfId="395" priority="1084" operator="containsText" text="Amber">
      <formula>NOT(ISERROR(SEARCH("Amber",H32)))</formula>
    </cfRule>
    <cfRule type="containsText" dxfId="394" priority="1085" operator="containsText" text="Green">
      <formula>NOT(ISERROR(SEARCH("Green",H32)))</formula>
    </cfRule>
    <cfRule type="containsText" dxfId="393" priority="1086" operator="containsText" text="Red">
      <formula>NOT(ISERROR(SEARCH("Red",H32)))</formula>
    </cfRule>
  </conditionalFormatting>
  <conditionalFormatting sqref="H33">
    <cfRule type="containsText" dxfId="392" priority="1057" operator="containsText" text="Amber">
      <formula>NOT(ISERROR(SEARCH("Amber",H33)))</formula>
    </cfRule>
    <cfRule type="containsText" dxfId="391" priority="1058" operator="containsText" text="Green">
      <formula>NOT(ISERROR(SEARCH("Green",H33)))</formula>
    </cfRule>
    <cfRule type="containsText" dxfId="390" priority="1059" operator="containsText" text="Red">
      <formula>NOT(ISERROR(SEARCH("Red",H33)))</formula>
    </cfRule>
    <cfRule type="containsText" dxfId="389" priority="1066" operator="containsText" text="Amber">
      <formula>NOT(ISERROR(SEARCH("Amber",H33)))</formula>
    </cfRule>
    <cfRule type="containsText" dxfId="388" priority="1067" operator="containsText" text="Green">
      <formula>NOT(ISERROR(SEARCH("Green",H33)))</formula>
    </cfRule>
    <cfRule type="containsText" dxfId="387" priority="1068" operator="containsText" text="Red">
      <formula>NOT(ISERROR(SEARCH("Red",H33)))</formula>
    </cfRule>
    <cfRule type="containsText" dxfId="386" priority="1069" operator="containsText" text="Amber">
      <formula>NOT(ISERROR(SEARCH("Amber",H33)))</formula>
    </cfRule>
    <cfRule type="containsText" dxfId="385" priority="1070" operator="containsText" text="Green">
      <formula>NOT(ISERROR(SEARCH("Green",H33)))</formula>
    </cfRule>
    <cfRule type="containsText" dxfId="384" priority="1071" operator="containsText" text="Red">
      <formula>NOT(ISERROR(SEARCH("Red",H33)))</formula>
    </cfRule>
    <cfRule type="containsText" dxfId="383" priority="1078" operator="containsText" text="Amber">
      <formula>NOT(ISERROR(SEARCH("Amber",H33)))</formula>
    </cfRule>
    <cfRule type="containsText" dxfId="382" priority="1079" operator="containsText" text="Green">
      <formula>NOT(ISERROR(SEARCH("Green",H33)))</formula>
    </cfRule>
    <cfRule type="containsText" dxfId="381" priority="1080" operator="containsText" text="Red">
      <formula>NOT(ISERROR(SEARCH("Red",H33)))</formula>
    </cfRule>
  </conditionalFormatting>
  <conditionalFormatting sqref="H33:H34">
    <cfRule type="containsText" dxfId="380" priority="1036" operator="containsText" text="Amber">
      <formula>NOT(ISERROR(SEARCH("Amber",H33)))</formula>
    </cfRule>
    <cfRule type="containsText" dxfId="379" priority="1037" operator="containsText" text="Green">
      <formula>NOT(ISERROR(SEARCH("Green",H33)))</formula>
    </cfRule>
    <cfRule type="containsText" dxfId="378" priority="1038" operator="containsText" text="Red">
      <formula>NOT(ISERROR(SEARCH("Red",H33)))</formula>
    </cfRule>
  </conditionalFormatting>
  <conditionalFormatting sqref="H34">
    <cfRule type="containsText" dxfId="377" priority="1006" operator="containsText" text="Amber">
      <formula>NOT(ISERROR(SEARCH("Amber",H34)))</formula>
    </cfRule>
    <cfRule type="containsText" dxfId="376" priority="1007" operator="containsText" text="Green">
      <formula>NOT(ISERROR(SEARCH("Green",H34)))</formula>
    </cfRule>
    <cfRule type="containsText" dxfId="375" priority="1008" operator="containsText" text="Red">
      <formula>NOT(ISERROR(SEARCH("Red",H34)))</formula>
    </cfRule>
    <cfRule type="containsText" dxfId="374" priority="1009" operator="containsText" text="Amber">
      <formula>NOT(ISERROR(SEARCH("Amber",H34)))</formula>
    </cfRule>
    <cfRule type="containsText" dxfId="373" priority="1010" operator="containsText" text="Green">
      <formula>NOT(ISERROR(SEARCH("Green",H34)))</formula>
    </cfRule>
    <cfRule type="containsText" dxfId="372" priority="1011" operator="containsText" text="Red">
      <formula>NOT(ISERROR(SEARCH("Red",H34)))</formula>
    </cfRule>
    <cfRule type="containsText" dxfId="371" priority="1018" operator="containsText" text="Amber">
      <formula>NOT(ISERROR(SEARCH("Amber",H34)))</formula>
    </cfRule>
    <cfRule type="containsText" dxfId="370" priority="1019" operator="containsText" text="Green">
      <formula>NOT(ISERROR(SEARCH("Green",H34)))</formula>
    </cfRule>
    <cfRule type="containsText" dxfId="369" priority="1020" operator="containsText" text="Red">
      <formula>NOT(ISERROR(SEARCH("Red",H34)))</formula>
    </cfRule>
    <cfRule type="containsText" dxfId="368" priority="1021" operator="containsText" text="Amber">
      <formula>NOT(ISERROR(SEARCH("Amber",H34)))</formula>
    </cfRule>
    <cfRule type="containsText" dxfId="367" priority="1022" operator="containsText" text="Green">
      <formula>NOT(ISERROR(SEARCH("Green",H34)))</formula>
    </cfRule>
    <cfRule type="containsText" dxfId="366" priority="1023" operator="containsText" text="Red">
      <formula>NOT(ISERROR(SEARCH("Red",H34)))</formula>
    </cfRule>
    <cfRule type="containsText" dxfId="365" priority="1030" operator="containsText" text="Amber">
      <formula>NOT(ISERROR(SEARCH("Amber",H34)))</formula>
    </cfRule>
    <cfRule type="containsText" dxfId="364" priority="1031" operator="containsText" text="Green">
      <formula>NOT(ISERROR(SEARCH("Green",H34)))</formula>
    </cfRule>
    <cfRule type="containsText" dxfId="363" priority="1032" operator="containsText" text="Red">
      <formula>NOT(ISERROR(SEARCH("Red",H34)))</formula>
    </cfRule>
  </conditionalFormatting>
  <conditionalFormatting sqref="H34:H35">
    <cfRule type="containsText" dxfId="362" priority="871" operator="containsText" text="Amber">
      <formula>NOT(ISERROR(SEARCH("Amber",H34)))</formula>
    </cfRule>
    <cfRule type="containsText" dxfId="361" priority="872" operator="containsText" text="Green">
      <formula>NOT(ISERROR(SEARCH("Green",H34)))</formula>
    </cfRule>
    <cfRule type="containsText" dxfId="360" priority="873" operator="containsText" text="Red">
      <formula>NOT(ISERROR(SEARCH("Red",H34)))</formula>
    </cfRule>
  </conditionalFormatting>
  <conditionalFormatting sqref="H35">
    <cfRule type="containsText" dxfId="359" priority="838" operator="containsText" text="Amber">
      <formula>NOT(ISERROR(SEARCH("Amber",H35)))</formula>
    </cfRule>
    <cfRule type="containsText" dxfId="358" priority="839" operator="containsText" text="Green">
      <formula>NOT(ISERROR(SEARCH("Green",H35)))</formula>
    </cfRule>
    <cfRule type="containsText" dxfId="357" priority="840" operator="containsText" text="Red">
      <formula>NOT(ISERROR(SEARCH("Red",H35)))</formula>
    </cfRule>
    <cfRule type="containsText" dxfId="356" priority="841" operator="containsText" text="Amber">
      <formula>NOT(ISERROR(SEARCH("Amber",H35)))</formula>
    </cfRule>
    <cfRule type="containsText" dxfId="355" priority="842" operator="containsText" text="Green">
      <formula>NOT(ISERROR(SEARCH("Green",H35)))</formula>
    </cfRule>
    <cfRule type="containsText" dxfId="354" priority="843" operator="containsText" text="Red">
      <formula>NOT(ISERROR(SEARCH("Red",H35)))</formula>
    </cfRule>
    <cfRule type="containsText" dxfId="353" priority="850" operator="containsText" text="Amber">
      <formula>NOT(ISERROR(SEARCH("Amber",H35)))</formula>
    </cfRule>
    <cfRule type="containsText" dxfId="352" priority="851" operator="containsText" text="Green">
      <formula>NOT(ISERROR(SEARCH("Green",H35)))</formula>
    </cfRule>
    <cfRule type="containsText" dxfId="351" priority="852" operator="containsText" text="Red">
      <formula>NOT(ISERROR(SEARCH("Red",H35)))</formula>
    </cfRule>
    <cfRule type="containsText" dxfId="350" priority="853" operator="containsText" text="Amber">
      <formula>NOT(ISERROR(SEARCH("Amber",H35)))</formula>
    </cfRule>
    <cfRule type="containsText" dxfId="349" priority="854" operator="containsText" text="Green">
      <formula>NOT(ISERROR(SEARCH("Green",H35)))</formula>
    </cfRule>
    <cfRule type="containsText" dxfId="348" priority="855" operator="containsText" text="Red">
      <formula>NOT(ISERROR(SEARCH("Red",H35)))</formula>
    </cfRule>
    <cfRule type="containsText" dxfId="347" priority="862" operator="containsText" text="Amber">
      <formula>NOT(ISERROR(SEARCH("Amber",H35)))</formula>
    </cfRule>
    <cfRule type="containsText" dxfId="346" priority="863" operator="containsText" text="Green">
      <formula>NOT(ISERROR(SEARCH("Green",H35)))</formula>
    </cfRule>
    <cfRule type="containsText" dxfId="345" priority="864" operator="containsText" text="Red">
      <formula>NOT(ISERROR(SEARCH("Red",H35)))</formula>
    </cfRule>
    <cfRule type="containsText" dxfId="344" priority="868" operator="containsText" text="Amber">
      <formula>NOT(ISERROR(SEARCH("Amber",H35)))</formula>
    </cfRule>
    <cfRule type="containsText" dxfId="343" priority="869" operator="containsText" text="Green">
      <formula>NOT(ISERROR(SEARCH("Green",H35)))</formula>
    </cfRule>
    <cfRule type="containsText" dxfId="342" priority="870" operator="containsText" text="Red">
      <formula>NOT(ISERROR(SEARCH("Red",H35)))</formula>
    </cfRule>
  </conditionalFormatting>
  <conditionalFormatting sqref="H35:H36">
    <cfRule type="containsText" dxfId="341" priority="130" operator="containsText" text="Amber">
      <formula>NOT(ISERROR(SEARCH("Amber",H35)))</formula>
    </cfRule>
    <cfRule type="containsText" dxfId="340" priority="131" operator="containsText" text="Green">
      <formula>NOT(ISERROR(SEARCH("Green",H35)))</formula>
    </cfRule>
    <cfRule type="containsText" dxfId="339" priority="132" operator="containsText" text="Red">
      <formula>NOT(ISERROR(SEARCH("Red",H35)))</formula>
    </cfRule>
  </conditionalFormatting>
  <conditionalFormatting sqref="H36">
    <cfRule type="containsText" dxfId="338" priority="103" operator="containsText" text="Amber">
      <formula>NOT(ISERROR(SEARCH("Amber",H36)))</formula>
    </cfRule>
    <cfRule type="containsText" dxfId="337" priority="104" operator="containsText" text="Green">
      <formula>NOT(ISERROR(SEARCH("Green",H36)))</formula>
    </cfRule>
    <cfRule type="containsText" dxfId="336" priority="105" operator="containsText" text="Red">
      <formula>NOT(ISERROR(SEARCH("Red",H36)))</formula>
    </cfRule>
    <cfRule type="containsText" dxfId="335" priority="106" operator="containsText" text="Amber">
      <formula>NOT(ISERROR(SEARCH("Amber",H36)))</formula>
    </cfRule>
    <cfRule type="containsText" dxfId="334" priority="107" operator="containsText" text="Green">
      <formula>NOT(ISERROR(SEARCH("Green",H36)))</formula>
    </cfRule>
    <cfRule type="containsText" dxfId="333" priority="108" operator="containsText" text="Red">
      <formula>NOT(ISERROR(SEARCH("Red",H36)))</formula>
    </cfRule>
    <cfRule type="containsText" dxfId="332" priority="109" operator="containsText" text="Amber">
      <formula>NOT(ISERROR(SEARCH("Amber",H36)))</formula>
    </cfRule>
    <cfRule type="containsText" dxfId="331" priority="110" operator="containsText" text="Green">
      <formula>NOT(ISERROR(SEARCH("Green",H36)))</formula>
    </cfRule>
    <cfRule type="containsText" dxfId="330" priority="111" operator="containsText" text="Red">
      <formula>NOT(ISERROR(SEARCH("Red",H36)))</formula>
    </cfRule>
    <cfRule type="containsText" dxfId="329" priority="112" operator="containsText" text="Amber">
      <formula>NOT(ISERROR(SEARCH("Amber",H36)))</formula>
    </cfRule>
    <cfRule type="containsText" dxfId="328" priority="113" operator="containsText" text="Green">
      <formula>NOT(ISERROR(SEARCH("Green",H36)))</formula>
    </cfRule>
    <cfRule type="containsText" dxfId="327" priority="114" operator="containsText" text="Red">
      <formula>NOT(ISERROR(SEARCH("Red",H36)))</formula>
    </cfRule>
    <cfRule type="containsText" dxfId="326" priority="115" operator="containsText" text="Amber">
      <formula>NOT(ISERROR(SEARCH("Amber",H36)))</formula>
    </cfRule>
    <cfRule type="containsText" dxfId="325" priority="116" operator="containsText" text="Green">
      <formula>NOT(ISERROR(SEARCH("Green",H36)))</formula>
    </cfRule>
    <cfRule type="containsText" dxfId="324" priority="117" operator="containsText" text="Red">
      <formula>NOT(ISERROR(SEARCH("Red",H36)))</formula>
    </cfRule>
    <cfRule type="containsText" dxfId="323" priority="118" operator="containsText" text="Amber">
      <formula>NOT(ISERROR(SEARCH("Amber",H36)))</formula>
    </cfRule>
    <cfRule type="containsText" dxfId="322" priority="119" operator="containsText" text="Green">
      <formula>NOT(ISERROR(SEARCH("Green",H36)))</formula>
    </cfRule>
    <cfRule type="containsText" dxfId="321" priority="120" operator="containsText" text="Red">
      <formula>NOT(ISERROR(SEARCH("Red",H36)))</formula>
    </cfRule>
    <cfRule type="containsText" dxfId="320" priority="121" operator="containsText" text="Amber">
      <formula>NOT(ISERROR(SEARCH("Amber",H36)))</formula>
    </cfRule>
    <cfRule type="containsText" dxfId="319" priority="122" operator="containsText" text="Green">
      <formula>NOT(ISERROR(SEARCH("Green",H36)))</formula>
    </cfRule>
    <cfRule type="containsText" dxfId="318" priority="123" operator="containsText" text="Red">
      <formula>NOT(ISERROR(SEARCH("Red",H36)))</formula>
    </cfRule>
    <cfRule type="containsText" dxfId="317" priority="124" operator="containsText" text="Amber">
      <formula>NOT(ISERROR(SEARCH("Amber",H36)))</formula>
    </cfRule>
    <cfRule type="containsText" dxfId="316" priority="125" operator="containsText" text="Green">
      <formula>NOT(ISERROR(SEARCH("Green",H36)))</formula>
    </cfRule>
    <cfRule type="containsText" dxfId="315" priority="126" operator="containsText" text="Red">
      <formula>NOT(ISERROR(SEARCH("Red",H36)))</formula>
    </cfRule>
    <cfRule type="containsText" dxfId="314" priority="127" operator="containsText" text="Amber">
      <formula>NOT(ISERROR(SEARCH("Amber",H36)))</formula>
    </cfRule>
    <cfRule type="containsText" dxfId="313" priority="128" operator="containsText" text="Green">
      <formula>NOT(ISERROR(SEARCH("Green",H36)))</formula>
    </cfRule>
    <cfRule type="containsText" dxfId="312" priority="129" operator="containsText" text="Red">
      <formula>NOT(ISERROR(SEARCH("Red",H36)))</formula>
    </cfRule>
  </conditionalFormatting>
  <conditionalFormatting sqref="H37">
    <cfRule type="containsText" dxfId="311" priority="784" operator="containsText" text="Amber">
      <formula>NOT(ISERROR(SEARCH("Amber",H37)))</formula>
    </cfRule>
    <cfRule type="containsText" dxfId="310" priority="785" operator="containsText" text="Green">
      <formula>NOT(ISERROR(SEARCH("Green",H37)))</formula>
    </cfRule>
    <cfRule type="containsText" dxfId="309" priority="786" operator="containsText" text="Red">
      <formula>NOT(ISERROR(SEARCH("Red",H37)))</formula>
    </cfRule>
  </conditionalFormatting>
  <conditionalFormatting sqref="H37:H38">
    <cfRule type="containsText" dxfId="308" priority="775" operator="containsText" text="Amber">
      <formula>NOT(ISERROR(SEARCH("Amber",H37)))</formula>
    </cfRule>
    <cfRule type="containsText" dxfId="307" priority="776" operator="containsText" text="Green">
      <formula>NOT(ISERROR(SEARCH("Green",H37)))</formula>
    </cfRule>
    <cfRule type="containsText" dxfId="306" priority="777" operator="containsText" text="Red">
      <formula>NOT(ISERROR(SEARCH("Red",H37)))</formula>
    </cfRule>
  </conditionalFormatting>
  <conditionalFormatting sqref="H38">
    <cfRule type="containsText" dxfId="305" priority="739" operator="containsText" text="Amber">
      <formula>NOT(ISERROR(SEARCH("Amber",H38)))</formula>
    </cfRule>
    <cfRule type="containsText" dxfId="304" priority="740" operator="containsText" text="Green">
      <formula>NOT(ISERROR(SEARCH("Green",H38)))</formula>
    </cfRule>
    <cfRule type="containsText" dxfId="303" priority="741" operator="containsText" text="Red">
      <formula>NOT(ISERROR(SEARCH("Red",H38)))</formula>
    </cfRule>
    <cfRule type="containsText" dxfId="302" priority="742" operator="containsText" text="Amber">
      <formula>NOT(ISERROR(SEARCH("Amber",H38)))</formula>
    </cfRule>
    <cfRule type="containsText" dxfId="301" priority="743" operator="containsText" text="Green">
      <formula>NOT(ISERROR(SEARCH("Green",H38)))</formula>
    </cfRule>
    <cfRule type="containsText" dxfId="300" priority="744" operator="containsText" text="Red">
      <formula>NOT(ISERROR(SEARCH("Red",H38)))</formula>
    </cfRule>
    <cfRule type="containsText" dxfId="299" priority="751" operator="containsText" text="Amber">
      <formula>NOT(ISERROR(SEARCH("Amber",H38)))</formula>
    </cfRule>
    <cfRule type="containsText" dxfId="298" priority="752" operator="containsText" text="Green">
      <formula>NOT(ISERROR(SEARCH("Green",H38)))</formula>
    </cfRule>
    <cfRule type="containsText" dxfId="297" priority="753" operator="containsText" text="Red">
      <formula>NOT(ISERROR(SEARCH("Red",H38)))</formula>
    </cfRule>
    <cfRule type="containsText" dxfId="296" priority="754" operator="containsText" text="Amber">
      <formula>NOT(ISERROR(SEARCH("Amber",H38)))</formula>
    </cfRule>
    <cfRule type="containsText" dxfId="295" priority="755" operator="containsText" text="Green">
      <formula>NOT(ISERROR(SEARCH("Green",H38)))</formula>
    </cfRule>
    <cfRule type="containsText" dxfId="294" priority="756" operator="containsText" text="Red">
      <formula>NOT(ISERROR(SEARCH("Red",H38)))</formula>
    </cfRule>
    <cfRule type="containsText" dxfId="293" priority="763" operator="containsText" text="Amber">
      <formula>NOT(ISERROR(SEARCH("Amber",H38)))</formula>
    </cfRule>
    <cfRule type="containsText" dxfId="292" priority="764" operator="containsText" text="Green">
      <formula>NOT(ISERROR(SEARCH("Green",H38)))</formula>
    </cfRule>
    <cfRule type="containsText" dxfId="291" priority="765" operator="containsText" text="Red">
      <formula>NOT(ISERROR(SEARCH("Red",H38)))</formula>
    </cfRule>
    <cfRule type="containsText" dxfId="290" priority="769" operator="containsText" text="Amber">
      <formula>NOT(ISERROR(SEARCH("Amber",H38)))</formula>
    </cfRule>
    <cfRule type="containsText" dxfId="289" priority="770" operator="containsText" text="Green">
      <formula>NOT(ISERROR(SEARCH("Green",H38)))</formula>
    </cfRule>
    <cfRule type="containsText" dxfId="288" priority="771" operator="containsText" text="Red">
      <formula>NOT(ISERROR(SEARCH("Red",H38)))</formula>
    </cfRule>
    <cfRule type="containsText" dxfId="287" priority="1396" operator="containsText" text="Amber">
      <formula>NOT(ISERROR(SEARCH("Amber",H38)))</formula>
    </cfRule>
    <cfRule type="containsText" dxfId="286" priority="1397" operator="containsText" text="Green">
      <formula>NOT(ISERROR(SEARCH("Green",H38)))</formula>
    </cfRule>
    <cfRule type="containsText" dxfId="285" priority="1398" operator="containsText" text="Red">
      <formula>NOT(ISERROR(SEARCH("Red",H38)))</formula>
    </cfRule>
  </conditionalFormatting>
  <conditionalFormatting sqref="H38:H39">
    <cfRule type="containsText" dxfId="284" priority="670" operator="containsText" text="Amber">
      <formula>NOT(ISERROR(SEARCH("Amber",H38)))</formula>
    </cfRule>
    <cfRule type="containsText" dxfId="283" priority="671" operator="containsText" text="Green">
      <formula>NOT(ISERROR(SEARCH("Green",H38)))</formula>
    </cfRule>
    <cfRule type="containsText" dxfId="282" priority="672" operator="containsText" text="Red">
      <formula>NOT(ISERROR(SEARCH("Red",H38)))</formula>
    </cfRule>
  </conditionalFormatting>
  <conditionalFormatting sqref="H39">
    <cfRule type="containsText" dxfId="281" priority="610" operator="containsText" text="Amber">
      <formula>NOT(ISERROR(SEARCH("Amber",H39)))</formula>
    </cfRule>
    <cfRule type="containsText" dxfId="280" priority="611" operator="containsText" text="Green">
      <formula>NOT(ISERROR(SEARCH("Green",H39)))</formula>
    </cfRule>
    <cfRule type="containsText" dxfId="279" priority="612" operator="containsText" text="Red">
      <formula>NOT(ISERROR(SEARCH("Red",H39)))</formula>
    </cfRule>
    <cfRule type="containsText" dxfId="278" priority="613" operator="containsText" text="Amber">
      <formula>NOT(ISERROR(SEARCH("Amber",H39)))</formula>
    </cfRule>
    <cfRule type="containsText" dxfId="277" priority="614" operator="containsText" text="Green">
      <formula>NOT(ISERROR(SEARCH("Green",H39)))</formula>
    </cfRule>
    <cfRule type="containsText" dxfId="276" priority="615" operator="containsText" text="Red">
      <formula>NOT(ISERROR(SEARCH("Red",H39)))</formula>
    </cfRule>
    <cfRule type="containsText" dxfId="275" priority="622" operator="containsText" text="Amber">
      <formula>NOT(ISERROR(SEARCH("Amber",H39)))</formula>
    </cfRule>
    <cfRule type="containsText" dxfId="274" priority="623" operator="containsText" text="Green">
      <formula>NOT(ISERROR(SEARCH("Green",H39)))</formula>
    </cfRule>
    <cfRule type="containsText" dxfId="273" priority="624" operator="containsText" text="Red">
      <formula>NOT(ISERROR(SEARCH("Red",H39)))</formula>
    </cfRule>
    <cfRule type="containsText" dxfId="272" priority="625" operator="containsText" text="Amber">
      <formula>NOT(ISERROR(SEARCH("Amber",H39)))</formula>
    </cfRule>
    <cfRule type="containsText" dxfId="271" priority="626" operator="containsText" text="Green">
      <formula>NOT(ISERROR(SEARCH("Green",H39)))</formula>
    </cfRule>
    <cfRule type="containsText" dxfId="270" priority="627" operator="containsText" text="Red">
      <formula>NOT(ISERROR(SEARCH("Red",H39)))</formula>
    </cfRule>
    <cfRule type="containsText" dxfId="269" priority="634" operator="containsText" text="Amber">
      <formula>NOT(ISERROR(SEARCH("Amber",H39)))</formula>
    </cfRule>
    <cfRule type="containsText" dxfId="268" priority="635" operator="containsText" text="Green">
      <formula>NOT(ISERROR(SEARCH("Green",H39)))</formula>
    </cfRule>
    <cfRule type="containsText" dxfId="267" priority="636" operator="containsText" text="Red">
      <formula>NOT(ISERROR(SEARCH("Red",H39)))</formula>
    </cfRule>
    <cfRule type="containsText" dxfId="266" priority="640" operator="containsText" text="Amber">
      <formula>NOT(ISERROR(SEARCH("Amber",H39)))</formula>
    </cfRule>
    <cfRule type="containsText" dxfId="265" priority="641" operator="containsText" text="Green">
      <formula>NOT(ISERROR(SEARCH("Green",H39)))</formula>
    </cfRule>
    <cfRule type="containsText" dxfId="264" priority="642" operator="containsText" text="Red">
      <formula>NOT(ISERROR(SEARCH("Red",H39)))</formula>
    </cfRule>
    <cfRule type="containsText" dxfId="263" priority="646" operator="containsText" text="Amber">
      <formula>NOT(ISERROR(SEARCH("Amber",H39)))</formula>
    </cfRule>
    <cfRule type="containsText" dxfId="262" priority="647" operator="containsText" text="Green">
      <formula>NOT(ISERROR(SEARCH("Green",H39)))</formula>
    </cfRule>
    <cfRule type="containsText" dxfId="261" priority="648" operator="containsText" text="Red">
      <formula>NOT(ISERROR(SEARCH("Red",H39)))</formula>
    </cfRule>
    <cfRule type="containsText" dxfId="260" priority="652" operator="containsText" text="Amber">
      <formula>NOT(ISERROR(SEARCH("Amber",H39)))</formula>
    </cfRule>
    <cfRule type="containsText" dxfId="259" priority="653" operator="containsText" text="Green">
      <formula>NOT(ISERROR(SEARCH("Green",H39)))</formula>
    </cfRule>
    <cfRule type="containsText" dxfId="258" priority="654" operator="containsText" text="Red">
      <formula>NOT(ISERROR(SEARCH("Red",H39)))</formula>
    </cfRule>
    <cfRule type="containsText" dxfId="257" priority="658" operator="containsText" text="Amber">
      <formula>NOT(ISERROR(SEARCH("Amber",H39)))</formula>
    </cfRule>
    <cfRule type="containsText" dxfId="256" priority="659" operator="containsText" text="Green">
      <formula>NOT(ISERROR(SEARCH("Green",H39)))</formula>
    </cfRule>
    <cfRule type="containsText" dxfId="255" priority="660" operator="containsText" text="Red">
      <formula>NOT(ISERROR(SEARCH("Red",H39)))</formula>
    </cfRule>
    <cfRule type="containsText" dxfId="254" priority="664" operator="containsText" text="Amber">
      <formula>NOT(ISERROR(SEARCH("Amber",H39)))</formula>
    </cfRule>
    <cfRule type="containsText" dxfId="253" priority="665" operator="containsText" text="Green">
      <formula>NOT(ISERROR(SEARCH("Green",H39)))</formula>
    </cfRule>
    <cfRule type="containsText" dxfId="252" priority="666" operator="containsText" text="Red">
      <formula>NOT(ISERROR(SEARCH("Red",H39)))</formula>
    </cfRule>
  </conditionalFormatting>
  <conditionalFormatting sqref="H43">
    <cfRule type="containsText" dxfId="251" priority="250" operator="containsText" text="Amber">
      <formula>NOT(ISERROR(SEARCH("Amber",H43)))</formula>
    </cfRule>
    <cfRule type="containsText" dxfId="250" priority="251" operator="containsText" text="Green">
      <formula>NOT(ISERROR(SEARCH("Green",H43)))</formula>
    </cfRule>
    <cfRule type="containsText" dxfId="249" priority="252" operator="containsText" text="Red">
      <formula>NOT(ISERROR(SEARCH("Red",H43)))</formula>
    </cfRule>
    <cfRule type="containsText" dxfId="248" priority="253" operator="containsText" text="Amber">
      <formula>NOT(ISERROR(SEARCH("Amber",H43)))</formula>
    </cfRule>
    <cfRule type="containsText" dxfId="247" priority="254" operator="containsText" text="Green">
      <formula>NOT(ISERROR(SEARCH("Green",H43)))</formula>
    </cfRule>
    <cfRule type="containsText" dxfId="246" priority="255" operator="containsText" text="Red">
      <formula>NOT(ISERROR(SEARCH("Red",H43)))</formula>
    </cfRule>
    <cfRule type="containsText" dxfId="245" priority="262" operator="containsText" text="Amber">
      <formula>NOT(ISERROR(SEARCH("Amber",H43)))</formula>
    </cfRule>
    <cfRule type="containsText" dxfId="244" priority="263" operator="containsText" text="Green">
      <formula>NOT(ISERROR(SEARCH("Green",H43)))</formula>
    </cfRule>
    <cfRule type="containsText" dxfId="243" priority="264" operator="containsText" text="Red">
      <formula>NOT(ISERROR(SEARCH("Red",H43)))</formula>
    </cfRule>
    <cfRule type="containsText" dxfId="242" priority="268" operator="containsText" text="Amber">
      <formula>NOT(ISERROR(SEARCH("Amber",H43)))</formula>
    </cfRule>
    <cfRule type="containsText" dxfId="241" priority="269" operator="containsText" text="Green">
      <formula>NOT(ISERROR(SEARCH("Green",H43)))</formula>
    </cfRule>
    <cfRule type="containsText" dxfId="240" priority="270" operator="containsText" text="Red">
      <formula>NOT(ISERROR(SEARCH("Red",H43)))</formula>
    </cfRule>
    <cfRule type="containsText" dxfId="239" priority="274" operator="containsText" text="Amber">
      <formula>NOT(ISERROR(SEARCH("Amber",H43)))</formula>
    </cfRule>
    <cfRule type="containsText" dxfId="238" priority="275" operator="containsText" text="Green">
      <formula>NOT(ISERROR(SEARCH("Green",H43)))</formula>
    </cfRule>
    <cfRule type="containsText" dxfId="237" priority="276" operator="containsText" text="Red">
      <formula>NOT(ISERROR(SEARCH("Red",H43)))</formula>
    </cfRule>
  </conditionalFormatting>
  <conditionalFormatting sqref="H45">
    <cfRule type="containsText" dxfId="236" priority="7" operator="containsText" text="Amber">
      <formula>NOT(ISERROR(SEARCH("Amber",H45)))</formula>
    </cfRule>
    <cfRule type="containsText" dxfId="235" priority="8" operator="containsText" text="Green">
      <formula>NOT(ISERROR(SEARCH("Green",H45)))</formula>
    </cfRule>
    <cfRule type="containsText" dxfId="234" priority="9" operator="containsText" text="Red">
      <formula>NOT(ISERROR(SEARCH("Red",H45)))</formula>
    </cfRule>
  </conditionalFormatting>
  <conditionalFormatting sqref="H45:H46">
    <cfRule type="containsText" dxfId="233" priority="10" operator="containsText" text="Amber">
      <formula>NOT(ISERROR(SEARCH("Amber",H45)))</formula>
    </cfRule>
    <cfRule type="containsText" dxfId="232" priority="11" operator="containsText" text="Green">
      <formula>NOT(ISERROR(SEARCH("Green",H45)))</formula>
    </cfRule>
    <cfRule type="containsText" dxfId="231" priority="12" operator="containsText" text="Red">
      <formula>NOT(ISERROR(SEARCH("Red",H45)))</formula>
    </cfRule>
  </conditionalFormatting>
  <conditionalFormatting sqref="H46">
    <cfRule type="containsText" dxfId="230" priority="499" operator="containsText" text="Amber">
      <formula>NOT(ISERROR(SEARCH("Amber",H46)))</formula>
    </cfRule>
    <cfRule type="containsText" dxfId="229" priority="500" operator="containsText" text="Green">
      <formula>NOT(ISERROR(SEARCH("Green",H46)))</formula>
    </cfRule>
    <cfRule type="containsText" dxfId="228" priority="501" operator="containsText" text="Red">
      <formula>NOT(ISERROR(SEARCH("Red",H46)))</formula>
    </cfRule>
  </conditionalFormatting>
  <conditionalFormatting sqref="I27:I29">
    <cfRule type="containsText" dxfId="227" priority="1" operator="containsText" text="Amber">
      <formula>NOT(ISERROR(SEARCH("Amber",I27)))</formula>
    </cfRule>
    <cfRule type="containsText" dxfId="226" priority="2" operator="containsText" text="Green">
      <formula>NOT(ISERROR(SEARCH("Green",I27)))</formula>
    </cfRule>
    <cfRule type="containsText" dxfId="225" priority="3" operator="containsText" text="Red">
      <formula>NOT(ISERROR(SEARCH("Red",I27)))</formula>
    </cfRule>
  </conditionalFormatting>
  <conditionalFormatting sqref="M32:M33 G8:I26 M8:N26">
    <cfRule type="containsText" dxfId="224" priority="58" operator="containsText" text="Amber">
      <formula>NOT(ISERROR(SEARCH("Amber",G8)))</formula>
    </cfRule>
  </conditionalFormatting>
  <conditionalFormatting sqref="M33">
    <cfRule type="containsText" dxfId="223" priority="46" operator="containsText" text="Amber">
      <formula>NOT(ISERROR(SEARCH("Amber",M33)))</formula>
    </cfRule>
    <cfRule type="containsText" dxfId="222" priority="47" operator="containsText" text="Green">
      <formula>NOT(ISERROR(SEARCH("Green",M33)))</formula>
    </cfRule>
    <cfRule type="containsText" dxfId="221" priority="48" operator="containsText" text="Red">
      <formula>NOT(ISERROR(SEARCH("Red",M33)))</formula>
    </cfRule>
    <cfRule type="containsText" dxfId="220" priority="49" operator="containsText" text="Amber">
      <formula>NOT(ISERROR(SEARCH("Amber",M33)))</formula>
    </cfRule>
    <cfRule type="containsText" dxfId="219" priority="50" operator="containsText" text="Green">
      <formula>NOT(ISERROR(SEARCH("Green",M33)))</formula>
    </cfRule>
    <cfRule type="containsText" dxfId="218" priority="51" operator="containsText" text="Red">
      <formula>NOT(ISERROR(SEARCH("Red",M33)))</formula>
    </cfRule>
    <cfRule type="containsText" dxfId="217" priority="52" operator="containsText" text="Amber">
      <formula>NOT(ISERROR(SEARCH("Amber",M33)))</formula>
    </cfRule>
    <cfRule type="containsText" dxfId="216" priority="53" operator="containsText" text="Green">
      <formula>NOT(ISERROR(SEARCH("Green",M33)))</formula>
    </cfRule>
    <cfRule type="containsText" dxfId="215" priority="54" operator="containsText" text="Red">
      <formula>NOT(ISERROR(SEARCH("Red",M33)))</formula>
    </cfRule>
    <cfRule type="containsText" dxfId="214" priority="55" operator="containsText" text="Amber">
      <formula>NOT(ISERROR(SEARCH("Amber",M33)))</formula>
    </cfRule>
    <cfRule type="containsText" dxfId="213" priority="56" operator="containsText" text="Green">
      <formula>NOT(ISERROR(SEARCH("Green",M33)))</formula>
    </cfRule>
    <cfRule type="containsText" dxfId="212" priority="57" operator="containsText" text="Red">
      <formula>NOT(ISERROR(SEARCH("Red",M33)))</formula>
    </cfRule>
    <cfRule type="containsText" dxfId="211" priority="59" operator="containsText" text="Green">
      <formula>NOT(ISERROR(SEARCH("Green",M33)))</formula>
    </cfRule>
    <cfRule type="containsText" dxfId="210" priority="60" operator="containsText" text="Red">
      <formula>NOT(ISERROR(SEARCH("Red",M33)))</formula>
    </cfRule>
  </conditionalFormatting>
  <conditionalFormatting sqref="M33:M34">
    <cfRule type="containsText" dxfId="209" priority="40" operator="containsText" text="Amber">
      <formula>NOT(ISERROR(SEARCH("Amber",M33)))</formula>
    </cfRule>
  </conditionalFormatting>
  <conditionalFormatting sqref="M34">
    <cfRule type="containsText" dxfId="208" priority="28" operator="containsText" text="Amber">
      <formula>NOT(ISERROR(SEARCH("Amber",M34)))</formula>
    </cfRule>
    <cfRule type="containsText" dxfId="207" priority="29" operator="containsText" text="Green">
      <formula>NOT(ISERROR(SEARCH("Green",M34)))</formula>
    </cfRule>
    <cfRule type="containsText" dxfId="206" priority="30" operator="containsText" text="Red">
      <formula>NOT(ISERROR(SEARCH("Red",M34)))</formula>
    </cfRule>
    <cfRule type="containsText" dxfId="205" priority="31" operator="containsText" text="Amber">
      <formula>NOT(ISERROR(SEARCH("Amber",M34)))</formula>
    </cfRule>
    <cfRule type="containsText" dxfId="204" priority="32" operator="containsText" text="Green">
      <formula>NOT(ISERROR(SEARCH("Green",M34)))</formula>
    </cfRule>
    <cfRule type="containsText" dxfId="203" priority="33" operator="containsText" text="Red">
      <formula>NOT(ISERROR(SEARCH("Red",M34)))</formula>
    </cfRule>
    <cfRule type="containsText" dxfId="202" priority="34" operator="containsText" text="Amber">
      <formula>NOT(ISERROR(SEARCH("Amber",M34)))</formula>
    </cfRule>
    <cfRule type="containsText" dxfId="201" priority="35" operator="containsText" text="Green">
      <formula>NOT(ISERROR(SEARCH("Green",M34)))</formula>
    </cfRule>
    <cfRule type="containsText" dxfId="200" priority="36" operator="containsText" text="Red">
      <formula>NOT(ISERROR(SEARCH("Red",M34)))</formula>
    </cfRule>
    <cfRule type="containsText" dxfId="199" priority="37" operator="containsText" text="Amber">
      <formula>NOT(ISERROR(SEARCH("Amber",M34)))</formula>
    </cfRule>
    <cfRule type="containsText" dxfId="198" priority="38" operator="containsText" text="Green">
      <formula>NOT(ISERROR(SEARCH("Green",M34)))</formula>
    </cfRule>
    <cfRule type="containsText" dxfId="197" priority="39" operator="containsText" text="Red">
      <formula>NOT(ISERROR(SEARCH("Red",M34)))</formula>
    </cfRule>
  </conditionalFormatting>
  <conditionalFormatting sqref="M40">
    <cfRule type="containsText" dxfId="196" priority="229" operator="containsText" text="Amber">
      <formula>NOT(ISERROR(SEARCH("Amber",M40)))</formula>
    </cfRule>
    <cfRule type="containsText" dxfId="195" priority="230" operator="containsText" text="Green">
      <formula>NOT(ISERROR(SEARCH("Green",M40)))</formula>
    </cfRule>
    <cfRule type="containsText" dxfId="194" priority="231" operator="containsText" text="Red">
      <formula>NOT(ISERROR(SEARCH("Red",M40)))</formula>
    </cfRule>
    <cfRule type="containsText" dxfId="193" priority="232" operator="containsText" text="Amber">
      <formula>NOT(ISERROR(SEARCH("Amber",M40)))</formula>
    </cfRule>
    <cfRule type="containsText" dxfId="192" priority="233" operator="containsText" text="Green">
      <formula>NOT(ISERROR(SEARCH("Green",M40)))</formula>
    </cfRule>
    <cfRule type="containsText" dxfId="191" priority="234" operator="containsText" text="Red">
      <formula>NOT(ISERROR(SEARCH("Red",M40)))</formula>
    </cfRule>
    <cfRule type="containsText" dxfId="190" priority="235" operator="containsText" text="Amber">
      <formula>NOT(ISERROR(SEARCH("Amber",M40)))</formula>
    </cfRule>
    <cfRule type="containsText" dxfId="189" priority="236" operator="containsText" text="Green">
      <formula>NOT(ISERROR(SEARCH("Green",M40)))</formula>
    </cfRule>
    <cfRule type="containsText" dxfId="188" priority="237" operator="containsText" text="Red">
      <formula>NOT(ISERROR(SEARCH("Red",M40)))</formula>
    </cfRule>
    <cfRule type="containsText" dxfId="187" priority="238" operator="containsText" text="Amber">
      <formula>NOT(ISERROR(SEARCH("Amber",M40)))</formula>
    </cfRule>
    <cfRule type="containsText" dxfId="186" priority="239" operator="containsText" text="Green">
      <formula>NOT(ISERROR(SEARCH("Green",M40)))</formula>
    </cfRule>
    <cfRule type="containsText" dxfId="185" priority="240" operator="containsText" text="Red">
      <formula>NOT(ISERROR(SEARCH("Red",M40)))</formula>
    </cfRule>
  </conditionalFormatting>
  <conditionalFormatting sqref="M40:M41">
    <cfRule type="containsText" dxfId="184" priority="202" operator="containsText" text="Amber">
      <formula>NOT(ISERROR(SEARCH("Amber",M40)))</formula>
    </cfRule>
    <cfRule type="containsText" dxfId="183" priority="203" operator="containsText" text="Green">
      <formula>NOT(ISERROR(SEARCH("Green",M40)))</formula>
    </cfRule>
    <cfRule type="containsText" dxfId="182" priority="204" operator="containsText" text="Red">
      <formula>NOT(ISERROR(SEARCH("Red",M40)))</formula>
    </cfRule>
    <cfRule type="containsText" dxfId="181" priority="241" operator="containsText" text="Amber">
      <formula>NOT(ISERROR(SEARCH("Amber",M40)))</formula>
    </cfRule>
    <cfRule type="containsText" dxfId="180" priority="242" operator="containsText" text="Green">
      <formula>NOT(ISERROR(SEARCH("Green",M40)))</formula>
    </cfRule>
    <cfRule type="containsText" dxfId="179" priority="243" operator="containsText" text="Red">
      <formula>NOT(ISERROR(SEARCH("Red",M40)))</formula>
    </cfRule>
  </conditionalFormatting>
  <conditionalFormatting sqref="M41">
    <cfRule type="containsText" dxfId="178" priority="193" operator="containsText" text="Amber">
      <formula>NOT(ISERROR(SEARCH("Amber",M41)))</formula>
    </cfRule>
    <cfRule type="containsText" dxfId="177" priority="194" operator="containsText" text="Green">
      <formula>NOT(ISERROR(SEARCH("Green",M41)))</formula>
    </cfRule>
    <cfRule type="containsText" dxfId="176" priority="195" operator="containsText" text="Red">
      <formula>NOT(ISERROR(SEARCH("Red",M41)))</formula>
    </cfRule>
    <cfRule type="containsText" dxfId="175" priority="196" operator="containsText" text="Amber">
      <formula>NOT(ISERROR(SEARCH("Amber",M41)))</formula>
    </cfRule>
    <cfRule type="containsText" dxfId="174" priority="197" operator="containsText" text="Green">
      <formula>NOT(ISERROR(SEARCH("Green",M41)))</formula>
    </cfRule>
    <cfRule type="containsText" dxfId="173" priority="198" operator="containsText" text="Red">
      <formula>NOT(ISERROR(SEARCH("Red",M41)))</formula>
    </cfRule>
    <cfRule type="containsText" dxfId="172" priority="199" operator="containsText" text="Amber">
      <formula>NOT(ISERROR(SEARCH("Amber",M41)))</formula>
    </cfRule>
    <cfRule type="containsText" dxfId="171" priority="200" operator="containsText" text="Green">
      <formula>NOT(ISERROR(SEARCH("Green",M41)))</formula>
    </cfRule>
    <cfRule type="containsText" dxfId="170" priority="201" operator="containsText" text="Red">
      <formula>NOT(ISERROR(SEARCH("Red",M41)))</formula>
    </cfRule>
  </conditionalFormatting>
  <conditionalFormatting sqref="M41:M43">
    <cfRule type="containsText" dxfId="169" priority="187" operator="containsText" text="Amber">
      <formula>NOT(ISERROR(SEARCH("Amber",M41)))</formula>
    </cfRule>
    <cfRule type="containsText" dxfId="168" priority="188" operator="containsText" text="Green">
      <formula>NOT(ISERROR(SEARCH("Green",M41)))</formula>
    </cfRule>
    <cfRule type="containsText" dxfId="167" priority="189" operator="containsText" text="Red">
      <formula>NOT(ISERROR(SEARCH("Red",M41)))</formula>
    </cfRule>
  </conditionalFormatting>
  <conditionalFormatting sqref="M42">
    <cfRule type="containsText" dxfId="166" priority="172" operator="containsText" text="Amber">
      <formula>NOT(ISERROR(SEARCH("Amber",M42)))</formula>
    </cfRule>
    <cfRule type="containsText" dxfId="165" priority="173" operator="containsText" text="Green">
      <formula>NOT(ISERROR(SEARCH("Green",M42)))</formula>
    </cfRule>
    <cfRule type="containsText" dxfId="164" priority="174" operator="containsText" text="Red">
      <formula>NOT(ISERROR(SEARCH("Red",M42)))</formula>
    </cfRule>
    <cfRule type="containsText" dxfId="163" priority="175" operator="containsText" text="Amber">
      <formula>NOT(ISERROR(SEARCH("Amber",M42)))</formula>
    </cfRule>
    <cfRule type="containsText" dxfId="162" priority="176" operator="containsText" text="Green">
      <formula>NOT(ISERROR(SEARCH("Green",M42)))</formula>
    </cfRule>
    <cfRule type="containsText" dxfId="161" priority="177" operator="containsText" text="Red">
      <formula>NOT(ISERROR(SEARCH("Red",M42)))</formula>
    </cfRule>
    <cfRule type="containsText" dxfId="160" priority="178" operator="containsText" text="Amber">
      <formula>NOT(ISERROR(SEARCH("Amber",M42)))</formula>
    </cfRule>
    <cfRule type="containsText" dxfId="159" priority="179" operator="containsText" text="Green">
      <formula>NOT(ISERROR(SEARCH("Green",M42)))</formula>
    </cfRule>
    <cfRule type="containsText" dxfId="158" priority="180" operator="containsText" text="Red">
      <formula>NOT(ISERROR(SEARCH("Red",M42)))</formula>
    </cfRule>
    <cfRule type="containsText" dxfId="157" priority="181" operator="containsText" text="Amber">
      <formula>NOT(ISERROR(SEARCH("Amber",M42)))</formula>
    </cfRule>
    <cfRule type="containsText" dxfId="156" priority="182" operator="containsText" text="Green">
      <formula>NOT(ISERROR(SEARCH("Green",M42)))</formula>
    </cfRule>
    <cfRule type="containsText" dxfId="155" priority="183" operator="containsText" text="Red">
      <formula>NOT(ISERROR(SEARCH("Red",M42)))</formula>
    </cfRule>
    <cfRule type="containsText" dxfId="154" priority="184" operator="containsText" text="Amber">
      <formula>NOT(ISERROR(SEARCH("Amber",M42)))</formula>
    </cfRule>
    <cfRule type="containsText" dxfId="153" priority="185" operator="containsText" text="Green">
      <formula>NOT(ISERROR(SEARCH("Green",M42)))</formula>
    </cfRule>
    <cfRule type="containsText" dxfId="152" priority="186" operator="containsText" text="Red">
      <formula>NOT(ISERROR(SEARCH("Red",M42)))</formula>
    </cfRule>
  </conditionalFormatting>
  <conditionalFormatting sqref="M44">
    <cfRule type="containsText" dxfId="151" priority="157" operator="containsText" text="Amber">
      <formula>NOT(ISERROR(SEARCH("Amber",M44)))</formula>
    </cfRule>
    <cfRule type="containsText" dxfId="150" priority="158" operator="containsText" text="Green">
      <formula>NOT(ISERROR(SEARCH("Green",M44)))</formula>
    </cfRule>
    <cfRule type="containsText" dxfId="149" priority="159" operator="containsText" text="Red">
      <formula>NOT(ISERROR(SEARCH("Red",M44)))</formula>
    </cfRule>
    <cfRule type="containsText" dxfId="148" priority="160" operator="containsText" text="Amber">
      <formula>NOT(ISERROR(SEARCH("Amber",M44)))</formula>
    </cfRule>
    <cfRule type="containsText" dxfId="147" priority="161" operator="containsText" text="Green">
      <formula>NOT(ISERROR(SEARCH("Green",M44)))</formula>
    </cfRule>
    <cfRule type="containsText" dxfId="146" priority="162" operator="containsText" text="Red">
      <formula>NOT(ISERROR(SEARCH("Red",M44)))</formula>
    </cfRule>
    <cfRule type="containsText" dxfId="145" priority="163" operator="containsText" text="Amber">
      <formula>NOT(ISERROR(SEARCH("Amber",M44)))</formula>
    </cfRule>
    <cfRule type="containsText" dxfId="144" priority="164" operator="containsText" text="Green">
      <formula>NOT(ISERROR(SEARCH("Green",M44)))</formula>
    </cfRule>
    <cfRule type="containsText" dxfId="143" priority="165" operator="containsText" text="Red">
      <formula>NOT(ISERROR(SEARCH("Red",M44)))</formula>
    </cfRule>
    <cfRule type="containsText" dxfId="142" priority="166" operator="containsText" text="Amber">
      <formula>NOT(ISERROR(SEARCH("Amber",M44)))</formula>
    </cfRule>
    <cfRule type="containsText" dxfId="141" priority="167" operator="containsText" text="Green">
      <formula>NOT(ISERROR(SEARCH("Green",M44)))</formula>
    </cfRule>
    <cfRule type="containsText" dxfId="140" priority="168" operator="containsText" text="Red">
      <formula>NOT(ISERROR(SEARCH("Red",M44)))</formula>
    </cfRule>
    <cfRule type="containsText" dxfId="139" priority="169" operator="containsText" text="Amber">
      <formula>NOT(ISERROR(SEARCH("Amber",M44)))</formula>
    </cfRule>
    <cfRule type="containsText" dxfId="138" priority="170" operator="containsText" text="Green">
      <formula>NOT(ISERROR(SEARCH("Green",M44)))</formula>
    </cfRule>
    <cfRule type="containsText" dxfId="137" priority="171" operator="containsText" text="Red">
      <formula>NOT(ISERROR(SEARCH("Red",M44)))</formula>
    </cfRule>
  </conditionalFormatting>
  <conditionalFormatting sqref="M44:M45">
    <cfRule type="containsText" dxfId="136" priority="4" operator="containsText" text="Amber">
      <formula>NOT(ISERROR(SEARCH("Amber",M44)))</formula>
    </cfRule>
    <cfRule type="containsText" dxfId="135" priority="5" operator="containsText" text="Green">
      <formula>NOT(ISERROR(SEARCH("Green",M44)))</formula>
    </cfRule>
    <cfRule type="containsText" dxfId="134" priority="6" operator="containsText" text="Red">
      <formula>NOT(ISERROR(SEARCH("Red",M44)))</formula>
    </cfRule>
  </conditionalFormatting>
  <conditionalFormatting sqref="M10:N10">
    <cfRule type="containsText" dxfId="133" priority="1574" operator="containsText" text="Green">
      <formula>NOT(ISERROR(SEARCH("Green",M10)))</formula>
    </cfRule>
    <cfRule type="containsText" dxfId="132" priority="1575" operator="containsText" text="Red">
      <formula>NOT(ISERROR(SEARCH("Red",M10)))</formula>
    </cfRule>
  </conditionalFormatting>
  <conditionalFormatting sqref="M14:N16">
    <cfRule type="containsText" dxfId="131" priority="1562" operator="containsText" text="Green">
      <formula>NOT(ISERROR(SEARCH("Green",M14)))</formula>
    </cfRule>
    <cfRule type="containsText" dxfId="130" priority="1563" operator="containsText" text="Red">
      <formula>NOT(ISERROR(SEARCH("Red",M14)))</formula>
    </cfRule>
  </conditionalFormatting>
  <conditionalFormatting sqref="M15:N15">
    <cfRule type="containsText" dxfId="129" priority="1675" operator="containsText" text="Amber">
      <formula>NOT(ISERROR(SEARCH("Amber",M15)))</formula>
    </cfRule>
    <cfRule type="containsText" dxfId="128" priority="1676" operator="containsText" text="Green">
      <formula>NOT(ISERROR(SEARCH("Green",M15)))</formula>
    </cfRule>
    <cfRule type="containsText" dxfId="127" priority="1677" operator="containsText" text="Red">
      <formula>NOT(ISERROR(SEARCH("Red",M15)))</formula>
    </cfRule>
  </conditionalFormatting>
  <conditionalFormatting sqref="M23:N23">
    <cfRule type="containsText" dxfId="126" priority="1646" operator="containsText" text="Green">
      <formula>NOT(ISERROR(SEARCH("Green",M23)))</formula>
    </cfRule>
    <cfRule type="containsText" dxfId="125" priority="1647" operator="containsText" text="Red">
      <formula>NOT(ISERROR(SEARCH("Red",M23)))</formula>
    </cfRule>
  </conditionalFormatting>
  <conditionalFormatting sqref="M30:N32 M43:N43 G46:I46 M8:N26 G8:I26 G30:I44">
    <cfRule type="containsText" dxfId="124" priority="1733" operator="containsText" text="Green">
      <formula>NOT(ISERROR(SEARCH("Green",G8)))</formula>
    </cfRule>
  </conditionalFormatting>
  <conditionalFormatting sqref="M30:N32 M43:N43 G46:I46">
    <cfRule type="containsText" dxfId="123" priority="1732" operator="containsText" text="Amber">
      <formula>NOT(ISERROR(SEARCH("Amber",G30)))</formula>
    </cfRule>
  </conditionalFormatting>
  <conditionalFormatting sqref="M31:N31">
    <cfRule type="containsText" dxfId="122" priority="1549" operator="containsText" text="Amber">
      <formula>NOT(ISERROR(SEARCH("Amber",M31)))</formula>
    </cfRule>
    <cfRule type="containsText" dxfId="121" priority="1550" operator="containsText" text="Green">
      <formula>NOT(ISERROR(SEARCH("Green",M31)))</formula>
    </cfRule>
    <cfRule type="containsText" dxfId="120" priority="1551" operator="containsText" text="Red">
      <formula>NOT(ISERROR(SEARCH("Red",M31)))</formula>
    </cfRule>
  </conditionalFormatting>
  <conditionalFormatting sqref="M32:N32">
    <cfRule type="containsText" dxfId="119" priority="1544" operator="containsText" text="Green">
      <formula>NOT(ISERROR(SEARCH("Green",M32)))</formula>
    </cfRule>
    <cfRule type="containsText" dxfId="118" priority="1545" operator="containsText" text="Red">
      <formula>NOT(ISERROR(SEARCH("Red",M32)))</formula>
    </cfRule>
  </conditionalFormatting>
  <conditionalFormatting sqref="M33:N34">
    <cfRule type="containsText" dxfId="117" priority="41" operator="containsText" text="Green">
      <formula>NOT(ISERROR(SEARCH("Green",M33)))</formula>
    </cfRule>
    <cfRule type="containsText" dxfId="116" priority="42" operator="containsText" text="Red">
      <formula>NOT(ISERROR(SEARCH("Red",M33)))</formula>
    </cfRule>
  </conditionalFormatting>
  <conditionalFormatting sqref="M35:N38">
    <cfRule type="containsText" dxfId="115" priority="1514" operator="containsText" text="Green">
      <formula>NOT(ISERROR(SEARCH("Green",M35)))</formula>
    </cfRule>
    <cfRule type="containsText" dxfId="114" priority="1515" operator="containsText" text="Red">
      <formula>NOT(ISERROR(SEARCH("Red",M35)))</formula>
    </cfRule>
  </conditionalFormatting>
  <conditionalFormatting sqref="M37:N38">
    <cfRule type="containsText" dxfId="113" priority="1483" operator="containsText" text="Amber">
      <formula>NOT(ISERROR(SEARCH("Amber",M37)))</formula>
    </cfRule>
    <cfRule type="containsText" dxfId="112" priority="1484" operator="containsText" text="Green">
      <formula>NOT(ISERROR(SEARCH("Green",M37)))</formula>
    </cfRule>
    <cfRule type="containsText" dxfId="111" priority="1485" operator="containsText" text="Red">
      <formula>NOT(ISERROR(SEARCH("Red",M37)))</formula>
    </cfRule>
    <cfRule type="containsText" dxfId="110" priority="1495" operator="containsText" text="Amber">
      <formula>NOT(ISERROR(SEARCH("Amber",M37)))</formula>
    </cfRule>
    <cfRule type="containsText" dxfId="109" priority="1496" operator="containsText" text="Green">
      <formula>NOT(ISERROR(SEARCH("Green",M37)))</formula>
    </cfRule>
    <cfRule type="containsText" dxfId="108" priority="1497" operator="containsText" text="Red">
      <formula>NOT(ISERROR(SEARCH("Red",M37)))</formula>
    </cfRule>
    <cfRule type="containsText" dxfId="107" priority="1513" operator="containsText" text="Amber">
      <formula>NOT(ISERROR(SEARCH("Amber",M37)))</formula>
    </cfRule>
  </conditionalFormatting>
  <conditionalFormatting sqref="M38:N38">
    <cfRule type="containsText" dxfId="106" priority="1639" operator="containsText" text="Amber">
      <formula>NOT(ISERROR(SEARCH("Amber",M38)))</formula>
    </cfRule>
    <cfRule type="containsText" dxfId="105" priority="1640" operator="containsText" text="Green">
      <formula>NOT(ISERROR(SEARCH("Green",M38)))</formula>
    </cfRule>
    <cfRule type="containsText" dxfId="104" priority="1641" operator="containsText" text="Red">
      <formula>NOT(ISERROR(SEARCH("Red",M38)))</formula>
    </cfRule>
  </conditionalFormatting>
  <conditionalFormatting sqref="M43:N43">
    <cfRule type="containsText" dxfId="103" priority="283" operator="containsText" text="Amber">
      <formula>NOT(ISERROR(SEARCH("Amber",M43)))</formula>
    </cfRule>
    <cfRule type="containsText" dxfId="102" priority="284" operator="containsText" text="Green">
      <formula>NOT(ISERROR(SEARCH("Green",M43)))</formula>
    </cfRule>
    <cfRule type="containsText" dxfId="101" priority="285" operator="containsText" text="Red">
      <formula>NOT(ISERROR(SEARCH("Red",M43)))</formula>
    </cfRule>
    <cfRule type="containsText" dxfId="100" priority="289" operator="containsText" text="Amber">
      <formula>NOT(ISERROR(SEARCH("Amber",M43)))</formula>
    </cfRule>
    <cfRule type="containsText" dxfId="99" priority="290" operator="containsText" text="Green">
      <formula>NOT(ISERROR(SEARCH("Green",M43)))</formula>
    </cfRule>
    <cfRule type="containsText" dxfId="98" priority="291" operator="containsText" text="Red">
      <formula>NOT(ISERROR(SEARCH("Red",M43)))</formula>
    </cfRule>
  </conditionalFormatting>
  <conditionalFormatting sqref="M46:N46">
    <cfRule type="containsText" dxfId="97" priority="244" operator="containsText" text="Amber">
      <formula>NOT(ISERROR(SEARCH("Amber",M46)))</formula>
    </cfRule>
    <cfRule type="containsText" dxfId="96" priority="245" operator="containsText" text="Green">
      <formula>NOT(ISERROR(SEARCH("Green",M46)))</formula>
    </cfRule>
    <cfRule type="containsText" dxfId="95" priority="246" operator="containsText" text="Red">
      <formula>NOT(ISERROR(SEARCH("Red",M46)))</formula>
    </cfRule>
  </conditionalFormatting>
  <conditionalFormatting sqref="N36">
    <cfRule type="containsText" dxfId="94" priority="62" operator="containsText" text="Green">
      <formula>NOT(ISERROR(SEARCH("Green",N36)))</formula>
    </cfRule>
    <cfRule type="containsText" dxfId="93" priority="63" operator="containsText" text="Red">
      <formula>NOT(ISERROR(SEARCH("Red",N36)))</formula>
    </cfRule>
    <cfRule type="containsText" dxfId="92" priority="64" operator="containsText" text="Amber">
      <formula>NOT(ISERROR(SEARCH("Amber",N36)))</formula>
    </cfRule>
    <cfRule type="containsText" dxfId="91" priority="65" operator="containsText" text="Green">
      <formula>NOT(ISERROR(SEARCH("Green",N36)))</formula>
    </cfRule>
    <cfRule type="containsText" dxfId="90" priority="66" operator="containsText" text="Red">
      <formula>NOT(ISERROR(SEARCH("Red",N36)))</formula>
    </cfRule>
    <cfRule type="containsText" dxfId="89" priority="67" operator="containsText" text="Amber">
      <formula>NOT(ISERROR(SEARCH("Amber",N36)))</formula>
    </cfRule>
    <cfRule type="containsText" dxfId="88" priority="68" operator="containsText" text="Green">
      <formula>NOT(ISERROR(SEARCH("Green",N36)))</formula>
    </cfRule>
    <cfRule type="containsText" dxfId="87" priority="69" operator="containsText" text="Red">
      <formula>NOT(ISERROR(SEARCH("Red",N36)))</formula>
    </cfRule>
    <cfRule type="containsText" dxfId="86" priority="70" operator="containsText" text="Amber">
      <formula>NOT(ISERROR(SEARCH("Amber",N36)))</formula>
    </cfRule>
    <cfRule type="containsText" dxfId="85" priority="71" operator="containsText" text="Green">
      <formula>NOT(ISERROR(SEARCH("Green",N36)))</formula>
    </cfRule>
    <cfRule type="containsText" dxfId="84" priority="72" operator="containsText" text="Red">
      <formula>NOT(ISERROR(SEARCH("Red",N36)))</formula>
    </cfRule>
    <cfRule type="containsText" dxfId="83" priority="73" operator="containsText" text="Amber">
      <formula>NOT(ISERROR(SEARCH("Amber",N36)))</formula>
    </cfRule>
    <cfRule type="containsText" dxfId="82" priority="74" operator="containsText" text="Green">
      <formula>NOT(ISERROR(SEARCH("Green",N36)))</formula>
    </cfRule>
    <cfRule type="containsText" dxfId="81" priority="75" operator="containsText" text="Red">
      <formula>NOT(ISERROR(SEARCH("Red",N36)))</formula>
    </cfRule>
    <cfRule type="containsText" dxfId="80" priority="76" operator="containsText" text="Amber">
      <formula>NOT(ISERROR(SEARCH("Amber",N36)))</formula>
    </cfRule>
    <cfRule type="containsText" dxfId="79" priority="77" operator="containsText" text="Green">
      <formula>NOT(ISERROR(SEARCH("Green",N36)))</formula>
    </cfRule>
    <cfRule type="containsText" dxfId="78" priority="78" operator="containsText" text="Red">
      <formula>NOT(ISERROR(SEARCH("Red",N36)))</formula>
    </cfRule>
    <cfRule type="containsText" dxfId="77" priority="79" operator="containsText" text="Amber">
      <formula>NOT(ISERROR(SEARCH("Amber",N36)))</formula>
    </cfRule>
    <cfRule type="containsText" dxfId="76" priority="80" operator="containsText" text="Green">
      <formula>NOT(ISERROR(SEARCH("Green",N36)))</formula>
    </cfRule>
    <cfRule type="containsText" dxfId="75" priority="81" operator="containsText" text="Red">
      <formula>NOT(ISERROR(SEARCH("Red",N36)))</formula>
    </cfRule>
    <cfRule type="containsText" dxfId="74" priority="82" operator="containsText" text="Amber">
      <formula>NOT(ISERROR(SEARCH("Amber",N36)))</formula>
    </cfRule>
    <cfRule type="containsText" dxfId="73" priority="83" operator="containsText" text="Green">
      <formula>NOT(ISERROR(SEARCH("Green",N36)))</formula>
    </cfRule>
    <cfRule type="containsText" dxfId="72" priority="84" operator="containsText" text="Red">
      <formula>NOT(ISERROR(SEARCH("Red",N36)))</formula>
    </cfRule>
    <cfRule type="containsText" dxfId="71" priority="85" operator="containsText" text="Amber">
      <formula>NOT(ISERROR(SEARCH("Amber",N36)))</formula>
    </cfRule>
    <cfRule type="containsText" dxfId="70" priority="86" operator="containsText" text="Green">
      <formula>NOT(ISERROR(SEARCH("Green",N36)))</formula>
    </cfRule>
    <cfRule type="containsText" dxfId="69" priority="87" operator="containsText" text="Red">
      <formula>NOT(ISERROR(SEARCH("Red",N36)))</formula>
    </cfRule>
    <cfRule type="containsText" dxfId="68" priority="88" operator="containsText" text="Amber">
      <formula>NOT(ISERROR(SEARCH("Amber",N36)))</formula>
    </cfRule>
    <cfRule type="containsText" dxfId="67" priority="89" operator="containsText" text="Green">
      <formula>NOT(ISERROR(SEARCH("Green",N36)))</formula>
    </cfRule>
    <cfRule type="containsText" dxfId="66" priority="90" operator="containsText" text="Red">
      <formula>NOT(ISERROR(SEARCH("Red",N36)))</formula>
    </cfRule>
    <cfRule type="containsText" dxfId="65" priority="91" operator="containsText" text="Amber">
      <formula>NOT(ISERROR(SEARCH("Amber",N36)))</formula>
    </cfRule>
    <cfRule type="containsText" dxfId="64" priority="92" operator="containsText" text="Green">
      <formula>NOT(ISERROR(SEARCH("Green",N36)))</formula>
    </cfRule>
    <cfRule type="containsText" dxfId="63" priority="93" operator="containsText" text="Red">
      <formula>NOT(ISERROR(SEARCH("Red",N36)))</formula>
    </cfRule>
    <cfRule type="containsText" dxfId="62" priority="94" operator="containsText" text="Amber">
      <formula>NOT(ISERROR(SEARCH("Amber",N36)))</formula>
    </cfRule>
    <cfRule type="containsText" dxfId="61" priority="95" operator="containsText" text="Green">
      <formula>NOT(ISERROR(SEARCH("Green",N36)))</formula>
    </cfRule>
    <cfRule type="containsText" dxfId="60" priority="96" operator="containsText" text="Red">
      <formula>NOT(ISERROR(SEARCH("Red",N36)))</formula>
    </cfRule>
    <cfRule type="containsText" dxfId="59" priority="97" operator="containsText" text="Amber">
      <formula>NOT(ISERROR(SEARCH("Amber",N36)))</formula>
    </cfRule>
    <cfRule type="containsText" dxfId="58" priority="98" operator="containsText" text="Green">
      <formula>NOT(ISERROR(SEARCH("Green",N36)))</formula>
    </cfRule>
    <cfRule type="containsText" dxfId="57" priority="99" operator="containsText" text="Red">
      <formula>NOT(ISERROR(SEARCH("Red",N36)))</formula>
    </cfRule>
    <cfRule type="containsText" dxfId="56" priority="100" operator="containsText" text="Amber">
      <formula>NOT(ISERROR(SEARCH("Amber",N36)))</formula>
    </cfRule>
    <cfRule type="containsText" dxfId="55" priority="101" operator="containsText" text="Green">
      <formula>NOT(ISERROR(SEARCH("Green",N36)))</formula>
    </cfRule>
    <cfRule type="containsText" dxfId="54" priority="102" operator="containsText" text="Red">
      <formula>NOT(ISERROR(SEARCH("Red",N36)))</formula>
    </cfRule>
  </conditionalFormatting>
  <conditionalFormatting sqref="N40:N44 M35:N39 H10">
    <cfRule type="containsText" dxfId="53" priority="1384" operator="containsText" text="Amber">
      <formula>NOT(ISERROR(SEARCH("Amber",H10)))</formula>
    </cfRule>
  </conditionalFormatting>
  <conditionalFormatting sqref="N45">
    <cfRule type="containsText" dxfId="52" priority="13" operator="containsText" text="Amber">
      <formula>NOT(ISERROR(SEARCH("Amber",N45)))</formula>
    </cfRule>
    <cfRule type="containsText" dxfId="51" priority="14" operator="containsText" text="Green">
      <formula>NOT(ISERROR(SEARCH("Green",N45)))</formula>
    </cfRule>
    <cfRule type="containsText" dxfId="50" priority="15" operator="containsText" text="Red">
      <formula>NOT(ISERROR(SEARCH("Red",N45)))</formula>
    </cfRule>
  </conditionalFormatting>
  <hyperlinks>
    <hyperlink ref="D8" location="'Child Poverty'!A1" display="'Child Poverty'!A1" xr:uid="{00000000-0004-0000-0200-000000000000}"/>
    <hyperlink ref="D9" location="'Claimant Count'!A1" display="'Claimant Count'!A1" xr:uid="{00000000-0004-0000-0200-000002000000}"/>
    <hyperlink ref="D10" location="'Workless Households'!A1" display="'Workless Households'!A1" xr:uid="{00000000-0004-0000-0200-000003000000}"/>
    <hyperlink ref="D11" location="SLDR!A1" display="SLDR!A1" xr:uid="{00000000-0004-0000-0200-000004000000}"/>
    <hyperlink ref="D12" location="'Degree-level Quals'!A1" display="Degree-level Qualifications Rate (%)" xr:uid="{00000000-0004-0000-0200-000005000000}"/>
    <hyperlink ref="D13" location="'No Qualifications'!A1" display="No Qualifications Rate (%)" xr:uid="{00000000-0004-0000-0200-000006000000}"/>
    <hyperlink ref="D14" location="Incapacity!A1" display="Incapacity!A1" xr:uid="{00000000-0004-0000-0200-000007000000}"/>
    <hyperlink ref="D15" location="'Ill Health'!A1" display="Economic Inactive:  Long-term Sick/Disabled Rate (%)" xr:uid="{00000000-0004-0000-0200-000008000000}"/>
    <hyperlink ref="D16" location="'HLE Females'!A1" display="'HLE Females'!A1" xr:uid="{00000000-0004-0000-0200-000009000000}"/>
    <hyperlink ref="D17" location="'HLE Males'!A1" display="'HLE Males'!A1" xr:uid="{00000000-0004-0000-0200-00000A000000}"/>
    <hyperlink ref="D18" location="'Economic Inactivity'!A1" display="Economic Inactivity Rate (%)" xr:uid="{00000000-0004-0000-0200-00000B000000}"/>
    <hyperlink ref="D19" location="Employment!A1" display="Employment Rate (%)" xr:uid="{00000000-0004-0000-0200-00000C000000}"/>
    <hyperlink ref="D20" location="Unemployment!A1" display="Unemployment Rate (%)" xr:uid="{00000000-0004-0000-0200-00000D000000}"/>
    <hyperlink ref="D21" location="'Low Pay Sectors'!A1" display="'Low Pay Sectors'!A1" xr:uid="{00000000-0004-0000-0200-00000E000000}"/>
    <hyperlink ref="D22" location="'Gender Gap'!A1" display="'Gender Gap'!A1" xr:uid="{00000000-0004-0000-0200-000010000000}"/>
    <hyperlink ref="D23" location="Earnings!A1" display="Median Weekly Earnings (Residence-based, full-time)" xr:uid="{00000000-0004-0000-0200-000011000000}"/>
    <hyperlink ref="D24" location="'Low Earnings'!A1" display="'Low Earnings'!A1" xr:uid="{00000000-0004-0000-0200-000012000000}"/>
    <hyperlink ref="D25" location="Underemployment!A1" display="Underemployment!A1" xr:uid="{00000000-0004-0000-0200-000013000000}"/>
    <hyperlink ref="D26" location="'SOC 1 Occupation'!A1" display="'SOC 1 Occupation'!A1" xr:uid="{00000000-0004-0000-0200-000014000000}"/>
    <hyperlink ref="D30" location="'10 Mb'!A1" display="'10 Mb'!A1" xr:uid="{00000000-0004-0000-0200-000016000000}"/>
    <hyperlink ref="D31" location="UFBB!A1" display="UFBB!A1" xr:uid="{00000000-0004-0000-0200-000017000000}"/>
    <hyperlink ref="D32" location="Fibre!A1" display="Fibre!A1" xr:uid="{00000000-0004-0000-0200-000018000000}"/>
    <hyperlink ref="D33" location="'New Builds'!A1" display="'New Builds'!A1" xr:uid="{00000000-0004-0000-0200-000019000000}"/>
    <hyperlink ref="D34" location="'Social Builds'!A1" display="'Social Builds'!A1" xr:uid="{00000000-0004-0000-0200-00001A000000}"/>
    <hyperlink ref="D35" location="'V&amp;DL'!A1" display="'V&amp;DL'!A1" xr:uid="{00000000-0004-0000-0200-00001E000000}"/>
    <hyperlink ref="D36" location="'SIMD V&amp;DL'!A1" display="'SIMD V&amp;DL'!A1" xr:uid="{00000000-0004-0000-0200-00001F000000}"/>
    <hyperlink ref="D37" location="'Housing Affordability'!A1" display="'Housing Affordability'!A1" xr:uid="{00000000-0004-0000-0200-000020000000}"/>
    <hyperlink ref="D38" location="'SME Procurement'!A1" display="'SME Procurement'!A1" xr:uid="{00000000-0004-0000-0200-000021000000}"/>
    <hyperlink ref="D39" location="GVA!A1" display="Gross Value Added (£m)" xr:uid="{00000000-0004-0000-0200-000023000000}"/>
    <hyperlink ref="D40" location="'GVA phw'!A1" display="GVA per hour worked (£)" xr:uid="{00000000-0004-0000-0200-000024000000}"/>
    <hyperlink ref="D41" location="'Enterprise Rate'!A1" display="'Enterprise Rate'!A1" xr:uid="{00000000-0004-0000-0200-000026000000}"/>
    <hyperlink ref="D42" location="'Business Births'!A1" display="'Business Births'!A1" xr:uid="{00000000-0004-0000-0200-00002D000000}"/>
    <hyperlink ref="D43" location="'Business Deaths'!A1" display="'Business Deaths'!A1" xr:uid="{00000000-0004-0000-0200-00002E000000}"/>
    <hyperlink ref="D44" location="'Business Survival'!A1" display="'Business Survival'!A1" xr:uid="{00000000-0004-0000-0200-00002F000000}"/>
    <hyperlink ref="D46" location="'Emissions KM'!A1" display="'Emissions KM'!A1" xr:uid="{D19EDE9A-9F5E-422F-B5F2-C5620D19E8AA}"/>
    <hyperlink ref="D45" location="'Emissions Population'!A1" display="'Emissions Population'!A1" xr:uid="{561631E4-DF07-4792-BAE1-8A540023EA78}"/>
    <hyperlink ref="D27" location="'Satisfactory hours'!A1" display="'Satisfactory hours'!A1" xr:uid="{00BBFFA1-4533-4549-B9EC-201F3AD46F9D}"/>
    <hyperlink ref="D28" location="'Low Pay'!A1" display="'Low Pay'!A1" xr:uid="{EAF96893-1EEF-43B0-93AC-A4C8160CEFFA}"/>
    <hyperlink ref="D29" location="'Zero-hour contracts'!A1" display="'Zero-hour contracts'!A1" xr:uid="{7AEF1C89-93B3-468B-9823-4AFE64A5871E}"/>
  </hyperlinks>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Lookups!$F$3:$F$10</xm:f>
          </x14:formula1>
          <xm:sqref>F7</xm:sqref>
        </x14:dataValidation>
        <x14:dataValidation type="list" allowBlank="1" showInputMessage="1" showErrorMessage="1" xr:uid="{00000000-0002-0000-0200-000001000000}">
          <x14:formula1>
            <xm:f>Lookups!$B$17:$B$18</xm:f>
          </x14:formula1>
          <xm:sqref>G2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sheetPr>
  <dimension ref="B2:M23"/>
  <sheetViews>
    <sheetView zoomScale="90" zoomScaleNormal="90" workbookViewId="0">
      <selection activeCell="H47" sqref="H47"/>
    </sheetView>
  </sheetViews>
  <sheetFormatPr defaultColWidth="9.1796875" defaultRowHeight="12"/>
  <cols>
    <col min="1" max="1" width="9.1796875" style="251"/>
    <col min="2" max="2" width="31.81640625" style="251" customWidth="1"/>
    <col min="3" max="3" width="24" style="251" customWidth="1" collapsed="1"/>
    <col min="4" max="6" width="14" style="251" customWidth="1" collapsed="1"/>
    <col min="7" max="7" width="14" style="251" customWidth="1"/>
    <col min="8" max="8" width="14" style="251" customWidth="1" collapsed="1"/>
    <col min="9" max="9" width="14" style="251" customWidth="1"/>
    <col min="10" max="16384" width="9.1796875" style="251"/>
  </cols>
  <sheetData>
    <row r="2" spans="2:9" ht="13">
      <c r="B2" s="286" t="s">
        <v>48</v>
      </c>
      <c r="C2" s="287" t="s">
        <v>618</v>
      </c>
      <c r="F2" s="595" t="s">
        <v>507</v>
      </c>
      <c r="G2" s="596"/>
      <c r="H2" s="325" t="e">
        <f>CONCATENATE(Lookups!I4,#REF!)</f>
        <v>#REF!</v>
      </c>
    </row>
    <row r="3" spans="2:9" ht="13">
      <c r="B3" s="286" t="s">
        <v>49</v>
      </c>
      <c r="C3" s="288" t="s">
        <v>501</v>
      </c>
    </row>
    <row r="4" spans="2:9" ht="13">
      <c r="B4" s="287"/>
      <c r="C4" s="289" t="s">
        <v>478</v>
      </c>
      <c r="D4" s="290"/>
    </row>
    <row r="5" spans="2:9" ht="22" customHeight="1">
      <c r="C5" s="291"/>
      <c r="D5" s="292"/>
      <c r="E5" s="292"/>
      <c r="F5" s="292"/>
      <c r="G5" s="292"/>
      <c r="H5" s="292"/>
    </row>
    <row r="6" spans="2:9" ht="26.15" customHeight="1">
      <c r="B6" s="293" t="s">
        <v>271</v>
      </c>
      <c r="C6" s="293" t="s">
        <v>5</v>
      </c>
      <c r="D6" s="294" t="s">
        <v>502</v>
      </c>
      <c r="E6" s="294" t="s">
        <v>503</v>
      </c>
      <c r="F6" s="294" t="s">
        <v>504</v>
      </c>
      <c r="G6" s="294" t="s">
        <v>505</v>
      </c>
      <c r="H6" s="294" t="s">
        <v>506</v>
      </c>
    </row>
    <row r="7" spans="2:9" ht="19.5" customHeight="1">
      <c r="B7" s="296" t="s">
        <v>249</v>
      </c>
      <c r="C7" s="296" t="s">
        <v>22</v>
      </c>
      <c r="D7" s="318">
        <f>VLOOKUP($C7,'Raw - Net Migration'!$B:$H,3,FALSE)</f>
        <v>4583</v>
      </c>
      <c r="E7" s="318">
        <f>VLOOKUP($C7,'Raw - Net Migration'!$B:$H,4,FALSE)</f>
        <v>-4181</v>
      </c>
      <c r="F7" s="318">
        <f>VLOOKUP($C7,'Raw - Net Migration'!$B:$H,5,FALSE)</f>
        <v>5124</v>
      </c>
      <c r="G7" s="318">
        <f>VLOOKUP($C7,'Raw - Net Migration'!$B:$H,6,FALSE)</f>
        <v>-498</v>
      </c>
      <c r="H7" s="318">
        <f>VLOOKUP($C7,'Raw - Net Migration'!$B:$H,7,FALSE)</f>
        <v>-41</v>
      </c>
    </row>
    <row r="8" spans="2:9" ht="19.5" customHeight="1">
      <c r="B8" s="296" t="s">
        <v>249</v>
      </c>
      <c r="C8" s="296" t="s">
        <v>24</v>
      </c>
      <c r="D8" s="318">
        <f>VLOOKUP($C8,'Raw - Net Migration'!$B:$H,3,FALSE)</f>
        <v>6074</v>
      </c>
      <c r="E8" s="318">
        <f>VLOOKUP($C8,'Raw - Net Migration'!$B:$H,4,FALSE)</f>
        <v>-4251</v>
      </c>
      <c r="F8" s="318">
        <f>VLOOKUP($C8,'Raw - Net Migration'!$B:$H,5,FALSE)</f>
        <v>5896</v>
      </c>
      <c r="G8" s="318">
        <f>VLOOKUP($C8,'Raw - Net Migration'!$B:$H,6,FALSE)</f>
        <v>-1185</v>
      </c>
      <c r="H8" s="318">
        <f>VLOOKUP($C8,'Raw - Net Migration'!$B:$H,7,FALSE)</f>
        <v>68</v>
      </c>
    </row>
    <row r="9" spans="2:9" ht="19.5" customHeight="1">
      <c r="B9" s="296" t="s">
        <v>249</v>
      </c>
      <c r="C9" s="296" t="s">
        <v>27</v>
      </c>
      <c r="D9" s="318">
        <f>VLOOKUP($C9,'Raw - Net Migration'!$B:$H,3,FALSE)</f>
        <v>-8652</v>
      </c>
      <c r="E9" s="318">
        <f>VLOOKUP($C9,'Raw - Net Migration'!$B:$H,4,FALSE)</f>
        <v>71672</v>
      </c>
      <c r="F9" s="318">
        <f>VLOOKUP($C9,'Raw - Net Migration'!$B:$H,5,FALSE)</f>
        <v>-13795</v>
      </c>
      <c r="G9" s="318">
        <f>VLOOKUP($C9,'Raw - Net Migration'!$B:$H,6,FALSE)</f>
        <v>-3271</v>
      </c>
      <c r="H9" s="318">
        <f>VLOOKUP($C9,'Raw - Net Migration'!$B:$H,7,FALSE)</f>
        <v>-2487</v>
      </c>
    </row>
    <row r="10" spans="2:9" ht="19.5" customHeight="1">
      <c r="B10" s="296" t="s">
        <v>249</v>
      </c>
      <c r="C10" s="296" t="s">
        <v>29</v>
      </c>
      <c r="D10" s="318">
        <f>VLOOKUP($C10,'Raw - Net Migration'!$B:$H,3,FALSE)</f>
        <v>224</v>
      </c>
      <c r="E10" s="318">
        <f>VLOOKUP($C10,'Raw - Net Migration'!$B:$H,4,FALSE)</f>
        <v>-1539</v>
      </c>
      <c r="F10" s="318">
        <f>VLOOKUP($C10,'Raw - Net Migration'!$B:$H,5,FALSE)</f>
        <v>-235</v>
      </c>
      <c r="G10" s="318">
        <f>VLOOKUP($C10,'Raw - Net Migration'!$B:$H,6,FALSE)</f>
        <v>61</v>
      </c>
      <c r="H10" s="318">
        <f>VLOOKUP($C10,'Raw - Net Migration'!$B:$H,7,FALSE)</f>
        <v>182</v>
      </c>
    </row>
    <row r="11" spans="2:9" ht="19.5" customHeight="1">
      <c r="B11" s="296" t="s">
        <v>249</v>
      </c>
      <c r="C11" s="296" t="s">
        <v>34</v>
      </c>
      <c r="D11" s="318">
        <f>VLOOKUP($C11,'Raw - Net Migration'!$B:$H,3,FALSE)</f>
        <v>1973</v>
      </c>
      <c r="E11" s="318">
        <f>VLOOKUP($C11,'Raw - Net Migration'!$B:$H,4,FALSE)</f>
        <v>-242</v>
      </c>
      <c r="F11" s="318">
        <f>VLOOKUP($C11,'Raw - Net Migration'!$B:$H,5,FALSE)</f>
        <v>2457</v>
      </c>
      <c r="G11" s="318">
        <f>VLOOKUP($C11,'Raw - Net Migration'!$B:$H,6,FALSE)</f>
        <v>644</v>
      </c>
      <c r="H11" s="318">
        <f>VLOOKUP($C11,'Raw - Net Migration'!$B:$H,7,FALSE)</f>
        <v>-493</v>
      </c>
    </row>
    <row r="12" spans="2:9" ht="19.5" customHeight="1">
      <c r="B12" s="296" t="s">
        <v>249</v>
      </c>
      <c r="C12" s="296" t="s">
        <v>37</v>
      </c>
      <c r="D12" s="318">
        <f>VLOOKUP($C12,'Raw - Net Migration'!$B:$H,3,FALSE)</f>
        <v>1086</v>
      </c>
      <c r="E12" s="318">
        <f>VLOOKUP($C12,'Raw - Net Migration'!$B:$H,4,FALSE)</f>
        <v>2948</v>
      </c>
      <c r="F12" s="318">
        <f>VLOOKUP($C12,'Raw - Net Migration'!$B:$H,5,FALSE)</f>
        <v>3233</v>
      </c>
      <c r="G12" s="318">
        <f>VLOOKUP($C12,'Raw - Net Migration'!$B:$H,6,FALSE)</f>
        <v>632</v>
      </c>
      <c r="H12" s="318">
        <f>VLOOKUP($C12,'Raw - Net Migration'!$B:$H,7,FALSE)</f>
        <v>620</v>
      </c>
    </row>
    <row r="13" spans="2:9" ht="19.5" customHeight="1">
      <c r="B13" s="296" t="s">
        <v>249</v>
      </c>
      <c r="C13" s="296" t="s">
        <v>41</v>
      </c>
      <c r="D13" s="318">
        <f>VLOOKUP($C13,'Raw - Net Migration'!$B:$H,3,FALSE)</f>
        <v>2984</v>
      </c>
      <c r="E13" s="318">
        <f>VLOOKUP($C13,'Raw - Net Migration'!$B:$H,4,FALSE)</f>
        <v>-168</v>
      </c>
      <c r="F13" s="318">
        <f>VLOOKUP($C13,'Raw - Net Migration'!$B:$H,5,FALSE)</f>
        <v>6443</v>
      </c>
      <c r="G13" s="318">
        <f>VLOOKUP($C13,'Raw - Net Migration'!$B:$H,6,FALSE)</f>
        <v>2350</v>
      </c>
      <c r="H13" s="318">
        <f>VLOOKUP($C13,'Raw - Net Migration'!$B:$H,7,FALSE)</f>
        <v>857</v>
      </c>
    </row>
    <row r="14" spans="2:9" ht="19.5" customHeight="1">
      <c r="B14" s="296" t="s">
        <v>249</v>
      </c>
      <c r="C14" s="296" t="s">
        <v>43</v>
      </c>
      <c r="D14" s="318">
        <f>VLOOKUP($C14,'Raw - Net Migration'!$B:$H,3,FALSE)</f>
        <v>-245</v>
      </c>
      <c r="E14" s="318">
        <f>VLOOKUP($C14,'Raw - Net Migration'!$B:$H,4,FALSE)</f>
        <v>-466</v>
      </c>
      <c r="F14" s="318">
        <f>VLOOKUP($C14,'Raw - Net Migration'!$B:$H,5,FALSE)</f>
        <v>-387</v>
      </c>
      <c r="G14" s="318">
        <f>VLOOKUP($C14,'Raw - Net Migration'!$B:$H,6,FALSE)</f>
        <v>48</v>
      </c>
      <c r="H14" s="318">
        <f>VLOOKUP($C14,'Raw - Net Migration'!$B:$H,7,FALSE)</f>
        <v>-266</v>
      </c>
    </row>
    <row r="15" spans="2:9" ht="19.5" customHeight="1">
      <c r="B15" s="303"/>
      <c r="C15" s="303"/>
      <c r="D15" s="304"/>
      <c r="E15" s="304"/>
      <c r="F15" s="304"/>
      <c r="G15" s="304"/>
      <c r="H15" s="304"/>
      <c r="I15" s="306"/>
    </row>
    <row r="16" spans="2:9" ht="19.5" customHeight="1">
      <c r="B16" s="307" t="s">
        <v>51</v>
      </c>
      <c r="C16" s="296" t="str">
        <f>INDEX('Raw - Net Migration'!B18:B49,MATCH(MAX('Raw - Net Migration'!C18:C49),'Raw - Net Migration'!C18:C49,0))</f>
        <v>Edinburgh, City of</v>
      </c>
      <c r="D16" s="318">
        <f>VLOOKUP($C16,'Raw - Net Migration'!$B:$H,3,FALSE)</f>
        <v>-2390</v>
      </c>
      <c r="E16" s="318">
        <f>VLOOKUP($C16,'Raw - Net Migration'!$B:$H,4,FALSE)</f>
        <v>61200</v>
      </c>
      <c r="F16" s="318">
        <f>VLOOKUP($C16,'Raw - Net Migration'!$B:$H,5,FALSE)</f>
        <v>-6360</v>
      </c>
      <c r="G16" s="318">
        <f>VLOOKUP($C16,'Raw - Net Migration'!$B:$H,6,FALSE)</f>
        <v>-2886</v>
      </c>
      <c r="H16" s="318">
        <f>VLOOKUP($C16,'Raw - Net Migration'!$B:$H,7,FALSE)</f>
        <v>-214</v>
      </c>
    </row>
    <row r="17" spans="2:13" ht="19.5" customHeight="1">
      <c r="B17" s="307" t="s">
        <v>250</v>
      </c>
      <c r="C17" s="296" t="s">
        <v>47</v>
      </c>
      <c r="D17" s="318">
        <f>VLOOKUP($C17,'Raw - Net Migration'!$B:$H,3,FALSE)</f>
        <v>8027</v>
      </c>
      <c r="E17" s="318">
        <f>VLOOKUP($C17,'Raw - Net Migration'!$B:$H,4,FALSE)</f>
        <v>63773</v>
      </c>
      <c r="F17" s="318">
        <f>VLOOKUP($C17,'Raw - Net Migration'!$B:$H,5,FALSE)</f>
        <v>8736</v>
      </c>
      <c r="G17" s="318">
        <f>VLOOKUP($C17,'Raw - Net Migration'!$B:$H,6,FALSE)</f>
        <v>-1219</v>
      </c>
      <c r="H17" s="318">
        <f>VLOOKUP($C17,'Raw - Net Migration'!$B:$H,7,FALSE)</f>
        <v>-1560</v>
      </c>
    </row>
    <row r="18" spans="2:13" ht="19.5" customHeight="1">
      <c r="B18" s="307" t="s">
        <v>251</v>
      </c>
      <c r="C18" s="296" t="s">
        <v>45</v>
      </c>
      <c r="D18" s="318">
        <f>VLOOKUP($C18,'Raw - Net Migration'!$B:$H,3,FALSE)</f>
        <v>37335</v>
      </c>
      <c r="E18" s="318">
        <f>VLOOKUP($C18,'Raw - Net Migration'!$B:$H,4,FALSE)</f>
        <v>128792</v>
      </c>
      <c r="F18" s="318">
        <f>VLOOKUP($C18,'Raw - Net Migration'!$B:$H,5,FALSE)</f>
        <v>48774</v>
      </c>
      <c r="G18" s="318">
        <f>VLOOKUP($C18,'Raw - Net Migration'!$B:$H,6,FALSE)</f>
        <v>31642</v>
      </c>
      <c r="H18" s="318">
        <f>VLOOKUP($C18,'Raw - Net Migration'!$B:$H,7,FALSE)</f>
        <v>3269</v>
      </c>
    </row>
    <row r="19" spans="2:13" ht="19.5" customHeight="1">
      <c r="B19" s="307" t="s">
        <v>251</v>
      </c>
      <c r="C19" s="296" t="s">
        <v>46</v>
      </c>
      <c r="D19" s="298" t="s">
        <v>69</v>
      </c>
      <c r="E19" s="298" t="s">
        <v>69</v>
      </c>
      <c r="F19" s="298" t="s">
        <v>69</v>
      </c>
      <c r="G19" s="298"/>
      <c r="H19" s="298" t="s">
        <v>69</v>
      </c>
    </row>
    <row r="20" spans="2:13" ht="19.5" customHeight="1">
      <c r="C20" s="309"/>
      <c r="D20" s="310"/>
      <c r="E20" s="310"/>
      <c r="F20" s="310"/>
      <c r="G20" s="310"/>
      <c r="H20" s="310"/>
      <c r="I20" s="310"/>
    </row>
    <row r="21" spans="2:13">
      <c r="B21" s="313" t="s">
        <v>467</v>
      </c>
      <c r="D21" s="312" t="s">
        <v>506</v>
      </c>
      <c r="E21" s="312" t="s">
        <v>505</v>
      </c>
      <c r="F21" s="312" t="str">
        <f>CONCATENATE(G21,H21)</f>
        <v>Volume Change Required to match Geographic Area - 0</v>
      </c>
      <c r="G21" s="312" t="s">
        <v>519</v>
      </c>
      <c r="H21" s="312">
        <f>K5</f>
        <v>0</v>
      </c>
      <c r="I21" s="325" t="s">
        <v>703</v>
      </c>
      <c r="J21" s="325"/>
      <c r="K21" s="325"/>
      <c r="L21" s="325"/>
      <c r="M21" s="325"/>
    </row>
    <row r="22" spans="2:13">
      <c r="B22" s="326" t="s">
        <v>27</v>
      </c>
      <c r="D22" s="312">
        <f>VLOOKUP($B$22,$C7:$H14,6,FALSE)</f>
        <v>-2487</v>
      </c>
      <c r="E22" s="312">
        <f>VLOOKUP($B$22,$C7:$H14,5,FALSE)</f>
        <v>-3271</v>
      </c>
      <c r="F22" s="312">
        <f>VLOOKUP($B$22,$C7:$H14,4,FALSE)</f>
        <v>-13795</v>
      </c>
      <c r="G22" s="312">
        <f>VLOOKUP($B$22,$C7:$H14,3,FALSE)</f>
        <v>71672</v>
      </c>
      <c r="H22" s="312">
        <f>VLOOKUP($B$22,$C7:$H14,2,FALSE)</f>
        <v>-8652</v>
      </c>
      <c r="I22" s="325" t="str">
        <f>CONCATENATE(B22,I21)</f>
        <v>Glasgow City Cumulative Net Migration 20010/11 to 2020/21</v>
      </c>
      <c r="J22" s="325"/>
      <c r="K22" s="325"/>
      <c r="L22" s="325"/>
      <c r="M22" s="325"/>
    </row>
    <row r="23" spans="2:13">
      <c r="D23" s="325"/>
      <c r="E23" s="325"/>
      <c r="F23" s="325"/>
      <c r="G23" s="325"/>
      <c r="H23" s="325"/>
      <c r="I23" s="312"/>
      <c r="J23" s="325"/>
      <c r="K23" s="325"/>
      <c r="L23" s="325"/>
      <c r="M23" s="325"/>
    </row>
  </sheetData>
  <mergeCells count="1">
    <mergeCell ref="F2:G2"/>
  </mergeCells>
  <dataValidations disablePrompts="1" count="1">
    <dataValidation type="list" allowBlank="1" showInputMessage="1" showErrorMessage="1" sqref="B22" xr:uid="{00000000-0002-0000-2700-000000000000}">
      <formula1>$C$7:$C$14</formula1>
    </dataValidation>
  </dataValidations>
  <hyperlinks>
    <hyperlink ref="C3" r:id="rId1" xr:uid="{00000000-0004-0000-2700-000000000000}"/>
    <hyperlink ref="F2:G2" location="'Index RAG'!A1" display="Return to Index RAG" xr:uid="{00000000-0004-0000-27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autoPageBreaks="0"/>
  </sheetPr>
  <dimension ref="B2:I24"/>
  <sheetViews>
    <sheetView zoomScale="90" zoomScaleNormal="90" workbookViewId="0">
      <selection activeCell="H2" sqref="H2:I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8" width="14" style="251" customWidth="1"/>
    <col min="9" max="9" width="23.1796875" style="251" customWidth="1"/>
    <col min="10" max="16384" width="9.1796875" style="251"/>
  </cols>
  <sheetData>
    <row r="2" spans="2:9" ht="13">
      <c r="B2" s="286" t="s">
        <v>48</v>
      </c>
      <c r="C2" s="287" t="s">
        <v>244</v>
      </c>
      <c r="F2" s="316"/>
      <c r="G2" s="316"/>
      <c r="H2" s="595" t="s">
        <v>507</v>
      </c>
      <c r="I2" s="596"/>
    </row>
    <row r="3" spans="2:9" ht="13">
      <c r="B3" s="286" t="s">
        <v>49</v>
      </c>
      <c r="C3" s="288" t="s">
        <v>243</v>
      </c>
      <c r="D3" s="290"/>
      <c r="E3" s="290"/>
      <c r="F3" s="290"/>
    </row>
    <row r="4" spans="2:9" ht="13">
      <c r="B4" s="287"/>
      <c r="C4" s="289" t="s">
        <v>478</v>
      </c>
      <c r="D4" s="290"/>
      <c r="I4" s="323" t="s">
        <v>52</v>
      </c>
    </row>
    <row r="5" spans="2:9" ht="22" customHeight="1">
      <c r="C5" s="291"/>
      <c r="D5" s="292"/>
      <c r="E5" s="292"/>
      <c r="F5" s="292"/>
      <c r="G5" s="292"/>
      <c r="H5" s="317" t="s">
        <v>50</v>
      </c>
      <c r="I5" s="324" t="s">
        <v>51</v>
      </c>
    </row>
    <row r="6" spans="2:9" ht="26.15" customHeight="1">
      <c r="B6" s="293" t="s">
        <v>271</v>
      </c>
      <c r="C6" s="293" t="s">
        <v>5</v>
      </c>
      <c r="D6" s="294">
        <v>2018</v>
      </c>
      <c r="E6" s="294">
        <v>2019</v>
      </c>
      <c r="F6" s="294">
        <v>2020</v>
      </c>
      <c r="G6" s="294">
        <v>2021</v>
      </c>
      <c r="H6" s="295" t="s">
        <v>53</v>
      </c>
      <c r="I6" s="295" t="s">
        <v>56</v>
      </c>
    </row>
    <row r="7" spans="2:9" ht="19.5" customHeight="1">
      <c r="B7" s="296" t="s">
        <v>249</v>
      </c>
      <c r="C7" s="296" t="s">
        <v>22</v>
      </c>
      <c r="D7" s="297">
        <f>VLOOKUP($C7,'Raw - Housing Affordability'!$A:$Q,4,FALSE)</f>
        <v>9.3586923707249756</v>
      </c>
      <c r="E7" s="297">
        <f>VLOOKUP($C7,'Raw - Housing Affordability'!$A:$Q,8,FALSE)</f>
        <v>9.5763282669384502</v>
      </c>
      <c r="F7" s="297">
        <f>VLOOKUP($C7,'Raw - Housing Affordability'!$A:$Q,12,FALSE)</f>
        <v>9.9089606339037335</v>
      </c>
      <c r="G7" s="297">
        <f>VLOOKUP($C7,'Raw - Housing Affordability'!$A:$Q,16,FALSE)</f>
        <v>10.536963668549271</v>
      </c>
      <c r="H7" s="299">
        <f t="shared" ref="H7:H14" si="0">SUM(G7-D7)</f>
        <v>1.1782712978242955</v>
      </c>
      <c r="I7" s="301">
        <f>IF(IF(H7="","",IF($I$5="lgbf family group",SUM(G$17-G7),IF($I$5="Glasgow City Region",SUM(G$18-G7),IF($I$5="Scotland",SUM(G$19-G7),IF($I$5="United Kingdom",SUM(G$20-G7),SUM(G$16-G7))))))&gt;0,"",IF(H7="","",IF($I$5="lgbf family group",SUM(G$17-G7),IF($I$5="Glasgow City Region",SUM(G$18-G7),IF($I$5="Scotland",SUM(G$19-G7),IF($I$5="United Kingdom",SUM(G$20-G7),SUM(G$16-G7)))))))</f>
        <v>-5.3516571896452811</v>
      </c>
    </row>
    <row r="8" spans="2:9" ht="19.5" customHeight="1">
      <c r="B8" s="296" t="s">
        <v>249</v>
      </c>
      <c r="C8" s="296" t="s">
        <v>24</v>
      </c>
      <c r="D8" s="297">
        <f>VLOOKUP($C8,'Raw - Housing Affordability'!$A:$Q,4,FALSE)</f>
        <v>10.181946965337112</v>
      </c>
      <c r="E8" s="297">
        <f>VLOOKUP($C8,'Raw - Housing Affordability'!$A:$Q,8,FALSE)</f>
        <v>11.159717882331934</v>
      </c>
      <c r="F8" s="297">
        <f>VLOOKUP($C8,'Raw - Housing Affordability'!$A:$Q,12,FALSE)</f>
        <v>11.048656998197888</v>
      </c>
      <c r="G8" s="297">
        <f>VLOOKUP($C8,'Raw - Housing Affordability'!$A:$Q,16,FALSE)</f>
        <v>11.799536600017163</v>
      </c>
      <c r="H8" s="299">
        <f t="shared" si="0"/>
        <v>1.6175896346800513</v>
      </c>
      <c r="I8" s="301">
        <f t="shared" ref="I8:I14" si="1">IF(IF(H8="","",IF($I$5="lgbf family group",SUM(G$17-G8),IF($I$5="Glasgow City Region",SUM(G$18-G8),IF($I$5="Scotland",SUM(G$19-G8),IF($I$5="United Kingdom",SUM(G$20-G8),SUM(G$16-G8))))))&gt;0,"",IF(H8="","",IF($I$5="lgbf family group",SUM(G$17-G8),IF($I$5="Glasgow City Region",SUM(G$18-G8),IF($I$5="Scotland",SUM(G$19-G8),IF($I$5="United Kingdom",SUM(G$20-G8),SUM(G$16-G8)))))))</f>
        <v>-6.6142301211131729</v>
      </c>
    </row>
    <row r="9" spans="2:9" ht="19.5" customHeight="1">
      <c r="B9" s="296" t="s">
        <v>249</v>
      </c>
      <c r="C9" s="296" t="s">
        <v>27</v>
      </c>
      <c r="D9" s="297">
        <f>VLOOKUP($C9,'Raw - Housing Affordability'!$A:$Q,4,FALSE)</f>
        <v>8.2145162236695413</v>
      </c>
      <c r="E9" s="297">
        <f>VLOOKUP($C9,'Raw - Housing Affordability'!$A:$Q,8,FALSE)</f>
        <v>8.6770405507028396</v>
      </c>
      <c r="F9" s="297">
        <f>VLOOKUP($C9,'Raw - Housing Affordability'!$A:$Q,12,FALSE)</f>
        <v>8.952551477170994</v>
      </c>
      <c r="G9" s="297">
        <f>VLOOKUP($C9,'Raw - Housing Affordability'!$A:$Q,16,FALSE)</f>
        <v>9.5176812891674132</v>
      </c>
      <c r="H9" s="299">
        <f t="shared" si="0"/>
        <v>1.3031650654978719</v>
      </c>
      <c r="I9" s="301">
        <f t="shared" si="1"/>
        <v>-4.3323748102634232</v>
      </c>
    </row>
    <row r="10" spans="2:9" ht="19.5" customHeight="1">
      <c r="B10" s="296" t="s">
        <v>249</v>
      </c>
      <c r="C10" s="296" t="s">
        <v>29</v>
      </c>
      <c r="D10" s="297">
        <f>VLOOKUP($C10,'Raw - Housing Affordability'!$A:$Q,4,FALSE)</f>
        <v>5.8456299659477864</v>
      </c>
      <c r="E10" s="297">
        <f>VLOOKUP($C10,'Raw - Housing Affordability'!$A:$Q,8,FALSE)</f>
        <v>6.0529198132241886</v>
      </c>
      <c r="F10" s="297">
        <f>VLOOKUP($C10,'Raw - Housing Affordability'!$A:$Q,12,FALSE)</f>
        <v>5.6219638666011678</v>
      </c>
      <c r="G10" s="297">
        <f>VLOOKUP($C10,'Raw - Housing Affordability'!$A:$Q,16,FALSE)</f>
        <v>5.18530647890399</v>
      </c>
      <c r="H10" s="299">
        <f t="shared" si="0"/>
        <v>-0.6603234870437964</v>
      </c>
      <c r="I10" s="301">
        <f t="shared" si="1"/>
        <v>0</v>
      </c>
    </row>
    <row r="11" spans="2:9" ht="19.5" customHeight="1">
      <c r="B11" s="296" t="s">
        <v>249</v>
      </c>
      <c r="C11" s="296" t="s">
        <v>34</v>
      </c>
      <c r="D11" s="297">
        <f>VLOOKUP($C11,'Raw - Housing Affordability'!$A:$Q,4,FALSE)</f>
        <v>7.0729694683484619</v>
      </c>
      <c r="E11" s="297">
        <f>VLOOKUP($C11,'Raw - Housing Affordability'!$A:$Q,8,FALSE)</f>
        <v>7.0298769771528997</v>
      </c>
      <c r="F11" s="297">
        <f>VLOOKUP($C11,'Raw - Housing Affordability'!$A:$Q,12,FALSE)</f>
        <v>6.9520885232605298</v>
      </c>
      <c r="G11" s="297">
        <f>VLOOKUP($C11,'Raw - Housing Affordability'!$A:$Q,16,FALSE)</f>
        <v>7.3576270204507273</v>
      </c>
      <c r="H11" s="299">
        <f t="shared" si="0"/>
        <v>0.2846575521022654</v>
      </c>
      <c r="I11" s="301">
        <f t="shared" si="1"/>
        <v>-2.1723205415467373</v>
      </c>
    </row>
    <row r="12" spans="2:9" ht="19.5" customHeight="1">
      <c r="B12" s="296" t="s">
        <v>249</v>
      </c>
      <c r="C12" s="296" t="s">
        <v>37</v>
      </c>
      <c r="D12" s="297">
        <f>VLOOKUP($C12,'Raw - Housing Affordability'!$A:$Q,4,FALSE)</f>
        <v>6.8946497517926089</v>
      </c>
      <c r="E12" s="297">
        <f>VLOOKUP($C12,'Raw - Housing Affordability'!$A:$Q,8,FALSE)</f>
        <v>7.1922544951590597</v>
      </c>
      <c r="F12" s="297">
        <f>VLOOKUP($C12,'Raw - Housing Affordability'!$A:$Q,12,FALSE)</f>
        <v>7.439652308714428</v>
      </c>
      <c r="G12" s="297">
        <f>VLOOKUP($C12,'Raw - Housing Affordability'!$A:$Q,16,FALSE)</f>
        <v>7.7566161000996567</v>
      </c>
      <c r="H12" s="299">
        <f t="shared" si="0"/>
        <v>0.86196634830704788</v>
      </c>
      <c r="I12" s="301">
        <f t="shared" si="1"/>
        <v>-2.5713096211956668</v>
      </c>
    </row>
    <row r="13" spans="2:9" ht="19.5" customHeight="1">
      <c r="B13" s="296" t="s">
        <v>249</v>
      </c>
      <c r="C13" s="296" t="s">
        <v>41</v>
      </c>
      <c r="D13" s="297">
        <f>VLOOKUP($C13,'Raw - Housing Affordability'!$A:$Q,4,FALSE)</f>
        <v>7.3415970633611742</v>
      </c>
      <c r="E13" s="297">
        <f>VLOOKUP($C13,'Raw - Housing Affordability'!$A:$Q,8,FALSE)</f>
        <v>7.4024622212828914</v>
      </c>
      <c r="F13" s="297">
        <f>VLOOKUP($C13,'Raw - Housing Affordability'!$A:$Q,12,FALSE)</f>
        <v>7.6271645021645025</v>
      </c>
      <c r="G13" s="297">
        <f>VLOOKUP($C13,'Raw - Housing Affordability'!$A:$Q,16,FALSE)</f>
        <v>8.0909606266749119</v>
      </c>
      <c r="H13" s="299">
        <f>SUM(G13-D13)</f>
        <v>0.74936356331373766</v>
      </c>
      <c r="I13" s="301">
        <f>IF(IF(H13="","",IF($I$5="lgbf family group",SUM(G$17-G13),IF($I$5="Glasgow City Region",SUM(G$18-G13),IF($I$5="Scotland",SUM(G$19-G13),IF($I$5="United Kingdom",SUM(G$20-G13),SUM(G$16-G13))))))&gt;0,"",IF(H13="","",IF($I$5="lgbf family group",SUM(G$17-G13),IF($I$5="Glasgow City Region",SUM(G$18-G13),IF($I$5="Scotland",SUM(G$19-G13),IF($I$5="United Kingdom",SUM(G$20-G13),SUM(G$16-G13)))))))</f>
        <v>-2.9056541477709219</v>
      </c>
    </row>
    <row r="14" spans="2:9" ht="19.5" customHeight="1">
      <c r="B14" s="296" t="s">
        <v>249</v>
      </c>
      <c r="C14" s="296" t="s">
        <v>43</v>
      </c>
      <c r="D14" s="297">
        <f>VLOOKUP($C14,'Raw - Housing Affordability'!$A:$Q,4,FALSE)</f>
        <v>6.2450736676165644</v>
      </c>
      <c r="E14" s="297">
        <f>VLOOKUP($C14,'Raw - Housing Affordability'!$A:$Q,8,FALSE)</f>
        <v>6.3802637175669927</v>
      </c>
      <c r="F14" s="297">
        <f>VLOOKUP($C14,'Raw - Housing Affordability'!$A:$Q,12,FALSE)</f>
        <v>6.2655086848635237</v>
      </c>
      <c r="G14" s="297">
        <f>VLOOKUP($C14,'Raw - Housing Affordability'!$A:$Q,16,FALSE)</f>
        <v>6.7942809878293753</v>
      </c>
      <c r="H14" s="299">
        <f t="shared" si="0"/>
        <v>0.54920732021281093</v>
      </c>
      <c r="I14" s="301">
        <f t="shared" si="1"/>
        <v>-1.6089745089253853</v>
      </c>
    </row>
    <row r="15" spans="2:9" ht="19.5" customHeight="1">
      <c r="B15" s="303"/>
      <c r="C15" s="303"/>
      <c r="D15" s="304"/>
      <c r="E15" s="304"/>
      <c r="F15" s="304"/>
      <c r="G15" s="304"/>
      <c r="H15" s="306"/>
      <c r="I15" s="306"/>
    </row>
    <row r="16" spans="2:9" ht="19.5" customHeight="1">
      <c r="B16" s="307" t="s">
        <v>51</v>
      </c>
      <c r="C16" s="296" t="str">
        <f>INDEX('Raw - Housing Affordability'!$A$9:$A$40,MATCH(MIN('Raw - Housing Affordability'!P9:P40),'Raw - Housing Affordability'!P9:P40,0))</f>
        <v>Inverclyde</v>
      </c>
      <c r="D16" s="297">
        <f>VLOOKUP($C16,'Raw - Housing Affordability'!$A:$Q,4,FALSE)</f>
        <v>5.8456299659477864</v>
      </c>
      <c r="E16" s="297">
        <f>VLOOKUP($C16,'Raw - Housing Affordability'!$A:$Q,8,FALSE)</f>
        <v>6.0529198132241886</v>
      </c>
      <c r="F16" s="297">
        <f>VLOOKUP($C16,'Raw - Housing Affordability'!$A:$Q,12,FALSE)</f>
        <v>5.6219638666011678</v>
      </c>
      <c r="G16" s="297">
        <f>VLOOKUP($C16,'Raw - Housing Affordability'!$A:$Q,16,FALSE)</f>
        <v>5.18530647890399</v>
      </c>
      <c r="H16" s="299">
        <f>SUM(G16-D16)</f>
        <v>-0.6603234870437964</v>
      </c>
    </row>
    <row r="17" spans="2:9" ht="19.5" customHeight="1">
      <c r="B17" s="307" t="s">
        <v>541</v>
      </c>
      <c r="C17" s="308" t="s">
        <v>545</v>
      </c>
      <c r="D17" s="297">
        <f>VLOOKUP($C17,'Raw - Housing Affordability'!$A:$Q,4,FALSE)</f>
        <v>7.9825015746587473</v>
      </c>
      <c r="E17" s="297">
        <f>VLOOKUP($C17,'Raw - Housing Affordability'!$A:$Q,8,FALSE)</f>
        <v>8.3422830389786906</v>
      </c>
      <c r="F17" s="297">
        <f>VLOOKUP($C17,'Raw - Housing Affordability'!$A:$Q,12,FALSE)</f>
        <v>8.6103092114776629</v>
      </c>
      <c r="G17" s="297">
        <f>VLOOKUP($C17,'Raw - Housing Affordability'!$A:$Q,16,FALSE)</f>
        <v>8.9952019750573768</v>
      </c>
      <c r="H17" s="299">
        <f>SUM(G17-D17)</f>
        <v>1.0127004003986295</v>
      </c>
    </row>
    <row r="18" spans="2:9" ht="19.5" customHeight="1">
      <c r="B18" s="307" t="s">
        <v>250</v>
      </c>
      <c r="C18" s="296" t="s">
        <v>47</v>
      </c>
      <c r="D18" s="297">
        <f>VLOOKUP($C18,'Raw - Housing Affordability'!$A:$Q,4,FALSE)</f>
        <v>7.7971158627548487</v>
      </c>
      <c r="E18" s="297">
        <f>VLOOKUP($C18,'Raw - Housing Affordability'!$A:$Q,8,FALSE)</f>
        <v>8.1009784787951862</v>
      </c>
      <c r="F18" s="297">
        <f>VLOOKUP($C18,'Raw - Housing Affordability'!$A:$Q,12,FALSE)</f>
        <v>8.1614076886323428</v>
      </c>
      <c r="G18" s="297">
        <f>VLOOKUP($C18,'Raw - Housing Affordability'!$A:$Q,16,FALSE)</f>
        <v>8.5822195534549781</v>
      </c>
      <c r="H18" s="299">
        <f>SUM(G18-D18)</f>
        <v>0.78510369070012942</v>
      </c>
    </row>
    <row r="19" spans="2:9" ht="19.5" customHeight="1">
      <c r="B19" s="307" t="s">
        <v>251</v>
      </c>
      <c r="C19" s="296" t="s">
        <v>45</v>
      </c>
      <c r="D19" s="297">
        <f>VLOOKUP($C19,'Raw - Housing Affordability'!$A:$Q,4,FALSE)</f>
        <v>8.3208073867296548</v>
      </c>
      <c r="E19" s="297">
        <f>VLOOKUP($C19,'Raw - Housing Affordability'!$A:$Q,8,FALSE)</f>
        <v>8.3976984085843132</v>
      </c>
      <c r="F19" s="297">
        <f>VLOOKUP($C19,'Raw - Housing Affordability'!$A:$Q,12,FALSE)</f>
        <v>8.9187920513221712</v>
      </c>
      <c r="G19" s="297">
        <f>VLOOKUP($C19,'Raw - Housing Affordability'!$A:$Q,16,FALSE)</f>
        <v>9.169638308711157</v>
      </c>
      <c r="H19" s="299">
        <f>SUM(G19-D19)</f>
        <v>0.84883092198150223</v>
      </c>
    </row>
    <row r="20" spans="2:9" ht="19.5" customHeight="1">
      <c r="B20" s="307" t="s">
        <v>251</v>
      </c>
      <c r="C20" s="296" t="s">
        <v>46</v>
      </c>
      <c r="D20" s="297" t="s">
        <v>69</v>
      </c>
      <c r="E20" s="297" t="s">
        <v>69</v>
      </c>
      <c r="F20" s="297" t="s">
        <v>69</v>
      </c>
      <c r="G20" s="297" t="s">
        <v>69</v>
      </c>
      <c r="H20" s="299" t="s">
        <v>69</v>
      </c>
    </row>
    <row r="21" spans="2:9" ht="19.5" customHeight="1">
      <c r="C21" s="309"/>
      <c r="D21" s="310"/>
      <c r="E21" s="310"/>
      <c r="F21" s="310"/>
      <c r="G21" s="310"/>
      <c r="H21" s="310"/>
      <c r="I21" s="310"/>
    </row>
    <row r="22" spans="2:9">
      <c r="D22" s="311"/>
      <c r="E22" s="311"/>
      <c r="F22" s="312" t="str">
        <f>CONCATENATE(G22,H22)</f>
        <v>% Point Change Required to match Geographic Area - Top Performing Scottish Local Authority</v>
      </c>
      <c r="G22" s="312" t="s">
        <v>538</v>
      </c>
      <c r="H22" s="312" t="str">
        <f>I5</f>
        <v>Top Performing Scottish Local Authority</v>
      </c>
    </row>
    <row r="23" spans="2:9">
      <c r="B23" s="313" t="s">
        <v>467</v>
      </c>
    </row>
    <row r="24" spans="2:9">
      <c r="H24" s="314"/>
      <c r="I24" s="314"/>
    </row>
  </sheetData>
  <sheetProtection algorithmName="SHA-512" hashValue="pEn//TPNV1CNU7xV0KGbyAzQVqws92/v6AMJYmPV+zJIg16GphJxNLDjHsMuWOekcg8epV1a0mlTjJdwud9C3g==" saltValue="5LsARB88MhgoO0ahoJnBsw==" spinCount="100000" sheet="1" objects="1" scenarios="1"/>
  <autoFilter ref="C6:I14" xr:uid="{00000000-0009-0000-0000-000028000000}"/>
  <mergeCells count="1">
    <mergeCell ref="H2:I2"/>
  </mergeCells>
  <dataValidations disablePrompts="1" count="1">
    <dataValidation type="list" allowBlank="1" showInputMessage="1" showErrorMessage="1" sqref="C17" xr:uid="{00000000-0002-0000-2800-000000000000}">
      <formula1>IF(B17="LGBF Family Group 1",LGBF_1,IF(B17="LGBF Family Group 3",LGBF_3,IF(B17="LGBF Family Group 4",LGBF_4,LGBF_2)))</formula1>
    </dataValidation>
  </dataValidations>
  <hyperlinks>
    <hyperlink ref="C3" r:id="rId1" xr:uid="{00000000-0004-0000-2800-000000000000}"/>
    <hyperlink ref="H2:I2" location="'Index RAG'!A1" display="Return to Index RAG" xr:uid="{00000000-0004-0000-2800-000004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800-000001000000}">
          <x14:formula1>
            <xm:f>Lookups!$L$8:$O$8</xm:f>
          </x14:formula1>
          <xm:sqref>B17</xm:sqref>
        </x14:dataValidation>
        <x14:dataValidation type="list" allowBlank="1" showInputMessage="1" showErrorMessage="1" xr:uid="{00000000-0002-0000-2800-000002000000}">
          <x14:formula1>
            <xm:f>Lookups!$B$9:$B$12</xm:f>
          </x14:formula1>
          <xm:sqref>I5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B2:I25"/>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8" width="14" style="251" customWidth="1"/>
    <col min="9" max="9" width="23.1796875" style="251" customWidth="1"/>
    <col min="10" max="16384" width="9.1796875" style="251"/>
  </cols>
  <sheetData>
    <row r="2" spans="2:9" ht="13">
      <c r="B2" s="286" t="s">
        <v>48</v>
      </c>
      <c r="C2" s="287" t="s">
        <v>277</v>
      </c>
      <c r="F2" s="595" t="s">
        <v>507</v>
      </c>
      <c r="G2" s="596"/>
    </row>
    <row r="3" spans="2:9" ht="13">
      <c r="B3" s="286" t="s">
        <v>49</v>
      </c>
      <c r="C3" s="288" t="s">
        <v>278</v>
      </c>
    </row>
    <row r="4" spans="2:9" ht="13">
      <c r="B4" s="287"/>
      <c r="C4" s="289" t="s">
        <v>478</v>
      </c>
      <c r="D4" s="290"/>
      <c r="I4" s="323" t="s">
        <v>52</v>
      </c>
    </row>
    <row r="5" spans="2:9" ht="22" customHeight="1">
      <c r="C5" s="291"/>
      <c r="D5" s="292"/>
      <c r="E5" s="292"/>
      <c r="F5" s="292"/>
      <c r="G5" s="292"/>
      <c r="H5" s="317" t="s">
        <v>50</v>
      </c>
      <c r="I5" s="324" t="s">
        <v>51</v>
      </c>
    </row>
    <row r="6" spans="2:9" ht="26.15" customHeight="1">
      <c r="B6" s="293" t="s">
        <v>271</v>
      </c>
      <c r="C6" s="293" t="s">
        <v>5</v>
      </c>
      <c r="D6" s="294" t="s">
        <v>579</v>
      </c>
      <c r="E6" s="294" t="s">
        <v>603</v>
      </c>
      <c r="F6" s="294" t="s">
        <v>710</v>
      </c>
      <c r="G6" s="294" t="s">
        <v>796</v>
      </c>
      <c r="H6" s="295" t="s">
        <v>53</v>
      </c>
      <c r="I6" s="295" t="s">
        <v>56</v>
      </c>
    </row>
    <row r="7" spans="2:9" ht="19.5" customHeight="1">
      <c r="B7" s="296" t="s">
        <v>249</v>
      </c>
      <c r="C7" s="296" t="s">
        <v>22</v>
      </c>
      <c r="D7" s="297">
        <f>VLOOKUP($C7,'Raw - SME Procurement'!$A:$P,2,FALSE)</f>
        <v>18.270622700000001</v>
      </c>
      <c r="E7" s="297">
        <f>VLOOKUP($C7,'Raw - SME Procurement'!$A:$P,3,FALSE)</f>
        <v>12.2332637</v>
      </c>
      <c r="F7" s="297">
        <f>VLOOKUP($C7,'Raw - SME Procurement'!$A:$P,4,FALSE)</f>
        <v>12.19</v>
      </c>
      <c r="G7" s="297">
        <f>VLOOKUP($C7,'Raw - SME Procurement'!$A:$P,5,FALSE)</f>
        <v>12.1828387867206</v>
      </c>
      <c r="H7" s="299">
        <f>SUM(G7-D7)</f>
        <v>-6.0877839132794005</v>
      </c>
      <c r="I7" s="301">
        <f t="shared" ref="I7:I14" si="0">IF(IF($I$5="lgbf family group",SUM(G$18-G7),IF($I$5="Glasgow City Region",SUM(G$19-G7),IF($I$5="Scotland",SUM(G$20-G7),IF($I$5="United Kingdom",SUM(G$21-G7),SUM(G$17-G7)))))&lt;0,"",IF($I$5="lgbf family group",SUM(G$18-G7),IF($I$5="Glasgow City Region",SUM(G$19-G7),IF($I$5="Scotland",SUM(G$20-G7),IF($I$5="United Kingdom",SUM(G$21-G7),SUM(G$17-G7))))))</f>
        <v>36.904949220969698</v>
      </c>
    </row>
    <row r="8" spans="2:9" ht="19.5" customHeight="1">
      <c r="B8" s="296" t="s">
        <v>249</v>
      </c>
      <c r="C8" s="296" t="s">
        <v>24</v>
      </c>
      <c r="D8" s="297">
        <f>VLOOKUP($C8,'Raw - SME Procurement'!$A:$P,2,FALSE)</f>
        <v>9.6146000999999988</v>
      </c>
      <c r="E8" s="297">
        <f>VLOOKUP($C8,'Raw - SME Procurement'!$A:$P,3,FALSE)</f>
        <v>11.2555549</v>
      </c>
      <c r="F8" s="297">
        <f>VLOOKUP($C8,'Raw - SME Procurement'!$A:$P,4,FALSE)</f>
        <v>13.719999999999999</v>
      </c>
      <c r="G8" s="297">
        <f>VLOOKUP($C8,'Raw - SME Procurement'!$A:$P,5,FALSE)</f>
        <v>11.906399350746199</v>
      </c>
      <c r="H8" s="299">
        <f t="shared" ref="H8:H20" si="1">SUM(G8-D8)</f>
        <v>2.2917992507461999</v>
      </c>
      <c r="I8" s="301">
        <f t="shared" si="0"/>
        <v>37.181388656944101</v>
      </c>
    </row>
    <row r="9" spans="2:9" ht="19.5" customHeight="1">
      <c r="B9" s="296" t="s">
        <v>249</v>
      </c>
      <c r="C9" s="296" t="s">
        <v>27</v>
      </c>
      <c r="D9" s="297">
        <f>VLOOKUP($C9,'Raw - SME Procurement'!$A:$P,2,FALSE)</f>
        <v>33.250495100000002</v>
      </c>
      <c r="E9" s="297">
        <f>VLOOKUP($C9,'Raw - SME Procurement'!$A:$P,3,FALSE)</f>
        <v>35.937619399999996</v>
      </c>
      <c r="F9" s="297">
        <f>VLOOKUP($C9,'Raw - SME Procurement'!$A:$P,4,FALSE)</f>
        <v>37.059999999999995</v>
      </c>
      <c r="G9" s="297">
        <f>VLOOKUP($C9,'Raw - SME Procurement'!$A:$P,5,FALSE)</f>
        <v>36.7532025012733</v>
      </c>
      <c r="H9" s="299">
        <f t="shared" si="1"/>
        <v>3.5027074012732982</v>
      </c>
      <c r="I9" s="301">
        <f t="shared" si="0"/>
        <v>12.334585506417</v>
      </c>
    </row>
    <row r="10" spans="2:9" ht="19.5" customHeight="1">
      <c r="B10" s="296" t="s">
        <v>249</v>
      </c>
      <c r="C10" s="296" t="s">
        <v>29</v>
      </c>
      <c r="D10" s="297">
        <f>VLOOKUP($C10,'Raw - SME Procurement'!$A:$P,2,FALSE)</f>
        <v>27.491274199999999</v>
      </c>
      <c r="E10" s="297">
        <f>VLOOKUP($C10,'Raw - SME Procurement'!$A:$P,3,FALSE)</f>
        <v>25.038154000000002</v>
      </c>
      <c r="F10" s="297">
        <f>VLOOKUP($C10,'Raw - SME Procurement'!$A:$P,4,FALSE)</f>
        <v>21.44</v>
      </c>
      <c r="G10" s="297">
        <f>VLOOKUP($C10,'Raw - SME Procurement'!$A:$P,5,FALSE)</f>
        <v>24.001207465267697</v>
      </c>
      <c r="H10" s="299">
        <f t="shared" si="1"/>
        <v>-3.4900667347323022</v>
      </c>
      <c r="I10" s="301">
        <f t="shared" si="0"/>
        <v>25.086580542422602</v>
      </c>
    </row>
    <row r="11" spans="2:9" ht="19.5" customHeight="1">
      <c r="B11" s="296" t="s">
        <v>249</v>
      </c>
      <c r="C11" s="296" t="s">
        <v>34</v>
      </c>
      <c r="D11" s="297">
        <f>VLOOKUP($C11,'Raw - SME Procurement'!$A:$P,2,FALSE)</f>
        <v>28.262777400000001</v>
      </c>
      <c r="E11" s="297">
        <f>VLOOKUP($C11,'Raw - SME Procurement'!$A:$P,3,FALSE)</f>
        <v>26.160042000000001</v>
      </c>
      <c r="F11" s="297">
        <f>VLOOKUP($C11,'Raw - SME Procurement'!$A:$P,4,FALSE)</f>
        <v>25.36</v>
      </c>
      <c r="G11" s="297">
        <f>VLOOKUP($C11,'Raw - SME Procurement'!$A:$P,5,FALSE)</f>
        <v>27.806623267733499</v>
      </c>
      <c r="H11" s="299">
        <f t="shared" si="1"/>
        <v>-0.45615413226650148</v>
      </c>
      <c r="I11" s="301">
        <f t="shared" si="0"/>
        <v>21.2811647399568</v>
      </c>
    </row>
    <row r="12" spans="2:9" ht="19.5" customHeight="1">
      <c r="B12" s="296" t="s">
        <v>249</v>
      </c>
      <c r="C12" s="296" t="s">
        <v>37</v>
      </c>
      <c r="D12" s="297">
        <f>VLOOKUP($C12,'Raw - SME Procurement'!$A:$P,2,FALSE)</f>
        <v>22.1645985</v>
      </c>
      <c r="E12" s="297">
        <f>VLOOKUP($C12,'Raw - SME Procurement'!$A:$P,3,FALSE)</f>
        <v>19.298495800000001</v>
      </c>
      <c r="F12" s="297">
        <f>VLOOKUP($C12,'Raw - SME Procurement'!$A:$P,4,FALSE)</f>
        <v>18.87</v>
      </c>
      <c r="G12" s="297">
        <f>VLOOKUP($C12,'Raw - SME Procurement'!$A:$P,5,FALSE)</f>
        <v>19.345868070227802</v>
      </c>
      <c r="H12" s="299">
        <f t="shared" si="1"/>
        <v>-2.8187304297721987</v>
      </c>
      <c r="I12" s="301">
        <f t="shared" si="0"/>
        <v>29.741919937462498</v>
      </c>
    </row>
    <row r="13" spans="2:9" ht="19.5" customHeight="1">
      <c r="B13" s="296" t="s">
        <v>249</v>
      </c>
      <c r="C13" s="296" t="s">
        <v>41</v>
      </c>
      <c r="D13" s="297">
        <f>VLOOKUP($C13,'Raw - SME Procurement'!$A:$P,2,FALSE)</f>
        <v>18.019161499999999</v>
      </c>
      <c r="E13" s="297">
        <f>VLOOKUP($C13,'Raw - SME Procurement'!$A:$P,3,FALSE)</f>
        <v>16.987863699999998</v>
      </c>
      <c r="F13" s="297">
        <f>VLOOKUP($C13,'Raw - SME Procurement'!$A:$P,4,FALSE)</f>
        <v>18.21</v>
      </c>
      <c r="G13" s="297">
        <f>VLOOKUP($C13,'Raw - SME Procurement'!$A:$P,5,FALSE)</f>
        <v>18.114430572975802</v>
      </c>
      <c r="H13" s="299">
        <f t="shared" si="1"/>
        <v>9.5269072975803226E-2</v>
      </c>
      <c r="I13" s="301">
        <f t="shared" si="0"/>
        <v>30.973357434714497</v>
      </c>
    </row>
    <row r="14" spans="2:9" ht="19.5" customHeight="1">
      <c r="B14" s="296" t="s">
        <v>249</v>
      </c>
      <c r="C14" s="296" t="s">
        <v>43</v>
      </c>
      <c r="D14" s="297">
        <f>VLOOKUP($C14,'Raw - SME Procurement'!$A:$P,2,FALSE)</f>
        <v>8.232311000000001</v>
      </c>
      <c r="E14" s="297">
        <f>VLOOKUP($C14,'Raw - SME Procurement'!$A:$P,3,FALSE)</f>
        <v>9.4760051999999995</v>
      </c>
      <c r="F14" s="297">
        <f>VLOOKUP($C14,'Raw - SME Procurement'!$A:$P,4,FALSE)</f>
        <v>12.67</v>
      </c>
      <c r="G14" s="297">
        <f>VLOOKUP($C14,'Raw - SME Procurement'!$A:$P,5,FALSE)</f>
        <v>16.704052091068601</v>
      </c>
      <c r="H14" s="299">
        <f t="shared" si="1"/>
        <v>8.4717410910685995</v>
      </c>
      <c r="I14" s="301">
        <f t="shared" si="0"/>
        <v>32.383735916621703</v>
      </c>
    </row>
    <row r="15" spans="2:9" ht="19.5" customHeight="1">
      <c r="B15" s="303"/>
      <c r="C15" s="303"/>
      <c r="D15" s="304"/>
      <c r="E15" s="304"/>
      <c r="F15" s="304"/>
      <c r="G15" s="304"/>
      <c r="H15" s="306"/>
      <c r="I15" s="306"/>
    </row>
    <row r="16" spans="2:9" ht="19.5" customHeight="1">
      <c r="B16" s="303"/>
      <c r="C16" s="303"/>
      <c r="D16" s="304"/>
      <c r="E16" s="304"/>
      <c r="F16" s="304"/>
      <c r="G16" s="304"/>
      <c r="H16" s="306"/>
      <c r="I16" s="306"/>
    </row>
    <row r="17" spans="2:9" ht="19.5" customHeight="1">
      <c r="B17" s="307" t="s">
        <v>51</v>
      </c>
      <c r="C17" s="296" t="str">
        <f>INDEX('Raw - SME Procurement'!A9:A40,MATCH(MAX('Raw - SME Procurement'!E9:E40),'Raw - SME Procurement'!E9:E40,0))</f>
        <v>Highland</v>
      </c>
      <c r="D17" s="297">
        <f>VLOOKUP($C17,'Raw - SME Procurement'!$A:$P,2,FALSE)</f>
        <v>47.2623897</v>
      </c>
      <c r="E17" s="297">
        <f>VLOOKUP($C17,'Raw - SME Procurement'!$A:$P,3,FALSE)</f>
        <v>46.994190000000003</v>
      </c>
      <c r="F17" s="297">
        <f>VLOOKUP($C17,'Raw - SME Procurement'!$A:$P,4,FALSE)</f>
        <v>49.76</v>
      </c>
      <c r="G17" s="297">
        <f>VLOOKUP($C17,'Raw - SME Procurement'!$A:$P,5,FALSE)</f>
        <v>49.0877880076903</v>
      </c>
      <c r="H17" s="299">
        <f t="shared" si="1"/>
        <v>1.8253983076902998</v>
      </c>
    </row>
    <row r="18" spans="2:9" ht="19.5" customHeight="1">
      <c r="B18" s="307" t="s">
        <v>542</v>
      </c>
      <c r="C18" s="308" t="s">
        <v>546</v>
      </c>
      <c r="D18" s="297">
        <f>VLOOKUP($C18,'Raw - SME Procurement'!$A:$P,2,FALSE)</f>
        <v>28.358927466666671</v>
      </c>
      <c r="E18" s="297">
        <f>VLOOKUP($C18,'Raw - SME Procurement'!$A:$P,3,FALSE)</f>
        <v>28.971422966666665</v>
      </c>
      <c r="F18" s="297">
        <f>VLOOKUP($C18,'Raw - SME Procurement'!$A:$P,4,FALSE)</f>
        <v>27.305000000000003</v>
      </c>
      <c r="G18" s="297">
        <f>VLOOKUP($C18,'Raw - SME Procurement'!$A:$P,5,FALSE)</f>
        <v>27.820785218706863</v>
      </c>
      <c r="H18" s="299">
        <f>SUM(G18-D18)</f>
        <v>-0.53814224795980792</v>
      </c>
    </row>
    <row r="19" spans="2:9" ht="19.5" customHeight="1">
      <c r="B19" s="307" t="s">
        <v>250</v>
      </c>
      <c r="C19" s="296" t="s">
        <v>47</v>
      </c>
      <c r="D19" s="297">
        <f>VLOOKUP($C19,'Raw - SME Procurement'!$A:$P,2,FALSE)</f>
        <v>20.663230062499998</v>
      </c>
      <c r="E19" s="297">
        <f>VLOOKUP($C19,'Raw - SME Procurement'!$A:$P,3,FALSE)</f>
        <v>19.548374837499999</v>
      </c>
      <c r="F19" s="297">
        <f>VLOOKUP($C19,'Raw - SME Procurement'!$A:$P,4,FALSE)</f>
        <v>19.939999999999998</v>
      </c>
      <c r="G19" s="297">
        <f>VLOOKUP($C19,'Raw - SME Procurement'!$A:$P,5,FALSE)</f>
        <v>20.851827763251688</v>
      </c>
      <c r="H19" s="299">
        <f t="shared" si="1"/>
        <v>0.18859770075168925</v>
      </c>
    </row>
    <row r="20" spans="2:9" ht="19.5" customHeight="1">
      <c r="B20" s="307" t="s">
        <v>251</v>
      </c>
      <c r="C20" s="296" t="s">
        <v>45</v>
      </c>
      <c r="D20" s="297">
        <f>VLOOKUP($C20,'Raw - SME Procurement'!$A:$P,2,FALSE)</f>
        <v>28.513663700000002</v>
      </c>
      <c r="E20" s="297">
        <f>VLOOKUP($C20,'Raw - SME Procurement'!$A:$P,3,FALSE)</f>
        <v>29.113043999999999</v>
      </c>
      <c r="F20" s="297">
        <f>VLOOKUP($C20,'Raw - SME Procurement'!$A:$P,4,FALSE)</f>
        <v>29.880000000000003</v>
      </c>
      <c r="G20" s="297">
        <f>VLOOKUP($C20,'Raw - SME Procurement'!$A:$P,5,FALSE)</f>
        <v>29.619142281546303</v>
      </c>
      <c r="H20" s="299">
        <f t="shared" si="1"/>
        <v>1.1054785815463006</v>
      </c>
    </row>
    <row r="21" spans="2:9" ht="19.5" customHeight="1">
      <c r="B21" s="307" t="s">
        <v>251</v>
      </c>
      <c r="C21" s="296" t="s">
        <v>46</v>
      </c>
      <c r="D21" s="297" t="s">
        <v>69</v>
      </c>
      <c r="E21" s="297" t="s">
        <v>69</v>
      </c>
      <c r="F21" s="297" t="s">
        <v>69</v>
      </c>
      <c r="G21" s="297" t="s">
        <v>69</v>
      </c>
      <c r="H21" s="299" t="s">
        <v>69</v>
      </c>
    </row>
    <row r="22" spans="2:9" ht="19.5" customHeight="1">
      <c r="C22" s="309"/>
      <c r="D22" s="310"/>
      <c r="E22" s="310"/>
      <c r="F22" s="310"/>
      <c r="G22" s="310"/>
      <c r="H22" s="310"/>
      <c r="I22" s="310"/>
    </row>
    <row r="23" spans="2:9">
      <c r="D23" s="311"/>
      <c r="E23" s="311"/>
      <c r="F23" s="312" t="str">
        <f>CONCATENATE(G23,H23)</f>
        <v>% Point Change Required to match Geographic Area - Top Performing Scottish Local Authority</v>
      </c>
      <c r="G23" s="312" t="s">
        <v>538</v>
      </c>
      <c r="H23" s="312" t="str">
        <f>I5</f>
        <v>Top Performing Scottish Local Authority</v>
      </c>
    </row>
    <row r="24" spans="2:9">
      <c r="B24" s="313" t="s">
        <v>467</v>
      </c>
    </row>
    <row r="25" spans="2:9">
      <c r="H25" s="314"/>
      <c r="I25" s="314"/>
    </row>
  </sheetData>
  <sheetProtection algorithmName="SHA-512" hashValue="KT0nMwcqUu/BKuz/teHo78y+ZuIYzDyeJMlEw5JhPVZaPecG6hnfHc1i5q89iBYWBC5rpMFWODxstNIHgpZW5g==" saltValue="9X/HWTaRfbFzoVC1ZbvNXg==" spinCount="100000" sheet="1" objects="1" scenarios="1"/>
  <autoFilter ref="C6:I14" xr:uid="{00000000-0009-0000-0000-000029000000}"/>
  <mergeCells count="1">
    <mergeCell ref="F2:G2"/>
  </mergeCells>
  <dataValidations count="1">
    <dataValidation type="list" allowBlank="1" showInputMessage="1" showErrorMessage="1" sqref="C18" xr:uid="{00000000-0002-0000-2900-000000000000}">
      <formula1>IF(B18="LGBF Family Group 1",LGBF_5,IF(B18="LGBF Family Group 3",LGBF_7,IF(B18="LGBF Family Group 4",LGBF_8,LGBF_6)))</formula1>
    </dataValidation>
  </dataValidations>
  <hyperlinks>
    <hyperlink ref="C3" r:id="rId1" xr:uid="{00000000-0004-0000-2900-000000000000}"/>
    <hyperlink ref="F2:G2" location="'Index RAG'!A1" display="Return to Index RAG" xr:uid="{00000000-0004-0000-29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Lookups!$L$8:$O$8</xm:f>
          </x14:formula1>
          <xm:sqref>B18</xm:sqref>
        </x14:dataValidation>
        <x14:dataValidation type="list" allowBlank="1" showInputMessage="1" showErrorMessage="1" xr:uid="{753DC11F-F76C-4DB1-A854-1E14B6B417DC}">
          <x14:formula1>
            <xm:f>Lookups!$B$9:$B$12</xm:f>
          </x14:formula1>
          <xm:sqref>I5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B2:K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6" width="14" style="251" customWidth="1" collapsed="1"/>
    <col min="7" max="11" width="14" style="251" customWidth="1"/>
    <col min="12" max="16384" width="9.1796875" style="251"/>
  </cols>
  <sheetData>
    <row r="2" spans="2:11" ht="13">
      <c r="B2" s="286" t="s">
        <v>48</v>
      </c>
      <c r="C2" s="287" t="s">
        <v>245</v>
      </c>
      <c r="F2" s="595" t="s">
        <v>507</v>
      </c>
      <c r="G2" s="596"/>
    </row>
    <row r="3" spans="2:11" ht="14.5">
      <c r="B3" s="286" t="s">
        <v>49</v>
      </c>
      <c r="C3" s="439" t="s">
        <v>246</v>
      </c>
    </row>
    <row r="4" spans="2:11" ht="13">
      <c r="B4" s="287"/>
      <c r="C4" s="289" t="s">
        <v>478</v>
      </c>
      <c r="D4" s="290"/>
      <c r="J4" s="591" t="s">
        <v>52</v>
      </c>
      <c r="K4" s="591"/>
    </row>
    <row r="5" spans="2:11" ht="22" customHeight="1">
      <c r="C5" s="291"/>
      <c r="D5" s="292"/>
      <c r="E5" s="292"/>
      <c r="F5" s="292"/>
      <c r="G5" s="292"/>
      <c r="H5" s="592" t="s">
        <v>50</v>
      </c>
      <c r="I5" s="593"/>
      <c r="J5" s="594" t="s">
        <v>51</v>
      </c>
      <c r="K5" s="594"/>
    </row>
    <row r="6" spans="2:11" ht="26.15" customHeight="1">
      <c r="B6" s="293" t="s">
        <v>271</v>
      </c>
      <c r="C6" s="293" t="s">
        <v>5</v>
      </c>
      <c r="D6" s="294">
        <v>2015</v>
      </c>
      <c r="E6" s="294">
        <v>2017</v>
      </c>
      <c r="F6" s="294">
        <v>2019</v>
      </c>
      <c r="G6" s="294">
        <v>2021</v>
      </c>
      <c r="H6" s="295" t="s">
        <v>53</v>
      </c>
      <c r="I6" s="295" t="s">
        <v>54</v>
      </c>
      <c r="J6" s="295" t="s">
        <v>56</v>
      </c>
      <c r="K6" s="295" t="s">
        <v>57</v>
      </c>
    </row>
    <row r="7" spans="2:11" ht="19.5" customHeight="1">
      <c r="B7" s="296" t="s">
        <v>249</v>
      </c>
      <c r="C7" s="296" t="s">
        <v>22</v>
      </c>
      <c r="D7" s="297">
        <f>VLOOKUP($C7,'Raw - Social Enterprises'!$A:$Q,4,FALSE)</f>
        <v>4.7681376215407631</v>
      </c>
      <c r="E7" s="297">
        <f>VLOOKUP($C7,'Raw - Social Enterprises'!$A:$Q,8,FALSE)</f>
        <v>4.8090261722001291</v>
      </c>
      <c r="F7" s="297">
        <f>VLOOKUP($C7,'Raw - Social Enterprises'!$A:$Q,12,FALSE)</f>
        <v>5.5228276877761413</v>
      </c>
      <c r="G7" s="297">
        <f>VLOOKUP(C7,'Raw - Social Enterprises'!A:Q,16,FALSE)</f>
        <v>5.0505050505050502</v>
      </c>
      <c r="H7" s="299">
        <f>SUM(G7-E7)</f>
        <v>0.2414788783049211</v>
      </c>
      <c r="I7" s="300">
        <f>SUM(VLOOKUP(C7,'Raw - Social Enterprises'!A:Q,14,FALSE)-VLOOKUP(C7,'Raw - Social Enterprises'!A:Q,2,FALSE))</f>
        <v>4</v>
      </c>
      <c r="J7" s="301">
        <f>IF(IF($J$5="lgbf family group",SUM(G$17-G7),IF($J$5="Glasgow City Region",SUM(G$18-G7),IF($J$5="Scotland",SUM(G$19-G7),IF($J$5="United Kingdom",SUM(G$20-G7),SUM(G$16-G7)))))&lt;0,"",IF($J$5="lgbf family group",SUM(G$17-G7),IF($J$5="Glasgow City Region",SUM(G$18-G7),IF($J$5="Scotland",SUM(G$19-G7),IF($J$5="United Kingdom",SUM(G$20-G7),SUM(G$16-G7))))))</f>
        <v>41.592912560654497</v>
      </c>
      <c r="K7" s="302">
        <f>IF(J7="","",IF($J$5="lgbf family group",SUM(MROUND(SUM(SUM(VLOOKUP(C$17,'Raw - Social Enterprises'!A:Q,16,FALSE)*VLOOKUP(C7,'Raw - Social Enterprises'!A:Q,15,FALSE))),100)-MROUND(SUM(SUM(VLOOKUP(C7,'Raw - Social Enterprises'!A:Q,16,FALSE)*VLOOKUP(C7,'Raw - Social Enterprises'!A:Q,15,FALSE))),100)),IF($J$5="Glasgow City Region",SUM(MROUND(SUM(SUM(VLOOKUP(C$18,'Raw - Social Enterprises'!A:Q,16,FALSE)*VLOOKUP(C7,'Raw - Social Enterprises'!A:Q,15,FALSE))),100)-MROUND(SUM(SUM(VLOOKUP(C7,'Raw - Social Enterprises'!A:Q,16,FALSE)*VLOOKUP(C7,'Raw - Social Enterprises'!A:Q,15,FALSE))),100)),IF($J$5="Scotland",SUM(MROUND(SUM(SUM(VLOOKUP(C$19,'Raw - Social Enterprises'!A:Q,16,FALSE)*VLOOKUP(C7,'Raw - Social Enterprises'!A:Q,15,FALSE))),100)-MROUND(SUM(SUM(VLOOKUP(C7,'Raw - Social Enterprises'!A:Q,16,FALSE)*VLOOKUP(C7,'Raw - Social Enterprises'!A:Q,15,FALSE))),100)),IF($J$5="United Kingdom",SUM(MROUND(SUM(SUM(VLOOKUP(C$20,'Raw - Social Enterprises'!A:Q,16,FALSE)*VLOOKUP(C7,'Raw - Social Enterprises'!A:Q,15,FALSE))),100)-MROUND(SUM(SUM(VLOOKUP(C7,'Raw - Social Enterprises'!A:Q,16,FALSE)*VLOOKUP(C7,'Raw - Social Enterprises'!A:Q,15,FALSE))),100)),SUM(MROUND(SUM(SUM(VLOOKUP(C$16,'Raw - Social Enterprises'!A:Q,16,FALSE)*VLOOKUP(C7,'Raw - Social Enterprises'!A:Q,15,FALSE))),100)-MROUND(SUM(SUM(VLOOKUP(C7,'Raw - Social Enterprises'!A:Q,16,FALSE)*VLOOKUP(C7,'Raw - Social Enterprises'!A:Q,15,FALSE))),100)))))))</f>
        <v>400</v>
      </c>
    </row>
    <row r="8" spans="2:11" ht="19.5" customHeight="1">
      <c r="B8" s="296" t="s">
        <v>249</v>
      </c>
      <c r="C8" s="296" t="s">
        <v>24</v>
      </c>
      <c r="D8" s="297">
        <f>VLOOKUP($C8,'Raw - Social Enterprises'!$A:$Q,4,FALSE)</f>
        <v>4.4114482461803313</v>
      </c>
      <c r="E8" s="297">
        <f>VLOOKUP($C8,'Raw - Social Enterprises'!$A:$Q,8,FALSE)</f>
        <v>4.4322498944702398</v>
      </c>
      <c r="F8" s="297">
        <f>VLOOKUP($C8,'Raw - Social Enterprises'!$A:$Q,12,FALSE)</f>
        <v>5.5479953941170308</v>
      </c>
      <c r="G8" s="297">
        <f>VLOOKUP(C8,'Raw - Social Enterprises'!A:Q,16,FALSE)</f>
        <v>5.6947608200455582</v>
      </c>
      <c r="H8" s="299">
        <f>SUM(G8-E8)</f>
        <v>1.2625109255753184</v>
      </c>
      <c r="I8" s="300">
        <f>SUM(VLOOKUP(C8,'Raw - Social Enterprises'!A:Q,14,FALSE)-VLOOKUP(C8,'Raw - Social Enterprises'!A:Q,2,FALSE))</f>
        <v>14</v>
      </c>
      <c r="J8" s="301">
        <f t="shared" ref="J8:J14" si="0">IF(IF($J$5="lgbf family group",SUM(G$17-G8),IF($J$5="Glasgow City Region",SUM(G$18-G8),IF($J$5="Scotland",SUM(G$19-G8),IF($J$5="United Kingdom",SUM(G$20-G8),SUM(G$16-G8)))))&lt;0,"",IF($J$5="lgbf family group",SUM(G$17-G8),IF($J$5="Glasgow City Region",SUM(G$18-G8),IF($J$5="Scotland",SUM(G$19-G8),IF($J$5="United Kingdom",SUM(G$20-G8),SUM(G$16-G8))))))</f>
        <v>40.94865679111399</v>
      </c>
      <c r="K8" s="302">
        <f>IF(J8="","",IF($J$5="lgbf family group",SUM(MROUND(SUM(SUM(VLOOKUP(C$17,'Raw - Social Enterprises'!A:Q,16,FALSE)*VLOOKUP(C8,'Raw - Social Enterprises'!A:Q,15,FALSE))),100)-MROUND(SUM(SUM(VLOOKUP(C8,'Raw - Social Enterprises'!A:Q,16,FALSE)*VLOOKUP(C8,'Raw - Social Enterprises'!A:Q,15,FALSE))),100)),IF($J$5="Glasgow City Region",SUM(MROUND(SUM(SUM(VLOOKUP(C$18,'Raw - Social Enterprises'!A:Q,16,FALSE)*VLOOKUP(C8,'Raw - Social Enterprises'!A:Q,15,FALSE))),100)-MROUND(SUM(SUM(VLOOKUP(C8,'Raw - Social Enterprises'!A:Q,16,FALSE)*VLOOKUP(C8,'Raw - Social Enterprises'!A:Q,15,FALSE))),100)),IF($J$5="Scotland",SUM(MROUND(SUM(SUM(VLOOKUP(C$19,'Raw - Social Enterprises'!A:Q,16,FALSE)*VLOOKUP(C8,'Raw - Social Enterprises'!A:Q,15,FALSE))),100)-MROUND(SUM(SUM(VLOOKUP(C8,'Raw - Social Enterprises'!A:Q,16,FALSE)*VLOOKUP(C8,'Raw - Social Enterprises'!A:Q,15,FALSE))),100)),IF($J$5="United Kingdom",SUM(MROUND(SUM(SUM(VLOOKUP(C$20,'Raw - Social Enterprises'!A:Q,16,FALSE)*VLOOKUP(C8,'Raw - Social Enterprises'!A:Q,15,FALSE))),100)-MROUND(SUM(SUM(VLOOKUP(C8,'Raw - Social Enterprises'!A:Q,16,FALSE)*VLOOKUP(C8,'Raw - Social Enterprises'!A:Q,15,FALSE))),100)),SUM(MROUND(SUM(SUM(VLOOKUP(C$16,'Raw - Social Enterprises'!A:Q,16,FALSE)*VLOOKUP(C8,'Raw - Social Enterprises'!A:Q,15,FALSE))),100)-MROUND(SUM(SUM(VLOOKUP(C8,'Raw - Social Enterprises'!A:Q,16,FALSE)*VLOOKUP(C8,'Raw - Social Enterprises'!A:Q,15,FALSE))),100)))))))</f>
        <v>400</v>
      </c>
    </row>
    <row r="9" spans="2:11" ht="19.5" customHeight="1">
      <c r="B9" s="296" t="s">
        <v>249</v>
      </c>
      <c r="C9" s="296" t="s">
        <v>27</v>
      </c>
      <c r="D9" s="297">
        <f>VLOOKUP($C9,'Raw - Social Enterprises'!$A:$Q,4,FALSE)</f>
        <v>11.610647491506416</v>
      </c>
      <c r="E9" s="297">
        <f>VLOOKUP($C9,'Raw - Social Enterprises'!$A:$Q,8,FALSE)</f>
        <v>11.787059998067695</v>
      </c>
      <c r="F9" s="297">
        <f>VLOOKUP($C9,'Raw - Social Enterprises'!$A:$Q,12,FALSE)</f>
        <v>12.809577963103361</v>
      </c>
      <c r="G9" s="297">
        <f>VLOOKUP(C9,'Raw - Social Enterprises'!A:Q,16,FALSE)</f>
        <v>12.847763450002363</v>
      </c>
      <c r="H9" s="299">
        <f t="shared" ref="H9:H14" si="1">SUM(G9-E9)</f>
        <v>1.0607034519346676</v>
      </c>
      <c r="I9" s="300">
        <f>SUM(VLOOKUP(C9,'Raw - Social Enterprises'!A:Q,14,FALSE)-VLOOKUP(C9,'Raw - Social Enterprises'!A:Q,2,FALSE))</f>
        <v>112</v>
      </c>
      <c r="J9" s="301">
        <f t="shared" si="0"/>
        <v>33.795654161157188</v>
      </c>
      <c r="K9" s="302">
        <f>IF(J9="","",IF($J$5="lgbf family group",SUM(MROUND(SUM(SUM(VLOOKUP(C$17,'Raw - Social Enterprises'!A:Q,16,FALSE)*VLOOKUP(C9,'Raw - Social Enterprises'!A:Q,15,FALSE))),100)-MROUND(SUM(SUM(VLOOKUP(C9,'Raw - Social Enterprises'!A:Q,16,FALSE)*VLOOKUP(C9,'Raw - Social Enterprises'!A:Q,15,FALSE))),100)),IF($J$5="Glasgow City Region",SUM(MROUND(SUM(SUM(VLOOKUP(C$18,'Raw - Social Enterprises'!A:Q,16,FALSE)*VLOOKUP(C9,'Raw - Social Enterprises'!A:Q,15,FALSE))),100)-MROUND(SUM(SUM(VLOOKUP(C9,'Raw - Social Enterprises'!A:Q,16,FALSE)*VLOOKUP(C9,'Raw - Social Enterprises'!A:Q,15,FALSE))),100)),IF($J$5="Scotland",SUM(MROUND(SUM(SUM(VLOOKUP(C$19,'Raw - Social Enterprises'!A:Q,16,FALSE)*VLOOKUP(C9,'Raw - Social Enterprises'!A:Q,15,FALSE))),100)-MROUND(SUM(SUM(VLOOKUP(C9,'Raw - Social Enterprises'!A:Q,16,FALSE)*VLOOKUP(C9,'Raw - Social Enterprises'!A:Q,15,FALSE))),100)),IF($J$5="United Kingdom",SUM(MROUND(SUM(SUM(VLOOKUP(C$20,'Raw - Social Enterprises'!A:Q,16,FALSE)*VLOOKUP(C9,'Raw - Social Enterprises'!A:Q,15,FALSE))),100)-MROUND(SUM(SUM(VLOOKUP(C9,'Raw - Social Enterprises'!A:Q,16,FALSE)*VLOOKUP(C9,'Raw - Social Enterprises'!A:Q,15,FALSE))),100)),SUM(MROUND(SUM(SUM(VLOOKUP(C$16,'Raw - Social Enterprises'!A:Q,16,FALSE)*VLOOKUP(C9,'Raw - Social Enterprises'!A:Q,15,FALSE))),100)-MROUND(SUM(SUM(VLOOKUP(C9,'Raw - Social Enterprises'!A:Q,16,FALSE)*VLOOKUP(C9,'Raw - Social Enterprises'!A:Q,15,FALSE))),100)))))))</f>
        <v>2200</v>
      </c>
    </row>
    <row r="10" spans="2:11" ht="19.5" customHeight="1">
      <c r="B10" s="296" t="s">
        <v>249</v>
      </c>
      <c r="C10" s="296" t="s">
        <v>29</v>
      </c>
      <c r="D10" s="297">
        <f>VLOOKUP($C10,'Raw - Social Enterprises'!$A:$Q,4,FALSE)</f>
        <v>6.7924528301886795</v>
      </c>
      <c r="E10" s="297">
        <f>VLOOKUP($C10,'Raw - Social Enterprises'!$A:$Q,8,FALSE)</f>
        <v>7.4911122397155916</v>
      </c>
      <c r="F10" s="297">
        <f>VLOOKUP($C10,'Raw - Social Enterprises'!$A:$Q,12,FALSE)</f>
        <v>8.0976863753213362</v>
      </c>
      <c r="G10" s="297">
        <f>VLOOKUP(C10,'Raw - Social Enterprises'!A:Q,16,FALSE)</f>
        <v>8.0834419817470664</v>
      </c>
      <c r="H10" s="299">
        <f t="shared" si="1"/>
        <v>0.59232974203147482</v>
      </c>
      <c r="I10" s="300">
        <f>SUM(VLOOKUP(C10,'Raw - Social Enterprises'!A:Q,14,FALSE)-VLOOKUP(C10,'Raw - Social Enterprises'!A:Q,2,FALSE))</f>
        <v>8</v>
      </c>
      <c r="J10" s="301">
        <f t="shared" si="0"/>
        <v>38.559975629412484</v>
      </c>
      <c r="K10" s="302">
        <f>IF(J10="","",IF($J$5="lgbf family group",SUM(MROUND(SUM(SUM(VLOOKUP(C$17,'Raw - Social Enterprises'!A:Q,16,FALSE)*VLOOKUP(C10,'Raw - Social Enterprises'!A:Q,15,FALSE))),100)-MROUND(SUM(SUM(VLOOKUP(C10,'Raw - Social Enterprises'!A:Q,16,FALSE)*VLOOKUP(C10,'Raw - Social Enterprises'!A:Q,15,FALSE))),100)),IF($J$5="Glasgow City Region",SUM(MROUND(SUM(SUM(VLOOKUP(C$18,'Raw - Social Enterprises'!A:Q,16,FALSE)*VLOOKUP(C10,'Raw - Social Enterprises'!A:Q,15,FALSE))),100)-MROUND(SUM(SUM(VLOOKUP(C10,'Raw - Social Enterprises'!A:Q,16,FALSE)*VLOOKUP(C10,'Raw - Social Enterprises'!A:Q,15,FALSE))),100)),IF($J$5="Scotland",SUM(MROUND(SUM(SUM(VLOOKUP(C$19,'Raw - Social Enterprises'!A:Q,16,FALSE)*VLOOKUP(C10,'Raw - Social Enterprises'!A:Q,15,FALSE))),100)-MROUND(SUM(SUM(VLOOKUP(C10,'Raw - Social Enterprises'!A:Q,16,FALSE)*VLOOKUP(C10,'Raw - Social Enterprises'!A:Q,15,FALSE))),100)),IF($J$5="United Kingdom",SUM(MROUND(SUM(SUM(VLOOKUP(C$20,'Raw - Social Enterprises'!A:Q,16,FALSE)*VLOOKUP(C10,'Raw - Social Enterprises'!A:Q,15,FALSE))),100)-MROUND(SUM(SUM(VLOOKUP(C10,'Raw - Social Enterprises'!A:Q,16,FALSE)*VLOOKUP(C10,'Raw - Social Enterprises'!A:Q,15,FALSE))),100)),SUM(MROUND(SUM(SUM(VLOOKUP(C$16,'Raw - Social Enterprises'!A:Q,16,FALSE)*VLOOKUP(C10,'Raw - Social Enterprises'!A:Q,15,FALSE))),100)-MROUND(SUM(SUM(VLOOKUP(C10,'Raw - Social Enterprises'!A:Q,16,FALSE)*VLOOKUP(C10,'Raw - Social Enterprises'!A:Q,15,FALSE))),100)))))))</f>
        <v>300</v>
      </c>
    </row>
    <row r="11" spans="2:11" ht="19.5" customHeight="1">
      <c r="B11" s="296" t="s">
        <v>249</v>
      </c>
      <c r="C11" s="296" t="s">
        <v>34</v>
      </c>
      <c r="D11" s="297">
        <f>VLOOKUP($C11,'Raw - Social Enterprises'!$A:$Q,4,FALSE)</f>
        <v>3.1632472062910186</v>
      </c>
      <c r="E11" s="297">
        <f>VLOOKUP($C11,'Raw - Social Enterprises'!$A:$Q,8,FALSE)</f>
        <v>3.0591834333450993</v>
      </c>
      <c r="F11" s="297">
        <f>VLOOKUP($C11,'Raw - Social Enterprises'!$A:$Q,12,FALSE)</f>
        <v>3.193016375194071</v>
      </c>
      <c r="G11" s="297">
        <f>VLOOKUP(C11,'Raw - Social Enterprises'!A:Q,16,FALSE)</f>
        <v>3.3391915641476273</v>
      </c>
      <c r="H11" s="299">
        <f t="shared" si="1"/>
        <v>0.28000813080252795</v>
      </c>
      <c r="I11" s="300">
        <f>SUM(VLOOKUP(C11,'Raw - Social Enterprises'!A:Q,14,FALSE)-VLOOKUP(C11,'Raw - Social Enterprises'!A:Q,2,FALSE))</f>
        <v>7</v>
      </c>
      <c r="J11" s="301">
        <f t="shared" si="0"/>
        <v>43.304226047011923</v>
      </c>
      <c r="K11" s="302">
        <f>IF(J11="","",IF($J$5="lgbf family group",SUM(MROUND(SUM(SUM(VLOOKUP(C$17,'Raw - Social Enterprises'!A:Q,16,FALSE)*VLOOKUP(C11,'Raw - Social Enterprises'!A:Q,15,FALSE))),100)-MROUND(SUM(SUM(VLOOKUP(C11,'Raw - Social Enterprises'!A:Q,16,FALSE)*VLOOKUP(C11,'Raw - Social Enterprises'!A:Q,15,FALSE))),100)),IF($J$5="Glasgow City Region",SUM(MROUND(SUM(SUM(VLOOKUP(C$18,'Raw - Social Enterprises'!A:Q,16,FALSE)*VLOOKUP(C11,'Raw - Social Enterprises'!A:Q,15,FALSE))),100)-MROUND(SUM(SUM(VLOOKUP(C11,'Raw - Social Enterprises'!A:Q,16,FALSE)*VLOOKUP(C11,'Raw - Social Enterprises'!A:Q,15,FALSE))),100)),IF($J$5="Scotland",SUM(MROUND(SUM(SUM(VLOOKUP(C$19,'Raw - Social Enterprises'!A:Q,16,FALSE)*VLOOKUP(C11,'Raw - Social Enterprises'!A:Q,15,FALSE))),100)-MROUND(SUM(SUM(VLOOKUP(C11,'Raw - Social Enterprises'!A:Q,16,FALSE)*VLOOKUP(C11,'Raw - Social Enterprises'!A:Q,15,FALSE))),100)),IF($J$5="United Kingdom",SUM(MROUND(SUM(SUM(VLOOKUP(C$20,'Raw - Social Enterprises'!A:Q,16,FALSE)*VLOOKUP(C11,'Raw - Social Enterprises'!A:Q,15,FALSE))),100)-MROUND(SUM(SUM(VLOOKUP(C11,'Raw - Social Enterprises'!A:Q,16,FALSE)*VLOOKUP(C11,'Raw - Social Enterprises'!A:Q,15,FALSE))),100)),SUM(MROUND(SUM(SUM(VLOOKUP(C$16,'Raw - Social Enterprises'!A:Q,16,FALSE)*VLOOKUP(C11,'Raw - Social Enterprises'!A:Q,15,FALSE))),100)-MROUND(SUM(SUM(VLOOKUP(C11,'Raw - Social Enterprises'!A:Q,16,FALSE)*VLOOKUP(C11,'Raw - Social Enterprises'!A:Q,15,FALSE))),100)))))))</f>
        <v>1500</v>
      </c>
    </row>
    <row r="12" spans="2:11" ht="19.5" customHeight="1">
      <c r="B12" s="296" t="s">
        <v>249</v>
      </c>
      <c r="C12" s="296" t="s">
        <v>37</v>
      </c>
      <c r="D12" s="297">
        <f>VLOOKUP($C12,'Raw - Social Enterprises'!$A:$Q,4,FALSE)</f>
        <v>4.8120989917506876</v>
      </c>
      <c r="E12" s="297">
        <f>VLOOKUP($C12,'Raw - Social Enterprises'!$A:$Q,8,FALSE)</f>
        <v>4.6937736809364932</v>
      </c>
      <c r="F12" s="297">
        <f>VLOOKUP($C12,'Raw - Social Enterprises'!$A:$Q,12,FALSE)</f>
        <v>5.4718034617532103</v>
      </c>
      <c r="G12" s="297">
        <f>VLOOKUP(C12,'Raw - Social Enterprises'!A:Q,16,FALSE)</f>
        <v>5.5018339446482161</v>
      </c>
      <c r="H12" s="299">
        <f t="shared" si="1"/>
        <v>0.8080602637117229</v>
      </c>
      <c r="I12" s="300">
        <f>SUM(VLOOKUP(C12,'Raw - Social Enterprises'!A:Q,14,FALSE)-VLOOKUP(C12,'Raw - Social Enterprises'!A:Q,2,FALSE))</f>
        <v>15</v>
      </c>
      <c r="J12" s="301">
        <f t="shared" si="0"/>
        <v>41.14158366651133</v>
      </c>
      <c r="K12" s="302">
        <f>IF(J12="","",IF($J$5="lgbf family group",SUM(MROUND(SUM(SUM(VLOOKUP(C$17,'Raw - Social Enterprises'!A:Q,16,FALSE)*VLOOKUP(C12,'Raw - Social Enterprises'!A:Q,15,FALSE))),100)-MROUND(SUM(SUM(VLOOKUP(C12,'Raw - Social Enterprises'!A:Q,16,FALSE)*VLOOKUP(C12,'Raw - Social Enterprises'!A:Q,15,FALSE))),100)),IF($J$5="Glasgow City Region",SUM(MROUND(SUM(SUM(VLOOKUP(C$18,'Raw - Social Enterprises'!A:Q,16,FALSE)*VLOOKUP(C12,'Raw - Social Enterprises'!A:Q,15,FALSE))),100)-MROUND(SUM(SUM(VLOOKUP(C12,'Raw - Social Enterprises'!A:Q,16,FALSE)*VLOOKUP(C12,'Raw - Social Enterprises'!A:Q,15,FALSE))),100)),IF($J$5="Scotland",SUM(MROUND(SUM(SUM(VLOOKUP(C$19,'Raw - Social Enterprises'!A:Q,16,FALSE)*VLOOKUP(C12,'Raw - Social Enterprises'!A:Q,15,FALSE))),100)-MROUND(SUM(SUM(VLOOKUP(C12,'Raw - Social Enterprises'!A:Q,16,FALSE)*VLOOKUP(C12,'Raw - Social Enterprises'!A:Q,15,FALSE))),100)),IF($J$5="United Kingdom",SUM(MROUND(SUM(SUM(VLOOKUP(C$20,'Raw - Social Enterprises'!A:Q,16,FALSE)*VLOOKUP(C12,'Raw - Social Enterprises'!A:Q,15,FALSE))),100)-MROUND(SUM(SUM(VLOOKUP(C12,'Raw - Social Enterprises'!A:Q,16,FALSE)*VLOOKUP(C12,'Raw - Social Enterprises'!A:Q,15,FALSE))),100)),SUM(MROUND(SUM(SUM(VLOOKUP(C$16,'Raw - Social Enterprises'!A:Q,16,FALSE)*VLOOKUP(C12,'Raw - Social Enterprises'!A:Q,15,FALSE))),100)-MROUND(SUM(SUM(VLOOKUP(C12,'Raw - Social Enterprises'!A:Q,16,FALSE)*VLOOKUP(C12,'Raw - Social Enterprises'!A:Q,15,FALSE))),100)))))))</f>
        <v>700</v>
      </c>
    </row>
    <row r="13" spans="2:11" ht="19.5" customHeight="1">
      <c r="B13" s="296" t="s">
        <v>249</v>
      </c>
      <c r="C13" s="296" t="s">
        <v>41</v>
      </c>
      <c r="D13" s="297">
        <f>VLOOKUP($C13,'Raw - Social Enterprises'!$A:$Q,4,FALSE)</f>
        <v>4.5220251083072442</v>
      </c>
      <c r="E13" s="297">
        <f>VLOOKUP($C13,'Raw - Social Enterprises'!$A:$Q,8,FALSE)</f>
        <v>5.1230474274758775</v>
      </c>
      <c r="F13" s="297">
        <f>VLOOKUP($C13,'Raw - Social Enterprises'!$A:$Q,12,FALSE)</f>
        <v>5.4597073596855212</v>
      </c>
      <c r="G13" s="297">
        <f>VLOOKUP(C13,'Raw - Social Enterprises'!A:Q,16,FALSE)</f>
        <v>5.4861606174255346</v>
      </c>
      <c r="H13" s="299">
        <f>SUM(G13-E13)</f>
        <v>0.36311318994965713</v>
      </c>
      <c r="I13" s="300">
        <f>SUM(VLOOKUP(C13,'Raw - Social Enterprises'!A:Q,14,FALSE)-VLOOKUP(C13,'Raw - Social Enterprises'!A:Q,2,FALSE))</f>
        <v>34</v>
      </c>
      <c r="J13" s="301">
        <f t="shared" si="0"/>
        <v>41.157256993734016</v>
      </c>
      <c r="K13" s="302">
        <f>IF(J13="","",IF($J$5="lgbf family group",SUM(MROUND(SUM(SUM(VLOOKUP(C$17,'Raw - Social Enterprises'!A:Q,16,FALSE)*VLOOKUP(C13,'Raw - Social Enterprises'!A:Q,15,FALSE))),100)-MROUND(SUM(SUM(VLOOKUP(C13,'Raw - Social Enterprises'!A:Q,16,FALSE)*VLOOKUP(C13,'Raw - Social Enterprises'!A:Q,15,FALSE))),100)),IF($J$5="Glasgow City Region",SUM(MROUND(SUM(SUM(VLOOKUP(C$18,'Raw - Social Enterprises'!A:Q,16,FALSE)*VLOOKUP(C13,'Raw - Social Enterprises'!A:Q,15,FALSE))),100)-MROUND(SUM(SUM(VLOOKUP(C13,'Raw - Social Enterprises'!A:Q,16,FALSE)*VLOOKUP(C13,'Raw - Social Enterprises'!A:Q,15,FALSE))),100)),IF($J$5="Scotland",SUM(MROUND(SUM(SUM(VLOOKUP(C$19,'Raw - Social Enterprises'!A:Q,16,FALSE)*VLOOKUP(C13,'Raw - Social Enterprises'!A:Q,15,FALSE))),100)-MROUND(SUM(SUM(VLOOKUP(C13,'Raw - Social Enterprises'!A:Q,16,FALSE)*VLOOKUP(C13,'Raw - Social Enterprises'!A:Q,15,FALSE))),100)),IF($J$5="United Kingdom",SUM(MROUND(SUM(SUM(VLOOKUP(C$20,'Raw - Social Enterprises'!A:Q,16,FALSE)*VLOOKUP(C13,'Raw - Social Enterprises'!A:Q,15,FALSE))),100)-MROUND(SUM(SUM(VLOOKUP(C13,'Raw - Social Enterprises'!A:Q,16,FALSE)*VLOOKUP(C13,'Raw - Social Enterprises'!A:Q,15,FALSE))),100)),SUM(MROUND(SUM(SUM(VLOOKUP(C$16,'Raw - Social Enterprises'!A:Q,16,FALSE)*VLOOKUP(C13,'Raw - Social Enterprises'!A:Q,15,FALSE))),100)-MROUND(SUM(SUM(VLOOKUP(C13,'Raw - Social Enterprises'!A:Q,16,FALSE)*VLOOKUP(C13,'Raw - Social Enterprises'!A:Q,15,FALSE))),100)))))))</f>
        <v>1300</v>
      </c>
    </row>
    <row r="14" spans="2:11" ht="19.5" customHeight="1">
      <c r="B14" s="296" t="s">
        <v>249</v>
      </c>
      <c r="C14" s="296" t="s">
        <v>43</v>
      </c>
      <c r="D14" s="297">
        <f>VLOOKUP($C14,'Raw - Social Enterprises'!$A:$Q,4,FALSE)</f>
        <v>7.1436544257171564</v>
      </c>
      <c r="E14" s="297">
        <f>VLOOKUP($C14,'Raw - Social Enterprises'!$A:$Q,8,FALSE)</f>
        <v>7.8116281664992746</v>
      </c>
      <c r="F14" s="297">
        <f>VLOOKUP($C14,'Raw - Social Enterprises'!$A:$Q,12,FALSE)</f>
        <v>8.4335994602496331</v>
      </c>
      <c r="G14" s="297">
        <f>VLOOKUP(C14,'Raw - Social Enterprises'!A:Q,16,FALSE)</f>
        <v>7.9735732999202646</v>
      </c>
      <c r="H14" s="299">
        <f t="shared" si="1"/>
        <v>0.16194513342099004</v>
      </c>
      <c r="I14" s="300">
        <f>SUM(VLOOKUP(C14,'Raw - Social Enterprises'!A:Q,14,FALSE)-VLOOKUP(C14,'Raw - Social Enterprises'!A:Q,2,FALSE))</f>
        <v>6</v>
      </c>
      <c r="J14" s="301">
        <f t="shared" si="0"/>
        <v>38.669844311239288</v>
      </c>
      <c r="K14" s="302">
        <f>IF(J14="","",IF($J$5="lgbf family group",SUM(MROUND(SUM(SUM(VLOOKUP(C$17,'Raw - Social Enterprises'!A:Q,16,FALSE)*VLOOKUP(C14,'Raw - Social Enterprises'!A:Q,15,FALSE))),100)-MROUND(SUM(SUM(VLOOKUP(C14,'Raw - Social Enterprises'!A:Q,16,FALSE)*VLOOKUP(C14,'Raw - Social Enterprises'!A:Q,15,FALSE))),100)),IF($J$5="Glasgow City Region",SUM(MROUND(SUM(SUM(VLOOKUP(C$18,'Raw - Social Enterprises'!A:Q,16,FALSE)*VLOOKUP(C14,'Raw - Social Enterprises'!A:Q,15,FALSE))),100)-MROUND(SUM(SUM(VLOOKUP(C14,'Raw - Social Enterprises'!A:Q,16,FALSE)*VLOOKUP(C14,'Raw - Social Enterprises'!A:Q,15,FALSE))),100)),IF($J$5="Scotland",SUM(MROUND(SUM(SUM(VLOOKUP(C$19,'Raw - Social Enterprises'!A:Q,16,FALSE)*VLOOKUP(C14,'Raw - Social Enterprises'!A:Q,15,FALSE))),100)-MROUND(SUM(SUM(VLOOKUP(C14,'Raw - Social Enterprises'!A:Q,16,FALSE)*VLOOKUP(C14,'Raw - Social Enterprises'!A:Q,15,FALSE))),100)),IF($J$5="United Kingdom",SUM(MROUND(SUM(SUM(VLOOKUP(C$20,'Raw - Social Enterprises'!A:Q,16,FALSE)*VLOOKUP(C14,'Raw - Social Enterprises'!A:Q,15,FALSE))),100)-MROUND(SUM(SUM(VLOOKUP(C14,'Raw - Social Enterprises'!A:Q,16,FALSE)*VLOOKUP(C14,'Raw - Social Enterprises'!A:Q,15,FALSE))),100)),SUM(MROUND(SUM(SUM(VLOOKUP(C$16,'Raw - Social Enterprises'!A:Q,16,FALSE)*VLOOKUP(C14,'Raw - Social Enterprises'!A:Q,15,FALSE))),100)-MROUND(SUM(SUM(VLOOKUP(C14,'Raw - Social Enterprises'!A:Q,16,FALSE)*VLOOKUP(C14,'Raw - Social Enterprises'!A:Q,15,FALSE))),100)))))))</f>
        <v>300</v>
      </c>
    </row>
    <row r="15" spans="2:11" ht="19.5" customHeight="1">
      <c r="B15" s="303"/>
      <c r="C15" s="303"/>
      <c r="D15" s="304"/>
      <c r="E15" s="304"/>
      <c r="F15" s="304"/>
      <c r="G15" s="304"/>
      <c r="H15" s="306"/>
      <c r="I15" s="306"/>
      <c r="J15" s="306"/>
      <c r="K15" s="306"/>
    </row>
    <row r="16" spans="2:11" ht="19.5" customHeight="1">
      <c r="B16" s="307" t="s">
        <v>51</v>
      </c>
      <c r="C16" s="296" t="str">
        <f>INDEX('Raw - Social Enterprises'!$A$9:$A$41,MATCH(MAX('Raw - Social Enterprises'!L9:L41),'Raw - Social Enterprises'!L9:L41,0))</f>
        <v>Shetland Islands</v>
      </c>
      <c r="D16" s="297">
        <f>VLOOKUP($C16,'Raw - Social Enterprises'!$A:$Q,4,FALSE)</f>
        <v>40.948275862068968</v>
      </c>
      <c r="E16" s="297">
        <f>VLOOKUP($C16,'Raw - Social Enterprises'!$A:$Q,8,FALSE)</f>
        <v>43.760831889081459</v>
      </c>
      <c r="F16" s="297">
        <f>VLOOKUP($C16,'Raw - Social Enterprises'!$A:$Q,12,FALSE)</f>
        <v>47.556719022687616</v>
      </c>
      <c r="G16" s="297">
        <f>VLOOKUP(C16,'Raw - Social Enterprises'!A:Q,16,FALSE)</f>
        <v>46.643417611159549</v>
      </c>
      <c r="H16" s="299">
        <f>SUM(G16-E16)</f>
        <v>2.8825857220780904</v>
      </c>
      <c r="I16" s="300">
        <f>SUM(VLOOKUP(C16,'Raw - Social Enterprises'!A:Q,14,FALSE)-VLOOKUP(C16,'Raw - Social Enterprises'!A:Q,2,FALSE))</f>
        <v>12</v>
      </c>
    </row>
    <row r="17" spans="2:11" ht="19.5" customHeight="1">
      <c r="B17" s="307" t="s">
        <v>542</v>
      </c>
      <c r="C17" s="308" t="s">
        <v>546</v>
      </c>
      <c r="D17" s="297">
        <f>VLOOKUP($C17,'Raw - Social Enterprises'!$A:$Q,4,FALSE)</f>
        <v>8.8838666409429585</v>
      </c>
      <c r="E17" s="297">
        <f>VLOOKUP($C17,'Raw - Social Enterprises'!$A:$Q,8,FALSE)</f>
        <v>9.2099367750286252</v>
      </c>
      <c r="F17" s="297">
        <f>VLOOKUP($C17,'Raw - Social Enterprises'!$A:$Q,12,FALSE)</f>
        <v>9.8932406624714329</v>
      </c>
      <c r="G17" s="297">
        <f>VLOOKUP(C17,'Raw - Social Enterprises'!A:Q,16,FALSE)</f>
        <v>9.9036474408867647</v>
      </c>
      <c r="H17" s="299">
        <f t="shared" ref="H17:H18" si="2">SUM(G17-E17)</f>
        <v>0.69371066585813956</v>
      </c>
      <c r="I17" s="300">
        <f>SUM(VLOOKUP(C17,'Raw - Social Enterprises'!A:Q,14,FALSE)-VLOOKUP(C17,'Raw - Social Enterprises'!A:Q,2,FALSE))</f>
        <v>280</v>
      </c>
    </row>
    <row r="18" spans="2:11" ht="19.5" customHeight="1">
      <c r="B18" s="307" t="s">
        <v>250</v>
      </c>
      <c r="C18" s="296" t="s">
        <v>47</v>
      </c>
      <c r="D18" s="297">
        <f>VLOOKUP($C18,'Raw - Social Enterprises'!$A:$Q,4,FALSE)</f>
        <v>6.9165031756060262</v>
      </c>
      <c r="E18" s="297">
        <f>VLOOKUP($C18,'Raw - Social Enterprises'!$A:$Q,8,FALSE)</f>
        <v>7.1419189597425632</v>
      </c>
      <c r="F18" s="297">
        <f>VLOOKUP($C18,'Raw - Social Enterprises'!$A:$Q,12,FALSE)</f>
        <v>7.8264734257623223</v>
      </c>
      <c r="G18" s="297">
        <f>VLOOKUP(C18,'Raw - Social Enterprises'!A:Q,16,FALSE)</f>
        <v>7.830963673630527</v>
      </c>
      <c r="H18" s="299">
        <f t="shared" si="2"/>
        <v>0.68904471388796384</v>
      </c>
      <c r="I18" s="300">
        <f>SUM(VLOOKUP(C18,'Raw - Social Enterprises'!A:Q,14,FALSE)-VLOOKUP(C18,'Raw - Social Enterprises'!A:Q,2,FALSE))</f>
        <v>200</v>
      </c>
    </row>
    <row r="19" spans="2:11" ht="19.5" customHeight="1">
      <c r="B19" s="307" t="s">
        <v>251</v>
      </c>
      <c r="C19" s="296" t="s">
        <v>45</v>
      </c>
      <c r="D19" s="297">
        <f>VLOOKUP($C19,'Raw - Social Enterprises'!$A:$Q,4,FALSE)</f>
        <v>9.6352131025497876</v>
      </c>
      <c r="E19" s="297">
        <f>VLOOKUP($C19,'Raw - Social Enterprises'!$A:$Q,8,FALSE)</f>
        <v>10.322961215160005</v>
      </c>
      <c r="F19" s="297">
        <f>VLOOKUP($C19,'Raw - Social Enterprises'!$A:$Q,12,FALSE)</f>
        <v>11.028133179580106</v>
      </c>
      <c r="G19" s="297">
        <f>VLOOKUP(C19,'Raw - Social Enterprises'!A:Q,16,FALSE)</f>
        <v>11.034872899140495</v>
      </c>
      <c r="H19" s="299">
        <f>SUM(G19-E19)</f>
        <v>0.71191168398049065</v>
      </c>
      <c r="I19" s="300">
        <f>SUM(VLOOKUP(C19,'Raw - Social Enterprises'!A:Q,14,FALSE)-VLOOKUP(C19,'Raw - Social Enterprises'!A:Q,2,FALSE))</f>
        <v>870</v>
      </c>
    </row>
    <row r="20" spans="2:11" ht="19.5" customHeight="1">
      <c r="B20" s="307" t="s">
        <v>251</v>
      </c>
      <c r="C20" s="296" t="s">
        <v>46</v>
      </c>
      <c r="D20" s="297" t="s">
        <v>69</v>
      </c>
      <c r="E20" s="297" t="s">
        <v>69</v>
      </c>
      <c r="F20" s="297" t="s">
        <v>69</v>
      </c>
      <c r="G20" s="297" t="s">
        <v>69</v>
      </c>
      <c r="H20" s="299" t="s">
        <v>69</v>
      </c>
      <c r="I20" s="300" t="s">
        <v>69</v>
      </c>
    </row>
    <row r="21" spans="2:11" ht="19.5" customHeight="1">
      <c r="C21" s="309"/>
      <c r="D21" s="310"/>
      <c r="E21" s="310"/>
      <c r="F21" s="310"/>
      <c r="G21" s="310"/>
      <c r="H21" s="310"/>
      <c r="I21" s="310"/>
      <c r="J21" s="310"/>
      <c r="K21" s="310"/>
    </row>
    <row r="22" spans="2:11">
      <c r="D22" s="311"/>
      <c r="E22" s="311"/>
      <c r="F22" s="312" t="str">
        <f>CONCATENATE(G22,H22)</f>
        <v>Volume Change Required to match Geographic Area - Top Performing Scottish Local Authority</v>
      </c>
      <c r="G22" s="312" t="s">
        <v>519</v>
      </c>
      <c r="H22" s="312" t="str">
        <f>J5</f>
        <v>Top Performing Scottish Local Authority</v>
      </c>
    </row>
    <row r="23" spans="2:11">
      <c r="B23" s="313" t="s">
        <v>467</v>
      </c>
    </row>
    <row r="24" spans="2:11">
      <c r="H24" s="314"/>
      <c r="I24" s="314"/>
      <c r="J24" s="314"/>
      <c r="K24" s="311"/>
    </row>
  </sheetData>
  <autoFilter ref="C6:K14" xr:uid="{00000000-0009-0000-0000-00002A000000}"/>
  <mergeCells count="4">
    <mergeCell ref="J4:K4"/>
    <mergeCell ref="H5:I5"/>
    <mergeCell ref="J5:K5"/>
    <mergeCell ref="F2:G2"/>
  </mergeCells>
  <dataValidations disablePrompts="1" count="1">
    <dataValidation type="list" allowBlank="1" showInputMessage="1" showErrorMessage="1" sqref="C17" xr:uid="{00000000-0002-0000-2A00-000000000000}">
      <formula1>IF(B17="LGBF Family Group 1",LGBF_5,IF(B17="LGBF Family Group 3",LGBF_7,IF(B17="LGBF Family Group 4",LGBF_8,LGBF_6)))</formula1>
    </dataValidation>
  </dataValidations>
  <hyperlinks>
    <hyperlink ref="C3" r:id="rId1" xr:uid="{00000000-0004-0000-2A00-000000000000}"/>
    <hyperlink ref="F2:G2" location="'Index RAG'!A1" display="Return to Index RAG" xr:uid="{00000000-0004-0000-2A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A00-000001000000}">
          <x14:formula1>
            <xm:f>Lookups!$L$8:$O$8</xm:f>
          </x14:formula1>
          <xm:sqref>B17</xm:sqref>
        </x14:dataValidation>
        <x14:dataValidation type="list" allowBlank="1" showInputMessage="1" showErrorMessage="1" xr:uid="{00000000-0002-0000-2A00-000002000000}">
          <x14:formula1>
            <xm:f>Lookups!$B$9:$B$12</xm:f>
          </x14:formula1>
          <xm:sqref>J5:K5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sheetPr>
  <dimension ref="B2: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124</v>
      </c>
      <c r="F2" s="595" t="s">
        <v>507</v>
      </c>
      <c r="G2" s="596"/>
    </row>
    <row r="3" spans="2:12" ht="13">
      <c r="B3" s="286" t="s">
        <v>49</v>
      </c>
      <c r="C3" s="578" t="s">
        <v>123</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2019</v>
      </c>
      <c r="E6" s="294">
        <v>2020</v>
      </c>
      <c r="F6" s="294">
        <v>2021</v>
      </c>
      <c r="G6" s="294">
        <v>2022</v>
      </c>
      <c r="H6" s="295" t="s">
        <v>53</v>
      </c>
      <c r="I6" s="295" t="s">
        <v>54</v>
      </c>
      <c r="J6" s="295" t="s">
        <v>79</v>
      </c>
      <c r="K6" s="295" t="s">
        <v>57</v>
      </c>
    </row>
    <row r="7" spans="2:12" ht="19.5" customHeight="1">
      <c r="B7" s="296" t="s">
        <v>249</v>
      </c>
      <c r="C7" s="296" t="s">
        <v>22</v>
      </c>
      <c r="D7" s="318">
        <f>VLOOKUP($C7,'Raw - GVA'!$C:$Q,4,FALSE)</f>
        <v>1448</v>
      </c>
      <c r="E7" s="318">
        <f>VLOOKUP($C7,'Raw - GVA'!$C:$Q,5,FALSE)</f>
        <v>1301</v>
      </c>
      <c r="F7" s="318">
        <f>VLOOKUP($C7,'Raw - GVA'!$C:$Q,6,FALSE)</f>
        <v>1435</v>
      </c>
      <c r="G7" s="318">
        <f>VLOOKUP($C7,'Raw - GVA'!$C:$Q,7,FALSE)</f>
        <v>1605</v>
      </c>
      <c r="H7" s="320">
        <f>SUM(G7-D7)/D7</f>
        <v>0.10842541436464088</v>
      </c>
      <c r="I7" s="300">
        <f>G7-D7</f>
        <v>157</v>
      </c>
      <c r="J7" s="322">
        <f t="shared" ref="J7:J14" si="0">IF(IF($J$5="lgbf family group",SUM(G$17-G7)/G7,IF($J$5="Glasgow City Region",SUM(G$18-G7)/G7,IF($J$5="Scotland",SUM(G$19-G7)/G7,IF($J$5="United Kingdom",SUM(G$20-G7)/G7,SUM(G$16-G7)/G7))))&lt;0,"",IF($J$5="lgbf family group",SUM(G$17-G7)/G7,IF($J$5="Glasgow City Region",SUM(G$18-G7)/G7,IF($J$5="Scotland",SUM(G$19-G7)/G7,IF($J$5="United Kingdom",SUM(G$20-G7)/G7,SUM(G$16-G7)/G7)))))</f>
        <v>17.512772585669783</v>
      </c>
      <c r="K7" s="302">
        <f t="shared" ref="K7:K14" si="1">IF(J7="","",IF($J$5="lgbf family group",SUM(G$17-G7),IF($J$5="Glasgow City Region",SUM(G$18-G7),IF($J$5="Scotland",SUM(G$19-G7),IF($J$5="United Kingdom",SUM(G$20-G7),SUM(G$16-G7))))))</f>
        <v>28108</v>
      </c>
    </row>
    <row r="8" spans="2:12" ht="19.5" customHeight="1">
      <c r="B8" s="296" t="s">
        <v>249</v>
      </c>
      <c r="C8" s="296" t="s">
        <v>24</v>
      </c>
      <c r="D8" s="318">
        <f>VLOOKUP($C8,'Raw - GVA'!$C:$Q,4,FALSE)</f>
        <v>1080</v>
      </c>
      <c r="E8" s="318">
        <f>VLOOKUP($C8,'Raw - GVA'!$C:$Q,5,FALSE)</f>
        <v>1073</v>
      </c>
      <c r="F8" s="318">
        <f>VLOOKUP($C8,'Raw - GVA'!$C:$Q,6,FALSE)</f>
        <v>1155</v>
      </c>
      <c r="G8" s="318">
        <f>VLOOKUP($C8,'Raw - GVA'!$C:$Q,7,FALSE)</f>
        <v>1232</v>
      </c>
      <c r="H8" s="320">
        <f t="shared" ref="H8:H14" si="2">SUM(G8-D8)/D8</f>
        <v>0.14074074074074075</v>
      </c>
      <c r="I8" s="300">
        <f>G8-D8</f>
        <v>152</v>
      </c>
      <c r="J8" s="322">
        <f t="shared" si="0"/>
        <v>23.117694805194805</v>
      </c>
      <c r="K8" s="302">
        <f t="shared" si="1"/>
        <v>28481</v>
      </c>
    </row>
    <row r="9" spans="2:12" ht="19.5" customHeight="1">
      <c r="B9" s="296" t="s">
        <v>249</v>
      </c>
      <c r="C9" s="296" t="s">
        <v>27</v>
      </c>
      <c r="D9" s="318">
        <f>VLOOKUP($C9,'Raw - GVA'!$C:$Q,4,FALSE)</f>
        <v>22250</v>
      </c>
      <c r="E9" s="318">
        <f>VLOOKUP($C9,'Raw - GVA'!$C:$Q,5,FALSE)</f>
        <v>21531</v>
      </c>
      <c r="F9" s="318">
        <f>VLOOKUP($C9,'Raw - GVA'!$C:$Q,6,FALSE)</f>
        <v>23438</v>
      </c>
      <c r="G9" s="318">
        <f>VLOOKUP($C9,'Raw - GVA'!$C:$Q,7,FALSE)</f>
        <v>25845</v>
      </c>
      <c r="H9" s="320">
        <f t="shared" si="2"/>
        <v>0.16157303370786516</v>
      </c>
      <c r="I9" s="300">
        <f t="shared" ref="I9:I14" si="3">G9-D9</f>
        <v>3595</v>
      </c>
      <c r="J9" s="322">
        <f t="shared" si="0"/>
        <v>0.14966144321919134</v>
      </c>
      <c r="K9" s="302">
        <f t="shared" si="1"/>
        <v>3868</v>
      </c>
    </row>
    <row r="10" spans="2:12" ht="19.5" customHeight="1">
      <c r="B10" s="296" t="s">
        <v>249</v>
      </c>
      <c r="C10" s="296" t="s">
        <v>29</v>
      </c>
      <c r="D10" s="318">
        <f>VLOOKUP($C10,'Raw - GVA'!$C:$Q,4,FALSE)</f>
        <v>1162</v>
      </c>
      <c r="E10" s="318">
        <f>VLOOKUP($C10,'Raw - GVA'!$C:$Q,5,FALSE)</f>
        <v>1026</v>
      </c>
      <c r="F10" s="318">
        <f>VLOOKUP($C10,'Raw - GVA'!$C:$Q,6,FALSE)</f>
        <v>1102</v>
      </c>
      <c r="G10" s="318">
        <f>VLOOKUP($C10,'Raw - GVA'!$C:$Q,7,FALSE)</f>
        <v>1129</v>
      </c>
      <c r="H10" s="320">
        <f t="shared" si="2"/>
        <v>-2.8399311531841654E-2</v>
      </c>
      <c r="I10" s="300">
        <f t="shared" si="3"/>
        <v>-33</v>
      </c>
      <c r="J10" s="322">
        <f t="shared" si="0"/>
        <v>25.317980513728962</v>
      </c>
      <c r="K10" s="302">
        <f t="shared" si="1"/>
        <v>28584</v>
      </c>
    </row>
    <row r="11" spans="2:12" ht="19.5" customHeight="1">
      <c r="B11" s="296" t="s">
        <v>249</v>
      </c>
      <c r="C11" s="296" t="s">
        <v>34</v>
      </c>
      <c r="D11" s="318">
        <f>VLOOKUP($C11,'Raw - GVA'!$C:$Q,4,FALSE)</f>
        <v>8274</v>
      </c>
      <c r="E11" s="318">
        <f>VLOOKUP($C11,'Raw - GVA'!$C:$Q,5,FALSE)</f>
        <v>8013</v>
      </c>
      <c r="F11" s="318">
        <f>VLOOKUP($C11,'Raw - GVA'!$C:$Q,6,FALSE)</f>
        <v>8505</v>
      </c>
      <c r="G11" s="318">
        <f>VLOOKUP($C11,'Raw - GVA'!$C:$Q,7,FALSE)</f>
        <v>9208</v>
      </c>
      <c r="H11" s="320">
        <f t="shared" si="2"/>
        <v>0.11288373217307228</v>
      </c>
      <c r="I11" s="300">
        <f t="shared" si="3"/>
        <v>934</v>
      </c>
      <c r="J11" s="322">
        <f t="shared" si="0"/>
        <v>2.2268679409209384</v>
      </c>
      <c r="K11" s="302">
        <f t="shared" si="1"/>
        <v>20505</v>
      </c>
    </row>
    <row r="12" spans="2:12" ht="19.5" customHeight="1">
      <c r="B12" s="296" t="s">
        <v>249</v>
      </c>
      <c r="C12" s="296" t="s">
        <v>37</v>
      </c>
      <c r="D12" s="318">
        <f>VLOOKUP($C12,'Raw - GVA'!$C:$Q,4,FALSE)</f>
        <v>4492</v>
      </c>
      <c r="E12" s="318">
        <f>VLOOKUP($C12,'Raw - GVA'!$C:$Q,5,FALSE)</f>
        <v>4348</v>
      </c>
      <c r="F12" s="318">
        <f>VLOOKUP($C12,'Raw - GVA'!$C:$Q,6,FALSE)</f>
        <v>4796</v>
      </c>
      <c r="G12" s="318">
        <f>VLOOKUP($C12,'Raw - GVA'!$C:$Q,7,FALSE)</f>
        <v>4857</v>
      </c>
      <c r="H12" s="320">
        <f t="shared" si="2"/>
        <v>8.125556544968833E-2</v>
      </c>
      <c r="I12" s="300">
        <f t="shared" si="3"/>
        <v>365</v>
      </c>
      <c r="J12" s="322">
        <f t="shared" si="0"/>
        <v>5.1175622812435657</v>
      </c>
      <c r="K12" s="302">
        <f t="shared" si="1"/>
        <v>24856</v>
      </c>
    </row>
    <row r="13" spans="2:12" ht="19.5" customHeight="1">
      <c r="B13" s="296" t="s">
        <v>249</v>
      </c>
      <c r="C13" s="296" t="s">
        <v>41</v>
      </c>
      <c r="D13" s="318">
        <f>VLOOKUP($C13,'Raw - GVA'!$C:$Q,4,FALSE)</f>
        <v>6881</v>
      </c>
      <c r="E13" s="318">
        <f>VLOOKUP($C13,'Raw - GVA'!$C:$Q,5,FALSE)</f>
        <v>6476</v>
      </c>
      <c r="F13" s="318">
        <f>VLOOKUP($C13,'Raw - GVA'!$C:$Q,6,FALSE)</f>
        <v>6670</v>
      </c>
      <c r="G13" s="318">
        <f>VLOOKUP($C13,'Raw - GVA'!$C:$Q,7,FALSE)</f>
        <v>7463</v>
      </c>
      <c r="H13" s="320">
        <f t="shared" si="2"/>
        <v>8.4580729545124259E-2</v>
      </c>
      <c r="I13" s="300">
        <f t="shared" si="3"/>
        <v>582</v>
      </c>
      <c r="J13" s="322">
        <f t="shared" si="0"/>
        <v>2.9813747822591452</v>
      </c>
      <c r="K13" s="302">
        <f t="shared" si="1"/>
        <v>22250</v>
      </c>
    </row>
    <row r="14" spans="2:12" ht="19.5" customHeight="1">
      <c r="B14" s="296" t="s">
        <v>249</v>
      </c>
      <c r="C14" s="296" t="s">
        <v>43</v>
      </c>
      <c r="D14" s="318">
        <f>VLOOKUP($C14,'Raw - GVA'!$C:$Q,4,FALSE)</f>
        <v>1916</v>
      </c>
      <c r="E14" s="318">
        <f>VLOOKUP($C14,'Raw - GVA'!$C:$Q,5,FALSE)</f>
        <v>1756</v>
      </c>
      <c r="F14" s="318">
        <f>VLOOKUP($C14,'Raw - GVA'!$C:$Q,6,FALSE)</f>
        <v>1878</v>
      </c>
      <c r="G14" s="318">
        <f>VLOOKUP($C14,'Raw - GVA'!$C:$Q,7,FALSE)</f>
        <v>2029</v>
      </c>
      <c r="H14" s="320">
        <f t="shared" si="2"/>
        <v>5.8977035490605428E-2</v>
      </c>
      <c r="I14" s="300">
        <f t="shared" si="3"/>
        <v>113</v>
      </c>
      <c r="J14" s="322">
        <f t="shared" si="0"/>
        <v>13.644159684573681</v>
      </c>
      <c r="K14" s="302">
        <f t="shared" si="1"/>
        <v>27684</v>
      </c>
    </row>
    <row r="15" spans="2:12" ht="19.5" customHeight="1">
      <c r="B15" s="303"/>
      <c r="C15" s="303"/>
      <c r="D15" s="304"/>
      <c r="E15" s="304"/>
      <c r="F15" s="304"/>
      <c r="G15" s="304"/>
      <c r="H15" s="306"/>
      <c r="I15" s="306"/>
      <c r="J15" s="306"/>
      <c r="K15" s="306"/>
      <c r="L15" s="306"/>
    </row>
    <row r="16" spans="2:12" ht="19.5" customHeight="1">
      <c r="B16" s="307" t="s">
        <v>51</v>
      </c>
      <c r="C16" s="296" t="str">
        <f>INDEX('Raw - GVA'!C3:C34,MATCH(MAX('Raw - GVA'!I3:I34),'Raw - GVA'!I3:I34,0))</f>
        <v>City of Edinburgh</v>
      </c>
      <c r="D16" s="318">
        <f>VLOOKUP($C16,'Raw - GVA'!$C:$Q,4,FALSE)</f>
        <v>25759</v>
      </c>
      <c r="E16" s="318">
        <f>VLOOKUP($C16,'Raw - GVA'!$C:$Q,5,FALSE)</f>
        <v>24200</v>
      </c>
      <c r="F16" s="318">
        <f>VLOOKUP($C16,'Raw - GVA'!$C:$Q,6,FALSE)</f>
        <v>26582</v>
      </c>
      <c r="G16" s="318">
        <f>VLOOKUP($C16,'Raw - GVA'!$C:$Q,7,FALSE)</f>
        <v>29713</v>
      </c>
      <c r="H16" s="320">
        <f>SUM(G16-D16)/D16</f>
        <v>0.15349974766101168</v>
      </c>
      <c r="I16" s="300">
        <f>G16-D16</f>
        <v>3954</v>
      </c>
      <c r="J16" s="305"/>
    </row>
    <row r="17" spans="2:12" ht="19.5" customHeight="1">
      <c r="B17" s="307" t="s">
        <v>542</v>
      </c>
      <c r="C17" s="308" t="s">
        <v>546</v>
      </c>
      <c r="D17" s="318">
        <f>VLOOKUP($C17,'Raw - GVA'!$C:$Q,4,FALSE)</f>
        <v>9692.75</v>
      </c>
      <c r="E17" s="318">
        <f>VLOOKUP($C17,'Raw - GVA'!$C:$Q,5,FALSE)</f>
        <v>9160.625</v>
      </c>
      <c r="F17" s="318">
        <f>VLOOKUP($C17,'Raw - GVA'!$C:$Q,6,FALSE)</f>
        <v>9893.375</v>
      </c>
      <c r="G17" s="318">
        <f>VLOOKUP($C17,'Raw - GVA'!$C:$Q,7,FALSE)</f>
        <v>10921.875</v>
      </c>
      <c r="H17" s="320">
        <f>SUM(G17-D17)/D17</f>
        <v>0.12680869722215057</v>
      </c>
      <c r="I17" s="300">
        <f>G17-D17</f>
        <v>1229.125</v>
      </c>
    </row>
    <row r="18" spans="2:12" ht="19.5" customHeight="1">
      <c r="B18" s="307" t="s">
        <v>250</v>
      </c>
      <c r="C18" s="296" t="s">
        <v>47</v>
      </c>
      <c r="D18" s="318">
        <f>VLOOKUP($C18,'Raw - GVA'!$C:$Q,4,FALSE)</f>
        <v>47503</v>
      </c>
      <c r="E18" s="318">
        <f>VLOOKUP($C18,'Raw - GVA'!$C:$Q,5,FALSE)</f>
        <v>45525</v>
      </c>
      <c r="F18" s="318">
        <f>VLOOKUP($C18,'Raw - GVA'!$C:$Q,6,FALSE)</f>
        <v>48979</v>
      </c>
      <c r="G18" s="318">
        <f>VLOOKUP($C18,'Raw - GVA'!$C:$Q,7,FALSE)</f>
        <v>53368</v>
      </c>
      <c r="H18" s="320">
        <f>SUM(G18-D18)/D18</f>
        <v>0.12346588636507168</v>
      </c>
      <c r="I18" s="300">
        <f>G18-D18</f>
        <v>5865</v>
      </c>
      <c r="J18" s="305"/>
    </row>
    <row r="19" spans="2:12" ht="19.5" customHeight="1">
      <c r="B19" s="307" t="s">
        <v>251</v>
      </c>
      <c r="C19" s="296" t="s">
        <v>45</v>
      </c>
      <c r="D19" s="318">
        <f>VLOOKUP($C19,'Raw - GVA'!$C:$Q,4,FALSE)</f>
        <v>148903</v>
      </c>
      <c r="E19" s="318">
        <f>VLOOKUP($C19,'Raw - GVA'!$C:$Q,5,FALSE)</f>
        <v>140724</v>
      </c>
      <c r="F19" s="318">
        <f>VLOOKUP($C19,'Raw - GVA'!$C:$Q,6,FALSE)</f>
        <v>151499</v>
      </c>
      <c r="G19" s="318">
        <f>VLOOKUP($C19,'Raw - GVA'!$C:$Q,7,FALSE)</f>
        <v>165714</v>
      </c>
      <c r="H19" s="320">
        <f>SUM(G19-D19)/D19</f>
        <v>0.11289900136330362</v>
      </c>
      <c r="I19" s="300">
        <f>G19-D19</f>
        <v>16811</v>
      </c>
      <c r="J19" s="305"/>
    </row>
    <row r="20" spans="2:12" ht="19.5" customHeight="1">
      <c r="B20" s="307" t="s">
        <v>251</v>
      </c>
      <c r="C20" s="296" t="s">
        <v>46</v>
      </c>
      <c r="D20" s="318">
        <f>VLOOKUP($C20,'Raw - GVA'!$C:$Q,4,FALSE)</f>
        <v>1995708</v>
      </c>
      <c r="E20" s="318">
        <f>VLOOKUP($C20,'Raw - GVA'!$C:$Q,5,FALSE)</f>
        <v>1897957</v>
      </c>
      <c r="F20" s="318">
        <f>VLOOKUP($C20,'Raw - GVA'!$C:$Q,6,FALSE)</f>
        <v>2046636</v>
      </c>
      <c r="G20" s="318">
        <f>VLOOKUP($C20,'Raw - GVA'!$C:$Q,7,FALSE)</f>
        <v>2246047</v>
      </c>
      <c r="H20" s="320">
        <f>SUM(G20-D20)/D20</f>
        <v>0.12543869143181266</v>
      </c>
      <c r="I20" s="300">
        <f>G20-D20</f>
        <v>250339</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- 0</v>
      </c>
      <c r="G22" s="312" t="s">
        <v>519</v>
      </c>
      <c r="H22" s="312">
        <f>K5</f>
        <v>0</v>
      </c>
    </row>
    <row r="23" spans="2:12">
      <c r="B23" s="313" t="s">
        <v>467</v>
      </c>
    </row>
    <row r="24" spans="2:12">
      <c r="H24" s="314"/>
      <c r="I24" s="314"/>
      <c r="J24" s="314"/>
      <c r="K24" s="314"/>
      <c r="L24" s="311"/>
    </row>
  </sheetData>
  <sheetProtection algorithmName="SHA-512" hashValue="WUNZ9lwlF6UY44gZjgteemqGqyVkZu4g1WKM9KwWPQ/tACFLyqdvVrVd3jHTbwX6OPvQCfUeNv6RZYkJH6CtvQ==" saltValue="RhB9G0w3bh9GHEWuGdZAFQ==" spinCount="100000" sheet="1" objects="1" scenarios="1"/>
  <autoFilter ref="B6:K14" xr:uid="{00000000-0009-0000-0000-00002B000000}"/>
  <mergeCells count="4">
    <mergeCell ref="J4:K4"/>
    <mergeCell ref="H5:I5"/>
    <mergeCell ref="J5:K5"/>
    <mergeCell ref="F2:G2"/>
  </mergeCells>
  <dataValidations count="1">
    <dataValidation type="list" allowBlank="1" showInputMessage="1" showErrorMessage="1" sqref="C17" xr:uid="{00000000-0002-0000-2B00-000000000000}">
      <formula1>IF(B17="LGBF Family Group 1",LGBF_5,IF(B17="LGBF Family Group 3",LGBF_7,IF(B17="LGBF Family Group 4",LGBF_8,LGBF_6)))</formula1>
    </dataValidation>
  </dataValidations>
  <hyperlinks>
    <hyperlink ref="F2:G2" location="'Index RAG'!A1" display="Return to Index RAG" xr:uid="{00000000-0004-0000-2B00-000001000000}"/>
    <hyperlink ref="C3" r:id="rId1" xr:uid="{9709E5EA-9733-4C90-BBC9-527D067B8EC1}"/>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Lookups!$B$3:$B$7</xm:f>
          </x14:formula1>
          <xm:sqref>J5:K5</xm:sqref>
        </x14:dataValidation>
        <x14:dataValidation type="list" allowBlank="1" showInputMessage="1" showErrorMessage="1" xr:uid="{00000000-0002-0000-2B00-000002000000}">
          <x14:formula1>
            <xm:f>Lookups!$L$8:$O$8</xm:f>
          </x14:formula1>
          <xm:sqref>B17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B2: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137</v>
      </c>
      <c r="F2" s="595" t="s">
        <v>507</v>
      </c>
      <c r="G2" s="596"/>
    </row>
    <row r="3" spans="2:12" ht="13">
      <c r="B3" s="286" t="s">
        <v>49</v>
      </c>
      <c r="C3" s="319" t="s">
        <v>138</v>
      </c>
    </row>
    <row r="4" spans="2:12" ht="13">
      <c r="B4" s="287"/>
      <c r="C4" s="289" t="s">
        <v>478</v>
      </c>
      <c r="D4" s="290"/>
      <c r="J4" s="591" t="s">
        <v>52</v>
      </c>
      <c r="K4" s="591"/>
    </row>
    <row r="5" spans="2:12" ht="22" customHeight="1">
      <c r="C5" s="291"/>
      <c r="D5" s="292"/>
      <c r="E5" s="292"/>
      <c r="F5" s="292"/>
      <c r="G5" s="292"/>
      <c r="H5" s="597" t="s">
        <v>50</v>
      </c>
      <c r="I5" s="598"/>
      <c r="J5" s="594" t="s">
        <v>51</v>
      </c>
      <c r="K5" s="594"/>
    </row>
    <row r="6" spans="2:12" ht="26.15" customHeight="1">
      <c r="B6" s="293" t="s">
        <v>271</v>
      </c>
      <c r="C6" s="293" t="s">
        <v>5</v>
      </c>
      <c r="D6" s="294">
        <v>2019</v>
      </c>
      <c r="E6" s="294">
        <v>2020</v>
      </c>
      <c r="F6" s="294">
        <v>2021</v>
      </c>
      <c r="G6" s="294">
        <v>2022</v>
      </c>
      <c r="H6" s="295" t="s">
        <v>53</v>
      </c>
      <c r="I6" s="295" t="s">
        <v>54</v>
      </c>
      <c r="J6" s="295" t="s">
        <v>79</v>
      </c>
      <c r="K6" s="295" t="s">
        <v>57</v>
      </c>
    </row>
    <row r="7" spans="2:12" ht="19.5" customHeight="1">
      <c r="B7" s="296" t="s">
        <v>249</v>
      </c>
      <c r="C7" s="296" t="s">
        <v>22</v>
      </c>
      <c r="D7" s="297">
        <f>INDEX('Raw - GVA phw'!$A$4:$G$37,MATCH('GVA phw'!$C7,'Raw - GVA phw'!$B$4:$B$37,0),MATCH('GVA phw'!D$6,'Raw - GVA phw'!$A$4:$G$4,0))</f>
        <v>32.6</v>
      </c>
      <c r="E7" s="297">
        <f>INDEX('Raw - GVA phw'!$A$4:$G$37,MATCH('GVA phw'!$C7,'Raw - GVA phw'!$B$4:$B$37,0),MATCH('GVA phw'!E$6,'Raw - GVA phw'!$A$4:$G$4,0))</f>
        <v>33.799999999999997</v>
      </c>
      <c r="F7" s="297">
        <f>INDEX('Raw - GVA phw'!$A$4:$G$37,MATCH('GVA phw'!$C7,'Raw - GVA phw'!$B$4:$B$37,0),MATCH('GVA phw'!F$6,'Raw - GVA phw'!$A$4:$G$4,0))</f>
        <v>34.5</v>
      </c>
      <c r="G7" s="297">
        <f>INDEX('Raw - GVA phw'!$A$4:$G$37,MATCH('GVA phw'!$C7,'Raw - GVA phw'!$B$4:$B$37,0),MATCH('GVA phw'!G$6,'Raw - GVA phw'!$A$4:$G$4,0))</f>
        <v>35.1</v>
      </c>
      <c r="H7" s="320">
        <f>SUM(G7-D7)/D7</f>
        <v>7.6687116564417179E-2</v>
      </c>
      <c r="I7" s="321">
        <f>G7-D7</f>
        <v>2.5</v>
      </c>
      <c r="J7" s="322">
        <f t="shared" ref="J7:J14" si="0">IF(IF($J$5="lgbf family group",SUM(G$17-G7)/G7,IF($J$5="Glasgow City Region",SUM(G$18-G7)/G7,IF($J$5="Scotland",SUM(G$19-G7)/G7,IF($J$5="United Kingdom",SUM(G$20-G7)/G7,SUM(G$16-G7)/G7))))&lt;0,"",IF($J$5="lgbf family group",SUM(G$17-G7)/G7,IF($J$5="Glasgow City Region",SUM(G$18-G7)/G7,IF($J$5="Scotland",SUM(G$19-G7)/G7,IF($J$5="United Kingdom",SUM(G$20-G7)/G7,SUM(G$16-G7)/G7)))))</f>
        <v>0.4131054131054131</v>
      </c>
      <c r="K7" s="301">
        <f t="shared" ref="K7:K14" si="1">IF(J7="","",IF($J$5="lgbf family group",SUM(G$17-G7),IF($J$5="Glasgow City Region",SUM(G$18-G7),IF($J$5="Scotland",SUM(G$19-G7),IF($J$5="United Kingdom",SUM(G$20-G7),SUM(G$16-G7))))))</f>
        <v>14.5</v>
      </c>
    </row>
    <row r="8" spans="2:12" ht="19.5" customHeight="1">
      <c r="B8" s="296" t="s">
        <v>249</v>
      </c>
      <c r="C8" s="296" t="s">
        <v>24</v>
      </c>
      <c r="D8" s="297">
        <f>INDEX('Raw - GVA phw'!$A$4:$G$37,MATCH('GVA phw'!$C8,'Raw - GVA phw'!$B$4:$B$37,0),MATCH('GVA phw'!D$6,'Raw - GVA phw'!$A$4:$G$4,0))</f>
        <v>33</v>
      </c>
      <c r="E8" s="297">
        <f>INDEX('Raw - GVA phw'!$A$4:$G$37,MATCH('GVA phw'!$C8,'Raw - GVA phw'!$B$4:$B$37,0),MATCH('GVA phw'!E$6,'Raw - GVA phw'!$A$4:$G$4,0))</f>
        <v>34.1</v>
      </c>
      <c r="F8" s="297">
        <f>INDEX('Raw - GVA phw'!$A$4:$G$37,MATCH('GVA phw'!$C8,'Raw - GVA phw'!$B$4:$B$37,0),MATCH('GVA phw'!F$6,'Raw - GVA phw'!$A$4:$G$4,0))</f>
        <v>34.799999999999997</v>
      </c>
      <c r="G8" s="297">
        <f>INDEX('Raw - GVA phw'!$A$4:$G$37,MATCH('GVA phw'!$C8,'Raw - GVA phw'!$B$4:$B$37,0),MATCH('GVA phw'!G$6,'Raw - GVA phw'!$A$4:$G$4,0))</f>
        <v>35</v>
      </c>
      <c r="H8" s="320">
        <f t="shared" ref="H8:H14" si="2">SUM(G8-D8)/D8</f>
        <v>6.0606060606060608E-2</v>
      </c>
      <c r="I8" s="321">
        <f t="shared" ref="I8:I14" si="3">G8-D8</f>
        <v>2</v>
      </c>
      <c r="J8" s="322">
        <f t="shared" si="0"/>
        <v>0.4171428571428572</v>
      </c>
      <c r="K8" s="301">
        <f t="shared" si="1"/>
        <v>14.600000000000001</v>
      </c>
    </row>
    <row r="9" spans="2:12" ht="19.5" customHeight="1">
      <c r="B9" s="296" t="s">
        <v>249</v>
      </c>
      <c r="C9" s="296" t="s">
        <v>27</v>
      </c>
      <c r="D9" s="297">
        <f>INDEX('Raw - GVA phw'!$A$4:$G$37,MATCH('GVA phw'!$C9,'Raw - GVA phw'!$B$4:$B$37,0),MATCH('GVA phw'!D$6,'Raw - GVA phw'!$A$4:$G$4,0))</f>
        <v>32.6</v>
      </c>
      <c r="E9" s="297">
        <f>INDEX('Raw - GVA phw'!$A$4:$G$37,MATCH('GVA phw'!$C9,'Raw - GVA phw'!$B$4:$B$37,0),MATCH('GVA phw'!E$6,'Raw - GVA phw'!$A$4:$G$4,0))</f>
        <v>34.200000000000003</v>
      </c>
      <c r="F9" s="297">
        <f>INDEX('Raw - GVA phw'!$A$4:$G$37,MATCH('GVA phw'!$C9,'Raw - GVA phw'!$B$4:$B$37,0),MATCH('GVA phw'!F$6,'Raw - GVA phw'!$A$4:$G$4,0))</f>
        <v>35.299999999999997</v>
      </c>
      <c r="G9" s="297">
        <f>INDEX('Raw - GVA phw'!$A$4:$G$37,MATCH('GVA phw'!$C9,'Raw - GVA phw'!$B$4:$B$37,0),MATCH('GVA phw'!G$6,'Raw - GVA phw'!$A$4:$G$4,0))</f>
        <v>36</v>
      </c>
      <c r="H9" s="320">
        <f t="shared" si="2"/>
        <v>0.10429447852760731</v>
      </c>
      <c r="I9" s="321">
        <f t="shared" si="3"/>
        <v>3.3999999999999986</v>
      </c>
      <c r="J9" s="322">
        <f t="shared" si="0"/>
        <v>0.37777777777777782</v>
      </c>
      <c r="K9" s="301">
        <f t="shared" si="1"/>
        <v>13.600000000000001</v>
      </c>
    </row>
    <row r="10" spans="2:12" ht="19.5" customHeight="1">
      <c r="B10" s="296" t="s">
        <v>249</v>
      </c>
      <c r="C10" s="296" t="s">
        <v>29</v>
      </c>
      <c r="D10" s="297">
        <f>INDEX('Raw - GVA phw'!$A$4:$G$37,MATCH('GVA phw'!$C10,'Raw - GVA phw'!$B$4:$B$37,0),MATCH('GVA phw'!D$6,'Raw - GVA phw'!$A$4:$G$4,0))</f>
        <v>28.1</v>
      </c>
      <c r="E10" s="297">
        <f>INDEX('Raw - GVA phw'!$A$4:$G$37,MATCH('GVA phw'!$C10,'Raw - GVA phw'!$B$4:$B$37,0),MATCH('GVA phw'!E$6,'Raw - GVA phw'!$A$4:$G$4,0))</f>
        <v>27.4</v>
      </c>
      <c r="F10" s="297">
        <f>INDEX('Raw - GVA phw'!$A$4:$G$37,MATCH('GVA phw'!$C10,'Raw - GVA phw'!$B$4:$B$37,0),MATCH('GVA phw'!F$6,'Raw - GVA phw'!$A$4:$G$4,0))</f>
        <v>27.2</v>
      </c>
      <c r="G10" s="297">
        <f>INDEX('Raw - GVA phw'!$A$4:$G$37,MATCH('GVA phw'!$C10,'Raw - GVA phw'!$B$4:$B$37,0),MATCH('GVA phw'!G$6,'Raw - GVA phw'!$A$4:$G$4,0))</f>
        <v>27.1</v>
      </c>
      <c r="H10" s="320">
        <f t="shared" si="2"/>
        <v>-3.5587188612099641E-2</v>
      </c>
      <c r="I10" s="321">
        <f t="shared" si="3"/>
        <v>-1</v>
      </c>
      <c r="J10" s="322">
        <f t="shared" si="0"/>
        <v>0.8302583025830258</v>
      </c>
      <c r="K10" s="301">
        <f t="shared" si="1"/>
        <v>22.5</v>
      </c>
    </row>
    <row r="11" spans="2:12" ht="19.5" customHeight="1">
      <c r="B11" s="296" t="s">
        <v>249</v>
      </c>
      <c r="C11" s="296" t="s">
        <v>34</v>
      </c>
      <c r="D11" s="297">
        <f>INDEX('Raw - GVA phw'!$A$4:$G$37,MATCH('GVA phw'!$C11,'Raw - GVA phw'!$B$4:$B$37,0),MATCH('GVA phw'!D$6,'Raw - GVA phw'!$A$4:$G$4,0))</f>
        <v>37.5</v>
      </c>
      <c r="E11" s="297">
        <f>INDEX('Raw - GVA phw'!$A$4:$G$37,MATCH('GVA phw'!$C11,'Raw - GVA phw'!$B$4:$B$37,0),MATCH('GVA phw'!E$6,'Raw - GVA phw'!$A$4:$G$4,0))</f>
        <v>38.9</v>
      </c>
      <c r="F11" s="297">
        <f>INDEX('Raw - GVA phw'!$A$4:$G$37,MATCH('GVA phw'!$C11,'Raw - GVA phw'!$B$4:$B$37,0),MATCH('GVA phw'!F$6,'Raw - GVA phw'!$A$4:$G$4,0))</f>
        <v>40.1</v>
      </c>
      <c r="G11" s="297">
        <f>INDEX('Raw - GVA phw'!$A$4:$G$37,MATCH('GVA phw'!$C11,'Raw - GVA phw'!$B$4:$B$37,0),MATCH('GVA phw'!G$6,'Raw - GVA phw'!$A$4:$G$4,0))</f>
        <v>40.700000000000003</v>
      </c>
      <c r="H11" s="320">
        <f t="shared" si="2"/>
        <v>8.5333333333333414E-2</v>
      </c>
      <c r="I11" s="321">
        <f t="shared" si="3"/>
        <v>3.2000000000000028</v>
      </c>
      <c r="J11" s="322">
        <f t="shared" si="0"/>
        <v>0.21867321867321862</v>
      </c>
      <c r="K11" s="301">
        <f t="shared" si="1"/>
        <v>8.8999999999999986</v>
      </c>
    </row>
    <row r="12" spans="2:12" ht="19.5" customHeight="1">
      <c r="B12" s="296" t="s">
        <v>249</v>
      </c>
      <c r="C12" s="296" t="s">
        <v>37</v>
      </c>
      <c r="D12" s="297">
        <f>INDEX('Raw - GVA phw'!$A$4:$G$37,MATCH('GVA phw'!$C12,'Raw - GVA phw'!$B$4:$B$37,0),MATCH('GVA phw'!D$6,'Raw - GVA phw'!$A$4:$G$4,0))</f>
        <v>34.5</v>
      </c>
      <c r="E12" s="297">
        <f>INDEX('Raw - GVA phw'!$A$4:$G$37,MATCH('GVA phw'!$C12,'Raw - GVA phw'!$B$4:$B$37,0),MATCH('GVA phw'!E$6,'Raw - GVA phw'!$A$4:$G$4,0))</f>
        <v>35.6</v>
      </c>
      <c r="F12" s="297">
        <f>INDEX('Raw - GVA phw'!$A$4:$G$37,MATCH('GVA phw'!$C12,'Raw - GVA phw'!$B$4:$B$37,0),MATCH('GVA phw'!F$6,'Raw - GVA phw'!$A$4:$G$4,0))</f>
        <v>36.6</v>
      </c>
      <c r="G12" s="297">
        <f>INDEX('Raw - GVA phw'!$A$4:$G$37,MATCH('GVA phw'!$C12,'Raw - GVA phw'!$B$4:$B$37,0),MATCH('GVA phw'!G$6,'Raw - GVA phw'!$A$4:$G$4,0))</f>
        <v>37</v>
      </c>
      <c r="H12" s="320">
        <f t="shared" si="2"/>
        <v>7.2463768115942032E-2</v>
      </c>
      <c r="I12" s="321">
        <f t="shared" si="3"/>
        <v>2.5</v>
      </c>
      <c r="J12" s="322">
        <f t="shared" si="0"/>
        <v>0.34054054054054056</v>
      </c>
      <c r="K12" s="301">
        <f t="shared" si="1"/>
        <v>12.600000000000001</v>
      </c>
    </row>
    <row r="13" spans="2:12" ht="19.5" customHeight="1">
      <c r="B13" s="296" t="s">
        <v>249</v>
      </c>
      <c r="C13" s="296" t="s">
        <v>41</v>
      </c>
      <c r="D13" s="297">
        <f>INDEX('Raw - GVA phw'!$A$4:$G$37,MATCH('GVA phw'!$C13,'Raw - GVA phw'!$B$4:$B$37,0),MATCH('GVA phw'!D$6,'Raw - GVA phw'!$A$4:$G$4,0))</f>
        <v>34.299999999999997</v>
      </c>
      <c r="E13" s="297">
        <f>INDEX('Raw - GVA phw'!$A$4:$G$37,MATCH('GVA phw'!$C13,'Raw - GVA phw'!$B$4:$B$37,0),MATCH('GVA phw'!E$6,'Raw - GVA phw'!$A$4:$G$4,0))</f>
        <v>35.1</v>
      </c>
      <c r="F13" s="297">
        <f>INDEX('Raw - GVA phw'!$A$4:$G$37,MATCH('GVA phw'!$C13,'Raw - GVA phw'!$B$4:$B$37,0),MATCH('GVA phw'!F$6,'Raw - GVA phw'!$A$4:$G$4,0))</f>
        <v>35.700000000000003</v>
      </c>
      <c r="G13" s="297">
        <f>INDEX('Raw - GVA phw'!$A$4:$G$37,MATCH('GVA phw'!$C13,'Raw - GVA phw'!$B$4:$B$37,0),MATCH('GVA phw'!G$6,'Raw - GVA phw'!$A$4:$G$4,0))</f>
        <v>36.200000000000003</v>
      </c>
      <c r="H13" s="320">
        <f t="shared" si="2"/>
        <v>5.5393586005831073E-2</v>
      </c>
      <c r="I13" s="321">
        <f t="shared" si="3"/>
        <v>1.9000000000000057</v>
      </c>
      <c r="J13" s="322">
        <f t="shared" si="0"/>
        <v>0.37016574585635353</v>
      </c>
      <c r="K13" s="301">
        <f t="shared" si="1"/>
        <v>13.399999999999999</v>
      </c>
    </row>
    <row r="14" spans="2:12" ht="19.5" customHeight="1">
      <c r="B14" s="296" t="s">
        <v>249</v>
      </c>
      <c r="C14" s="296" t="s">
        <v>43</v>
      </c>
      <c r="D14" s="297">
        <f>INDEX('Raw - GVA phw'!$A$4:$G$37,MATCH('GVA phw'!$C14,'Raw - GVA phw'!$B$4:$B$37,0),MATCH('GVA phw'!D$6,'Raw - GVA phw'!$A$4:$G$4,0))</f>
        <v>36.5</v>
      </c>
      <c r="E14" s="297">
        <f>INDEX('Raw - GVA phw'!$A$4:$G$37,MATCH('GVA phw'!$C14,'Raw - GVA phw'!$B$4:$B$37,0),MATCH('GVA phw'!E$6,'Raw - GVA phw'!$A$4:$G$4,0))</f>
        <v>36.700000000000003</v>
      </c>
      <c r="F14" s="297">
        <f>INDEX('Raw - GVA phw'!$A$4:$G$37,MATCH('GVA phw'!$C14,'Raw - GVA phw'!$B$4:$B$37,0),MATCH('GVA phw'!F$6,'Raw - GVA phw'!$A$4:$G$4,0))</f>
        <v>36.299999999999997</v>
      </c>
      <c r="G14" s="297">
        <f>INDEX('Raw - GVA phw'!$A$4:$G$37,MATCH('GVA phw'!$C14,'Raw - GVA phw'!$B$4:$B$37,0),MATCH('GVA phw'!G$6,'Raw - GVA phw'!$A$4:$G$4,0))</f>
        <v>36.1</v>
      </c>
      <c r="H14" s="320">
        <f t="shared" si="2"/>
        <v>-1.0958904109589003E-2</v>
      </c>
      <c r="I14" s="321">
        <f t="shared" si="3"/>
        <v>-0.39999999999999858</v>
      </c>
      <c r="J14" s="322">
        <f t="shared" si="0"/>
        <v>0.37396121883656508</v>
      </c>
      <c r="K14" s="301">
        <f t="shared" si="1"/>
        <v>13.5</v>
      </c>
    </row>
    <row r="15" spans="2:12" ht="19.5" customHeight="1">
      <c r="B15" s="303"/>
      <c r="C15" s="303"/>
      <c r="D15" s="304"/>
      <c r="E15" s="304"/>
      <c r="F15" s="304"/>
      <c r="G15" s="304"/>
      <c r="H15" s="306"/>
      <c r="I15" s="306"/>
      <c r="J15" s="306"/>
      <c r="K15" s="306"/>
      <c r="L15" s="306"/>
    </row>
    <row r="16" spans="2:12" ht="19.5" customHeight="1">
      <c r="B16" s="307" t="s">
        <v>51</v>
      </c>
      <c r="C16" s="296" t="str">
        <f>INDEX('Raw - GVA phw'!B6:B37,MATCH(MAX('Raw - GVA phw'!F6:F37),'Raw - GVA phw'!F6:F37,0))</f>
        <v>Clackmannanshire</v>
      </c>
      <c r="D16" s="297">
        <f>VLOOKUP($C16,'Raw - GVA phw'!$B:$Q,2,FALSE)</f>
        <v>44.5</v>
      </c>
      <c r="E16" s="297">
        <f>VLOOKUP($C16,'Raw - GVA phw'!$B:$Q,3,FALSE)</f>
        <v>47</v>
      </c>
      <c r="F16" s="297">
        <f>VLOOKUP($C16,'Raw - GVA phw'!$B:$Q,4,FALSE)</f>
        <v>48.7</v>
      </c>
      <c r="G16" s="297">
        <f>VLOOKUP($C16,'Raw - GVA phw'!$B:$Q,5,FALSE)</f>
        <v>49.6</v>
      </c>
      <c r="H16" s="320">
        <f>SUM(G16-D16)/D16</f>
        <v>0.11460674157303374</v>
      </c>
      <c r="I16" s="321">
        <f>G16-D16</f>
        <v>5.1000000000000014</v>
      </c>
      <c r="J16" s="305"/>
    </row>
    <row r="17" spans="2:12" ht="19.5" customHeight="1">
      <c r="B17" s="307" t="s">
        <v>542</v>
      </c>
      <c r="C17" s="308" t="s">
        <v>546</v>
      </c>
      <c r="D17" s="297">
        <f>VLOOKUP($C17,'Raw - GVA phw'!$B:$Q,2,FALSE)</f>
        <v>34.862499999999997</v>
      </c>
      <c r="E17" s="297">
        <f>VLOOKUP($C17,'Raw - GVA phw'!$B:$Q,3,FALSE)</f>
        <v>35.925000000000004</v>
      </c>
      <c r="F17" s="297">
        <f>VLOOKUP($C17,'Raw - GVA phw'!$B:$Q,4,FALSE)</f>
        <v>36.987499999999997</v>
      </c>
      <c r="G17" s="297">
        <f>VLOOKUP($C17,'Raw - GVA phw'!$B:$Q,5,FALSE)</f>
        <v>37.65</v>
      </c>
      <c r="H17" s="320">
        <f>SUM(G17-D17)/D17</f>
        <v>7.9956973825744043E-2</v>
      </c>
      <c r="I17" s="321">
        <f>G17-D17</f>
        <v>2.7875000000000014</v>
      </c>
    </row>
    <row r="18" spans="2:12" ht="19.5" customHeight="1">
      <c r="B18" s="307" t="s">
        <v>250</v>
      </c>
      <c r="C18" s="296" t="s">
        <v>47</v>
      </c>
      <c r="D18" s="297">
        <f>VLOOKUP($C18,'Raw - GVA phw'!$B:$Q,2,FALSE)</f>
        <v>32.6</v>
      </c>
      <c r="E18" s="297">
        <f>VLOOKUP($C18,'Raw - GVA phw'!$B:$Q,3,FALSE)</f>
        <v>33.799999999999997</v>
      </c>
      <c r="F18" s="297">
        <f>VLOOKUP($C18,'Raw - GVA phw'!$B:$Q,4,FALSE)</f>
        <v>35.1</v>
      </c>
      <c r="G18" s="297">
        <f>VLOOKUP($C18,'Raw - GVA phw'!$B:$Q,5,FALSE)</f>
        <v>36</v>
      </c>
      <c r="H18" s="320">
        <f>SUM(G18-D18)/D18</f>
        <v>0.10429447852760731</v>
      </c>
      <c r="I18" s="321">
        <f>G18-D18</f>
        <v>3.3999999999999986</v>
      </c>
      <c r="J18" s="305"/>
    </row>
    <row r="19" spans="2:12" ht="19.5" customHeight="1">
      <c r="B19" s="307" t="s">
        <v>251</v>
      </c>
      <c r="C19" s="296" t="s">
        <v>45</v>
      </c>
      <c r="D19" s="297">
        <f>VLOOKUP($C19,'Raw - GVA phw'!$B:$Q,2,FALSE)</f>
        <v>34.6</v>
      </c>
      <c r="E19" s="297">
        <f>VLOOKUP($C19,'Raw - GVA phw'!$B:$Q,3,FALSE)</f>
        <v>35.799999999999997</v>
      </c>
      <c r="F19" s="297">
        <f>VLOOKUP($C19,'Raw - GVA phw'!$B:$Q,4,FALSE)</f>
        <v>37.1</v>
      </c>
      <c r="G19" s="297">
        <f>VLOOKUP($C19,'Raw - GVA phw'!$B:$Q,5,FALSE)</f>
        <v>38</v>
      </c>
      <c r="H19" s="320">
        <f>SUM(G19-D19)/D19</f>
        <v>9.8265895953757176E-2</v>
      </c>
      <c r="I19" s="321">
        <f>G19-D19</f>
        <v>3.3999999999999986</v>
      </c>
      <c r="J19" s="305"/>
    </row>
    <row r="20" spans="2:12" ht="19.5" customHeight="1">
      <c r="B20" s="307" t="s">
        <v>251</v>
      </c>
      <c r="C20" s="296" t="s">
        <v>46</v>
      </c>
      <c r="D20" s="297">
        <f>VLOOKUP($C20,'Raw - GVA phw'!$B:$Q,2,FALSE)</f>
        <v>35.4</v>
      </c>
      <c r="E20" s="297">
        <f>VLOOKUP($C20,'Raw - GVA phw'!$B:$Q,3,FALSE)</f>
        <v>36.6</v>
      </c>
      <c r="F20" s="297">
        <f>VLOOKUP($C20,'Raw - GVA phw'!$B:$Q,4,FALSE)</f>
        <v>38.1</v>
      </c>
      <c r="G20" s="297">
        <f>VLOOKUP($C20,'Raw - GVA phw'!$B:$Q,5,FALSE)</f>
        <v>39.1</v>
      </c>
      <c r="H20" s="320">
        <f>SUM(G20-D20)/D20</f>
        <v>0.10451977401129951</v>
      </c>
      <c r="I20" s="321">
        <f>G20-D20</f>
        <v>3.7000000000000028</v>
      </c>
      <c r="J20" s="305"/>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J5</f>
        <v>Top Performing Scottish Local Authority</v>
      </c>
    </row>
    <row r="23" spans="2:12">
      <c r="B23" s="313" t="s">
        <v>467</v>
      </c>
    </row>
    <row r="24" spans="2:12">
      <c r="H24" s="314"/>
      <c r="I24" s="314"/>
      <c r="J24" s="314"/>
      <c r="K24" s="314"/>
      <c r="L24" s="311"/>
    </row>
  </sheetData>
  <sheetProtection algorithmName="SHA-512" hashValue="ChGlIdjX76R4HzPV5aBfh7XBrPkEvd4PL8kIbZ172Ks12E2JiY+wZMCB5pYfYwqD6qV01YgM2hqtbEdcAxfrAA==" saltValue="HSScWPdj48dTmeREeCIfcQ==" spinCount="100000" sheet="1" objects="1" scenarios="1"/>
  <autoFilter ref="B6:K14" xr:uid="{00000000-0009-0000-0000-00002C000000}"/>
  <mergeCells count="4">
    <mergeCell ref="J4:K4"/>
    <mergeCell ref="H5:I5"/>
    <mergeCell ref="J5:K5"/>
    <mergeCell ref="F2:G2"/>
  </mergeCells>
  <dataValidations disablePrompts="1" count="1">
    <dataValidation type="list" allowBlank="1" showInputMessage="1" showErrorMessage="1" sqref="C17" xr:uid="{00000000-0002-0000-2C00-000000000000}">
      <formula1>IF(B17="LGBF Family Group 1",LGBF_5,IF(B17="LGBF Family Group 3",LGBF_7,IF(B17="LGBF Family Group 4",LGBF_8,LGBF_6)))</formula1>
    </dataValidation>
  </dataValidations>
  <hyperlinks>
    <hyperlink ref="F2:G2" location="'Index RAG'!A1" display="Return to Index RAG" xr:uid="{00000000-0004-0000-2C00-000001000000}"/>
    <hyperlink ref="C3" r:id="rId1" xr:uid="{D7082CDE-282A-41BB-8B65-BB992E28E579}"/>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C00-000001000000}">
          <x14:formula1>
            <xm:f>Lookups!$L$8:$O$8</xm:f>
          </x14:formula1>
          <xm:sqref>B17</xm:sqref>
        </x14:dataValidation>
        <x14:dataValidation type="list" allowBlank="1" showInputMessage="1" showErrorMessage="1" xr:uid="{00000000-0002-0000-2C00-000002000000}">
          <x14:formula1>
            <xm:f>Lookups!$B$3:$B$7</xm:f>
          </x14:formula1>
          <xm:sqref>J5:K5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B2:L24"/>
  <sheetViews>
    <sheetView zoomScale="90" zoomScaleNormal="90" workbookViewId="0">
      <selection activeCell="C3" sqref="C3"/>
    </sheetView>
  </sheetViews>
  <sheetFormatPr defaultColWidth="9.1796875" defaultRowHeight="12"/>
  <cols>
    <col min="1" max="1" width="9.1796875" style="251"/>
    <col min="2" max="2" width="31.81640625" style="251" customWidth="1"/>
    <col min="3" max="3" width="24" style="251" customWidth="1" collapsed="1"/>
    <col min="4" max="4" width="14" style="251" customWidth="1" collapsed="1"/>
    <col min="5" max="5" width="14" style="251" customWidth="1"/>
    <col min="6" max="7" width="14" style="251" customWidth="1" collapsed="1"/>
    <col min="8" max="13" width="14" style="251" customWidth="1"/>
    <col min="14" max="16384" width="9.1796875" style="251"/>
  </cols>
  <sheetData>
    <row r="2" spans="2:12" ht="13">
      <c r="B2" s="286" t="s">
        <v>48</v>
      </c>
      <c r="C2" s="287" t="s">
        <v>298</v>
      </c>
      <c r="G2" s="595" t="s">
        <v>507</v>
      </c>
      <c r="H2" s="596"/>
    </row>
    <row r="3" spans="2:12" ht="13">
      <c r="B3" s="286" t="s">
        <v>49</v>
      </c>
      <c r="C3" s="288" t="s">
        <v>299</v>
      </c>
    </row>
    <row r="4" spans="2:12" ht="13">
      <c r="B4" s="287"/>
      <c r="C4" s="289" t="s">
        <v>478</v>
      </c>
      <c r="D4" s="290"/>
      <c r="E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2017</v>
      </c>
      <c r="E6" s="294">
        <v>2018</v>
      </c>
      <c r="F6" s="294">
        <v>2019</v>
      </c>
      <c r="G6" s="294">
        <v>2020</v>
      </c>
      <c r="H6" s="294" t="s">
        <v>200</v>
      </c>
      <c r="I6" s="295" t="s">
        <v>53</v>
      </c>
      <c r="J6" s="295" t="s">
        <v>54</v>
      </c>
      <c r="K6" s="295" t="s">
        <v>56</v>
      </c>
      <c r="L6" s="295" t="s">
        <v>57</v>
      </c>
    </row>
    <row r="7" spans="2:12" ht="19.5" customHeight="1">
      <c r="B7" s="296" t="s">
        <v>249</v>
      </c>
      <c r="C7" s="296" t="s">
        <v>22</v>
      </c>
      <c r="D7" s="297">
        <f>IF(VLOOKUP($C7,'Raw - R&amp;D'!$A:$Q,4,FALSE)="","-",(VLOOKUP($C7,'Raw - R&amp;D'!$A:$Q,4,FALSE)))</f>
        <v>17.525201146767781</v>
      </c>
      <c r="E7" s="297" t="str">
        <f>IF(VLOOKUP($C7,'Raw - R&amp;D'!$A:$Q,8,FALSE)="","-",(VLOOKUP($C7,'Raw - R&amp;D'!$A:$Q,8,FALSE)))</f>
        <v>-</v>
      </c>
      <c r="F7" s="297">
        <f>IF(VLOOKUP($C7,'Raw - R&amp;D'!$A:$Q,12,FALSE)="","-",(VLOOKUP($C7,'Raw - R&amp;D'!$A:$Q,12,FALSE)))</f>
        <v>19.293078055964653</v>
      </c>
      <c r="G7" s="297">
        <f>IF(VLOOKUP($C7,'Raw - R&amp;D'!$A:$Q,16,FALSE)="","-",(VLOOKUP($C7,'Raw - R&amp;D'!$A:$Q,16,FALSE)))</f>
        <v>21.563218390804597</v>
      </c>
      <c r="H7" s="318">
        <f>IF(VLOOKUP($C7,'Raw - R&amp;D'!$A:$Q,14,FALSE)="","-",(VLOOKUP($C7,'Raw - R&amp;D'!$A:$Q,14,FALSE)))</f>
        <v>2345</v>
      </c>
      <c r="I7" s="299">
        <f>G7-D7</f>
        <v>4.0380172440368156</v>
      </c>
      <c r="J7" s="300">
        <f>SUM(VLOOKUP(C7,'Raw - R&amp;D'!A:Q,14,FALSE)-VLOOKUP(C7,'Raw - R&amp;D'!A:Q,2,FALSE))</f>
        <v>450</v>
      </c>
      <c r="K7" s="301">
        <f t="shared" ref="K7:K13" si="0">IF(IF($K$5="lgbf family group",SUM(G$17-G7),IF($K$5="Glasgow City Region",SUM(G$18-G7),IF($K$5="Scotland",SUM(G$19-G7),IF($K$5="United Kingdom",SUM(G$20-G7),SUM(G$16-G7)))))&lt;0,"",IF($K$5="lgbf family group",SUM(G$17-G7),IF($K$5="Glasgow City Region",SUM(G$18-G7),IF($K$5="Scotland",SUM(G$19-G7),IF($K$5="United Kingdom",SUM(G$20-G7),SUM(G$16-G7))))))</f>
        <v>959.72282230117662</v>
      </c>
      <c r="L7" s="302">
        <f>IF(K7="","",IF($K$5="lgbf family group",SUM(MROUND(SUM(SUM(VLOOKUP(C$17,'Raw - R&amp;D'!A:Q,16,FALSE)*VLOOKUP(C7,'Raw - R&amp;D'!A:Q,15,FALSE))/100),100)-MROUND(SUM(SUM(VLOOKUP(C7,'Raw - R&amp;D'!A:Q,16,FALSE)*VLOOKUP(C7,'Raw - R&amp;D'!A:Q,15,FALSE))/100),100)),IF($K$5="Glasgow City Region",SUM(MROUND(SUM(SUM(VLOOKUP(C$18,'Raw - R&amp;D'!A:Q,16,FALSE)*VLOOKUP(C7,'Raw - R&amp;D'!A:Q,15,FALSE))/100),100)-MROUND(SUM(SUM(VLOOKUP(C7,'Raw - R&amp;D'!A:Q,16,FALSE)*VLOOKUP(C7,'Raw - R&amp;D'!A:Q,15,FALSE))/100),100)),IF($K$5="Scotland",SUM(MROUND(SUM(SUM(VLOOKUP(C$19,'Raw - R&amp;D'!A:Q,16,FALSE)*VLOOKUP(C7,'Raw - R&amp;D'!A:Q,15,FALSE))/100),100)-MROUND(SUM(SUM(VLOOKUP(C7,'Raw - R&amp;D'!A:Q,16,FALSE)*VLOOKUP(C7,'Raw - R&amp;D'!A:Q,15,FALSE))/100),100)),IF($K$5="United Kingdom",SUM(MROUND(SUM(SUM(VLOOKUP(C$20,'Raw - R&amp;D'!A:Q,16,FALSE)*VLOOKUP(C7,'Raw - R&amp;D'!A:Q,15,FALSE))/100),100)-MROUND(SUM(SUM(VLOOKUP(C7,'Raw - R&amp;D'!A:Q,16,FALSE)*VLOOKUP(C7,'Raw - R&amp;D'!A:Q,15,FALSE))/100),100)),SUM(MROUND(SUM(SUM(VLOOKUP(C$16,'Raw - R&amp;D'!A:Q,16,FALSE)*VLOOKUP(C7,'Raw - R&amp;D'!A:Q,15,FALSE))/100),100)-MROUND(SUM(SUM(VLOOKUP(C7,'Raw - R&amp;D'!A:Q,16,FALSE)*VLOOKUP(C7,'Raw - R&amp;D'!A:Q,15,FALSE))/100),100)))))))</f>
        <v>1043600</v>
      </c>
    </row>
    <row r="8" spans="2:12" ht="19.5" customHeight="1">
      <c r="B8" s="296" t="s">
        <v>249</v>
      </c>
      <c r="C8" s="296" t="s">
        <v>24</v>
      </c>
      <c r="D8" s="297">
        <f>IF(VLOOKUP($C8,'Raw - R&amp;D'!$A:$Q,4,FALSE)="","-",(VLOOKUP($C8,'Raw - R&amp;D'!$A:$Q,4,FALSE)))</f>
        <v>37.895736597720557</v>
      </c>
      <c r="E8" s="297">
        <f>IF(VLOOKUP($C8,'Raw - R&amp;D'!$A:$Q,8,FALSE)="","-",(VLOOKUP($C8,'Raw - R&amp;D'!$A:$Q,8,FALSE)))</f>
        <v>37.469790900493855</v>
      </c>
      <c r="F8" s="297">
        <f>IF(VLOOKUP($C8,'Raw - R&amp;D'!$A:$Q,12,FALSE)="","-",(VLOOKUP($C8,'Raw - R&amp;D'!$A:$Q,12,FALSE)))</f>
        <v>37.705432848319901</v>
      </c>
      <c r="G8" s="297">
        <f>IF(VLOOKUP($C8,'Raw - R&amp;D'!$A:$Q,16,FALSE)="","-",(VLOOKUP($C8,'Raw - R&amp;D'!$A:$Q,16,FALSE)))</f>
        <v>56.953987091401203</v>
      </c>
      <c r="H8" s="318">
        <f>IF(VLOOKUP($C8,'Raw - R&amp;D'!$A:$Q,14,FALSE)="","-",(VLOOKUP($C8,'Raw - R&amp;D'!$A:$Q,14,FALSE)))</f>
        <v>5471</v>
      </c>
      <c r="I8" s="299">
        <f t="shared" ref="I8:I19" si="1">G8-D8</f>
        <v>19.058250493680646</v>
      </c>
      <c r="J8" s="300">
        <f>SUM(VLOOKUP(C8,'Raw - R&amp;D'!A:Q,14,FALSE)-VLOOKUP(C8,'Raw - R&amp;D'!A:Q,2,FALSE))</f>
        <v>1880</v>
      </c>
      <c r="K8" s="301">
        <f t="shared" si="0"/>
        <v>924.33205360058002</v>
      </c>
      <c r="L8" s="302">
        <f>IF(K8="","",IF($K$5="lgbf family group",SUM(MROUND(SUM(SUM(VLOOKUP(C$17,'Raw - R&amp;D'!A:Q,16,FALSE)*VLOOKUP(C8,'Raw - R&amp;D'!A:Q,15,FALSE))/100),100)-MROUND(SUM(SUM(VLOOKUP(C8,'Raw - R&amp;D'!A:Q,16,FALSE)*VLOOKUP(C8,'Raw - R&amp;D'!A:Q,15,FALSE))/100),100)),IF($K$5="Glasgow City Region",SUM(MROUND(SUM(SUM(VLOOKUP(C$18,'Raw - R&amp;D'!A:Q,16,FALSE)*VLOOKUP(C8,'Raw - R&amp;D'!A:Q,15,FALSE))/100),100)-MROUND(SUM(SUM(VLOOKUP(C8,'Raw - R&amp;D'!A:Q,16,FALSE)*VLOOKUP(C8,'Raw - R&amp;D'!A:Q,15,FALSE))/100),100)),IF($K$5="Scotland",SUM(MROUND(SUM(SUM(VLOOKUP(C$19,'Raw - R&amp;D'!A:Q,16,FALSE)*VLOOKUP(C8,'Raw - R&amp;D'!A:Q,15,FALSE))/100),100)-MROUND(SUM(SUM(VLOOKUP(C8,'Raw - R&amp;D'!A:Q,16,FALSE)*VLOOKUP(C8,'Raw - R&amp;D'!A:Q,15,FALSE))/100),100)),IF($K$5="United Kingdom",SUM(MROUND(SUM(SUM(VLOOKUP(C$20,'Raw - R&amp;D'!A:Q,16,FALSE)*VLOOKUP(C8,'Raw - R&amp;D'!A:Q,15,FALSE))/100),100)-MROUND(SUM(SUM(VLOOKUP(C8,'Raw - R&amp;D'!A:Q,16,FALSE)*VLOOKUP(C8,'Raw - R&amp;D'!A:Q,15,FALSE))/100),100)),SUM(MROUND(SUM(SUM(VLOOKUP(C$16,'Raw - R&amp;D'!A:Q,16,FALSE)*VLOOKUP(C8,'Raw - R&amp;D'!A:Q,15,FALSE))/100),100)-MROUND(SUM(SUM(VLOOKUP(C8,'Raw - R&amp;D'!A:Q,16,FALSE)*VLOOKUP(C8,'Raw - R&amp;D'!A:Q,15,FALSE))/100),100)))))))</f>
        <v>887900</v>
      </c>
    </row>
    <row r="9" spans="2:12" ht="19.5" customHeight="1">
      <c r="B9" s="296" t="s">
        <v>249</v>
      </c>
      <c r="C9" s="296" t="s">
        <v>27</v>
      </c>
      <c r="D9" s="297">
        <f>IF(VLOOKUP($C9,'Raw - R&amp;D'!$A:$Q,4,FALSE)="","-",(VLOOKUP($C9,'Raw - R&amp;D'!$A:$Q,4,FALSE)))</f>
        <v>328.61904608547229</v>
      </c>
      <c r="E9" s="297">
        <f>IF(VLOOKUP($C9,'Raw - R&amp;D'!$A:$Q,8,FALSE)="","-",(VLOOKUP($C9,'Raw - R&amp;D'!$A:$Q,8,FALSE)))</f>
        <v>303.56475790616372</v>
      </c>
      <c r="F9" s="297">
        <f>IF(VLOOKUP($C9,'Raw - R&amp;D'!$A:$Q,12,FALSE)="","-",(VLOOKUP($C9,'Raw - R&amp;D'!$A:$Q,12,FALSE)))</f>
        <v>348.17728076825875</v>
      </c>
      <c r="G9" s="297">
        <f>IF(VLOOKUP($C9,'Raw - R&amp;D'!$A:$Q,16,FALSE)="","-",(VLOOKUP($C9,'Raw - R&amp;D'!$A:$Q,16,FALSE)))</f>
        <v>322.13202441633632</v>
      </c>
      <c r="H9" s="318">
        <f>IF(VLOOKUP($C9,'Raw - R&amp;D'!$A:$Q,14,FALSE)="","-",(VLOOKUP($C9,'Raw - R&amp;D'!$A:$Q,14,FALSE)))</f>
        <v>204760</v>
      </c>
      <c r="I9" s="299">
        <f t="shared" si="1"/>
        <v>-6.4870216691359701</v>
      </c>
      <c r="J9" s="300">
        <f>SUM(VLOOKUP(C9,'Raw - R&amp;D'!A:Q,14,FALSE)-VLOOKUP(C9,'Raw - R&amp;D'!A:Q,2,FALSE))</f>
        <v>681</v>
      </c>
      <c r="K9" s="301">
        <f t="shared" si="0"/>
        <v>659.15401627564495</v>
      </c>
      <c r="L9" s="302">
        <f>IF(K9="","",IF($K$5="lgbf family group",SUM(MROUND(SUM(SUM(VLOOKUP(C$17,'Raw - R&amp;D'!A:Q,16,FALSE)*VLOOKUP(C9,'Raw - R&amp;D'!A:Q,15,FALSE))/100),100)-MROUND(SUM(SUM(VLOOKUP(C9,'Raw - R&amp;D'!A:Q,16,FALSE)*VLOOKUP(C9,'Raw - R&amp;D'!A:Q,15,FALSE))/100),100)),IF($K$5="Glasgow City Region",SUM(MROUND(SUM(SUM(VLOOKUP(C$18,'Raw - R&amp;D'!A:Q,16,FALSE)*VLOOKUP(C9,'Raw - R&amp;D'!A:Q,15,FALSE))/100),100)-MROUND(SUM(SUM(VLOOKUP(C9,'Raw - R&amp;D'!A:Q,16,FALSE)*VLOOKUP(C9,'Raw - R&amp;D'!A:Q,15,FALSE))/100),100)),IF($K$5="Scotland",SUM(MROUND(SUM(SUM(VLOOKUP(C$19,'Raw - R&amp;D'!A:Q,16,FALSE)*VLOOKUP(C9,'Raw - R&amp;D'!A:Q,15,FALSE))/100),100)-MROUND(SUM(SUM(VLOOKUP(C9,'Raw - R&amp;D'!A:Q,16,FALSE)*VLOOKUP(C9,'Raw - R&amp;D'!A:Q,15,FALSE))/100),100)),IF($K$5="United Kingdom",SUM(MROUND(SUM(SUM(VLOOKUP(C$20,'Raw - R&amp;D'!A:Q,16,FALSE)*VLOOKUP(C9,'Raw - R&amp;D'!A:Q,15,FALSE))/100),100)-MROUND(SUM(SUM(VLOOKUP(C9,'Raw - R&amp;D'!A:Q,16,FALSE)*VLOOKUP(C9,'Raw - R&amp;D'!A:Q,15,FALSE))/100),100)),SUM(MROUND(SUM(SUM(VLOOKUP(C$16,'Raw - R&amp;D'!A:Q,16,FALSE)*VLOOKUP(C9,'Raw - R&amp;D'!A:Q,15,FALSE))/100),100)-MROUND(SUM(SUM(VLOOKUP(C9,'Raw - R&amp;D'!A:Q,16,FALSE)*VLOOKUP(C9,'Raw - R&amp;D'!A:Q,15,FALSE))/100),100)))))))</f>
        <v>4189800</v>
      </c>
    </row>
    <row r="10" spans="2:12" ht="19.5" customHeight="1">
      <c r="B10" s="296" t="s">
        <v>249</v>
      </c>
      <c r="C10" s="296" t="s">
        <v>29</v>
      </c>
      <c r="D10" s="297">
        <f>IF(VLOOKUP($C10,'Raw - R&amp;D'!$A:$Q,4,FALSE)="","-",(VLOOKUP($C10,'Raw - R&amp;D'!$A:$Q,4,FALSE)))</f>
        <v>42.724733367191462</v>
      </c>
      <c r="E10" s="297">
        <f>IF(VLOOKUP($C10,'Raw - R&amp;D'!$A:$Q,8,FALSE)="","-",(VLOOKUP($C10,'Raw - R&amp;D'!$A:$Q,8,FALSE)))</f>
        <v>56.685860524632112</v>
      </c>
      <c r="F10" s="297">
        <f>IF(VLOOKUP($C10,'Raw - R&amp;D'!$A:$Q,12,FALSE)="","-",(VLOOKUP($C10,'Raw - R&amp;D'!$A:$Q,12,FALSE)))</f>
        <v>48.136246786632391</v>
      </c>
      <c r="G10" s="297">
        <f>IF(VLOOKUP($C10,'Raw - R&amp;D'!$A:$Q,16,FALSE)="","-",(VLOOKUP($C10,'Raw - R&amp;D'!$A:$Q,16,FALSE)))</f>
        <v>165.4814430314041</v>
      </c>
      <c r="H10" s="318">
        <f>IF(VLOOKUP($C10,'Raw - R&amp;D'!$A:$Q,14,FALSE)="","-",(VLOOKUP($C10,'Raw - R&amp;D'!$A:$Q,14,FALSE)))</f>
        <v>12752</v>
      </c>
      <c r="I10" s="299">
        <f t="shared" si="1"/>
        <v>122.75670966421264</v>
      </c>
      <c r="J10" s="300">
        <f>SUM(VLOOKUP(C10,'Raw - R&amp;D'!A:Q,14,FALSE)-VLOOKUP(C10,'Raw - R&amp;D'!A:Q,2,FALSE))</f>
        <v>9387</v>
      </c>
      <c r="K10" s="301">
        <f t="shared" si="0"/>
        <v>815.8045976605772</v>
      </c>
      <c r="L10" s="302">
        <f>IF(K10="","",IF($K$5="lgbf family group",SUM(MROUND(SUM(SUM(VLOOKUP(C$17,'Raw - R&amp;D'!A:Q,16,FALSE)*VLOOKUP(C10,'Raw - R&amp;D'!A:Q,15,FALSE))/100),100)-MROUND(SUM(SUM(VLOOKUP(C10,'Raw - R&amp;D'!A:Q,16,FALSE)*VLOOKUP(C10,'Raw - R&amp;D'!A:Q,15,FALSE))/100),100)),IF($K$5="Glasgow City Region",SUM(MROUND(SUM(SUM(VLOOKUP(C$18,'Raw - R&amp;D'!A:Q,16,FALSE)*VLOOKUP(C10,'Raw - R&amp;D'!A:Q,15,FALSE))/100),100)-MROUND(SUM(SUM(VLOOKUP(C10,'Raw - R&amp;D'!A:Q,16,FALSE)*VLOOKUP(C10,'Raw - R&amp;D'!A:Q,15,FALSE))/100),100)),IF($K$5="Scotland",SUM(MROUND(SUM(SUM(VLOOKUP(C$19,'Raw - R&amp;D'!A:Q,16,FALSE)*VLOOKUP(C10,'Raw - R&amp;D'!A:Q,15,FALSE))/100),100)-MROUND(SUM(SUM(VLOOKUP(C10,'Raw - R&amp;D'!A:Q,16,FALSE)*VLOOKUP(C10,'Raw - R&amp;D'!A:Q,15,FALSE))/100),100)),IF($K$5="United Kingdom",SUM(MROUND(SUM(SUM(VLOOKUP(C$20,'Raw - R&amp;D'!A:Q,16,FALSE)*VLOOKUP(C10,'Raw - R&amp;D'!A:Q,15,FALSE))/100),100)-MROUND(SUM(SUM(VLOOKUP(C10,'Raw - R&amp;D'!A:Q,16,FALSE)*VLOOKUP(C10,'Raw - R&amp;D'!A:Q,15,FALSE))/100),100)),SUM(MROUND(SUM(SUM(VLOOKUP(C$16,'Raw - R&amp;D'!A:Q,16,FALSE)*VLOOKUP(C10,'Raw - R&amp;D'!A:Q,15,FALSE))/100),100)-MROUND(SUM(SUM(VLOOKUP(C10,'Raw - R&amp;D'!A:Q,16,FALSE)*VLOOKUP(C10,'Raw - R&amp;D'!A:Q,15,FALSE))/100),100)))))))</f>
        <v>628700</v>
      </c>
    </row>
    <row r="11" spans="2:12" ht="19.5" customHeight="1">
      <c r="B11" s="296" t="s">
        <v>249</v>
      </c>
      <c r="C11" s="296" t="s">
        <v>34</v>
      </c>
      <c r="D11" s="297">
        <f>IF(VLOOKUP($C11,'Raw - R&amp;D'!$A:$Q,4,FALSE)="","-",(VLOOKUP($C11,'Raw - R&amp;D'!$A:$Q,4,FALSE)))</f>
        <v>188.15743028591601</v>
      </c>
      <c r="E11" s="297">
        <f>IF(VLOOKUP($C11,'Raw - R&amp;D'!$A:$Q,8,FALSE)="","-",(VLOOKUP($C11,'Raw - R&amp;D'!$A:$Q,8,FALSE)))</f>
        <v>193.85913339996472</v>
      </c>
      <c r="F11" s="297">
        <f>IF(VLOOKUP($C11,'Raw - R&amp;D'!$A:$Q,12,FALSE)="","-",(VLOOKUP($C11,'Raw - R&amp;D'!$A:$Q,12,FALSE)))</f>
        <v>199.67191024401674</v>
      </c>
      <c r="G11" s="297">
        <f>IF(VLOOKUP($C11,'Raw - R&amp;D'!$A:$Q,16,FALSE)="","-",(VLOOKUP($C11,'Raw - R&amp;D'!$A:$Q,16,FALSE)))</f>
        <v>205.98874362431846</v>
      </c>
      <c r="H11" s="318">
        <f>IF(VLOOKUP($C11,'Raw - R&amp;D'!$A:$Q,14,FALSE)="","-",(VLOOKUP($C11,'Raw - R&amp;D'!$A:$Q,14,FALSE)))</f>
        <v>70271</v>
      </c>
      <c r="I11" s="299">
        <f t="shared" si="1"/>
        <v>17.831313338402452</v>
      </c>
      <c r="J11" s="300">
        <f>SUM(VLOOKUP(C11,'Raw - R&amp;D'!A:Q,14,FALSE)-VLOOKUP(C11,'Raw - R&amp;D'!A:Q,2,FALSE))</f>
        <v>6305</v>
      </c>
      <c r="K11" s="301">
        <f t="shared" si="0"/>
        <v>775.29729706766284</v>
      </c>
      <c r="L11" s="302">
        <f>IF(K11="","",IF($K$5="lgbf family group",SUM(MROUND(SUM(SUM(VLOOKUP(C$17,'Raw - R&amp;D'!A:Q,16,FALSE)*VLOOKUP(C11,'Raw - R&amp;D'!A:Q,15,FALSE))/100),100)-MROUND(SUM(SUM(VLOOKUP(C11,'Raw - R&amp;D'!A:Q,16,FALSE)*VLOOKUP(C11,'Raw - R&amp;D'!A:Q,15,FALSE))/100),100)),IF($K$5="Glasgow City Region",SUM(MROUND(SUM(SUM(VLOOKUP(C$18,'Raw - R&amp;D'!A:Q,16,FALSE)*VLOOKUP(C11,'Raw - R&amp;D'!A:Q,15,FALSE))/100),100)-MROUND(SUM(SUM(VLOOKUP(C11,'Raw - R&amp;D'!A:Q,16,FALSE)*VLOOKUP(C11,'Raw - R&amp;D'!A:Q,15,FALSE))/100),100)),IF($K$5="Scotland",SUM(MROUND(SUM(SUM(VLOOKUP(C$19,'Raw - R&amp;D'!A:Q,16,FALSE)*VLOOKUP(C11,'Raw - R&amp;D'!A:Q,15,FALSE))/100),100)-MROUND(SUM(SUM(VLOOKUP(C11,'Raw - R&amp;D'!A:Q,16,FALSE)*VLOOKUP(C11,'Raw - R&amp;D'!A:Q,15,FALSE))/100),100)),IF($K$5="United Kingdom",SUM(MROUND(SUM(SUM(VLOOKUP(C$20,'Raw - R&amp;D'!A:Q,16,FALSE)*VLOOKUP(C11,'Raw - R&amp;D'!A:Q,15,FALSE))/100),100)-MROUND(SUM(SUM(VLOOKUP(C11,'Raw - R&amp;D'!A:Q,16,FALSE)*VLOOKUP(C11,'Raw - R&amp;D'!A:Q,15,FALSE))/100),100)),SUM(MROUND(SUM(SUM(VLOOKUP(C$16,'Raw - R&amp;D'!A:Q,16,FALSE)*VLOOKUP(C11,'Raw - R&amp;D'!A:Q,15,FALSE))/100),100)-MROUND(SUM(SUM(VLOOKUP(C11,'Raw - R&amp;D'!A:Q,16,FALSE)*VLOOKUP(C11,'Raw - R&amp;D'!A:Q,15,FALSE))/100),100)))))))</f>
        <v>2644900</v>
      </c>
    </row>
    <row r="12" spans="2:12" ht="19.5" customHeight="1">
      <c r="B12" s="296" t="s">
        <v>249</v>
      </c>
      <c r="C12" s="296" t="s">
        <v>37</v>
      </c>
      <c r="D12" s="297">
        <f>IF(VLOOKUP($C12,'Raw - R&amp;D'!$A:$Q,4,FALSE)="","-",(VLOOKUP($C12,'Raw - R&amp;D'!$A:$Q,4,FALSE)))</f>
        <v>160.18775094723745</v>
      </c>
      <c r="E12" s="297">
        <f>IF(VLOOKUP($C12,'Raw - R&amp;D'!$A:$Q,8,FALSE)="","-",(VLOOKUP($C12,'Raw - R&amp;D'!$A:$Q,8,FALSE)))</f>
        <v>178.547724843917</v>
      </c>
      <c r="F12" s="297">
        <f>IF(VLOOKUP($C12,'Raw - R&amp;D'!$A:$Q,12,FALSE)="","-",(VLOOKUP($C12,'Raw - R&amp;D'!$A:$Q,12,FALSE)))</f>
        <v>203.23841429369068</v>
      </c>
      <c r="G12" s="297">
        <f>IF(VLOOKUP($C12,'Raw - R&amp;D'!$A:$Q,16,FALSE)="","-",(VLOOKUP($C12,'Raw - R&amp;D'!$A:$Q,16,FALSE)))</f>
        <v>199.63208651541336</v>
      </c>
      <c r="H12" s="318">
        <f>IF(VLOOKUP($C12,'Raw - R&amp;D'!$A:$Q,14,FALSE)="","-",(VLOOKUP($C12,'Raw - R&amp;D'!$A:$Q,14,FALSE)))</f>
        <v>35812</v>
      </c>
      <c r="I12" s="299">
        <f t="shared" si="1"/>
        <v>39.444335568175916</v>
      </c>
      <c r="J12" s="300">
        <f>SUM(VLOOKUP(C12,'Raw - R&amp;D'!A:Q,14,FALSE)-VLOOKUP(C12,'Raw - R&amp;D'!A:Q,2,FALSE))</f>
        <v>7486</v>
      </c>
      <c r="K12" s="301">
        <f t="shared" si="0"/>
        <v>781.65395417656794</v>
      </c>
      <c r="L12" s="302">
        <f>IF(K12="","",IF($K$5="lgbf family group",SUM(MROUND(SUM(SUM(VLOOKUP(C$17,'Raw - R&amp;D'!A:Q,16,FALSE)*VLOOKUP(C12,'Raw - R&amp;D'!A:Q,15,FALSE))/100),100)-MROUND(SUM(SUM(VLOOKUP(C12,'Raw - R&amp;D'!A:Q,16,FALSE)*VLOOKUP(C12,'Raw - R&amp;D'!A:Q,15,FALSE))/100),100)),IF($K$5="Glasgow City Region",SUM(MROUND(SUM(SUM(VLOOKUP(C$18,'Raw - R&amp;D'!A:Q,16,FALSE)*VLOOKUP(C12,'Raw - R&amp;D'!A:Q,15,FALSE))/100),100)-MROUND(SUM(SUM(VLOOKUP(C12,'Raw - R&amp;D'!A:Q,16,FALSE)*VLOOKUP(C12,'Raw - R&amp;D'!A:Q,15,FALSE))/100),100)),IF($K$5="Scotland",SUM(MROUND(SUM(SUM(VLOOKUP(C$19,'Raw - R&amp;D'!A:Q,16,FALSE)*VLOOKUP(C12,'Raw - R&amp;D'!A:Q,15,FALSE))/100),100)-MROUND(SUM(SUM(VLOOKUP(C12,'Raw - R&amp;D'!A:Q,16,FALSE)*VLOOKUP(C12,'Raw - R&amp;D'!A:Q,15,FALSE))/100),100)),IF($K$5="United Kingdom",SUM(MROUND(SUM(SUM(VLOOKUP(C$20,'Raw - R&amp;D'!A:Q,16,FALSE)*VLOOKUP(C12,'Raw - R&amp;D'!A:Q,15,FALSE))/100),100)-MROUND(SUM(SUM(VLOOKUP(C12,'Raw - R&amp;D'!A:Q,16,FALSE)*VLOOKUP(C12,'Raw - R&amp;D'!A:Q,15,FALSE))/100),100)),SUM(MROUND(SUM(SUM(VLOOKUP(C$16,'Raw - R&amp;D'!A:Q,16,FALSE)*VLOOKUP(C12,'Raw - R&amp;D'!A:Q,15,FALSE))/100),100)-MROUND(SUM(SUM(VLOOKUP(C12,'Raw - R&amp;D'!A:Q,16,FALSE)*VLOOKUP(C12,'Raw - R&amp;D'!A:Q,15,FALSE))/100),100)))))))</f>
        <v>1402200</v>
      </c>
    </row>
    <row r="13" spans="2:12" ht="19.5" customHeight="1">
      <c r="B13" s="296" t="s">
        <v>249</v>
      </c>
      <c r="C13" s="296" t="s">
        <v>41</v>
      </c>
      <c r="D13" s="297">
        <f>IF(VLOOKUP($C13,'Raw - R&amp;D'!$A:$Q,4,FALSE)="","-",(VLOOKUP($C13,'Raw - R&amp;D'!$A:$Q,4,FALSE)))</f>
        <v>69.104566741050377</v>
      </c>
      <c r="E13" s="297">
        <f>IF(VLOOKUP($C13,'Raw - R&amp;D'!$A:$Q,8,FALSE)="","-",(VLOOKUP($C13,'Raw - R&amp;D'!$A:$Q,8,FALSE)))</f>
        <v>70.983010469563041</v>
      </c>
      <c r="F13" s="297">
        <f>IF(VLOOKUP($C13,'Raw - R&amp;D'!$A:$Q,12,FALSE)="","-",(VLOOKUP($C13,'Raw - R&amp;D'!$A:$Q,12,FALSE)))</f>
        <v>80.962780394970835</v>
      </c>
      <c r="G13" s="297">
        <f>IF(VLOOKUP($C13,'Raw - R&amp;D'!$A:$Q,16,FALSE)="","-",(VLOOKUP($C13,'Raw - R&amp;D'!$A:$Q,16,FALSE)))</f>
        <v>87.073748519418984</v>
      </c>
      <c r="H13" s="318">
        <f>IF(VLOOKUP($C13,'Raw - R&amp;D'!$A:$Q,14,FALSE)="","-",(VLOOKUP($C13,'Raw - R&amp;D'!$A:$Q,14,FALSE)))</f>
        <v>27935</v>
      </c>
      <c r="I13" s="299">
        <f t="shared" si="1"/>
        <v>17.969181778368608</v>
      </c>
      <c r="J13" s="300">
        <f>SUM(VLOOKUP(C13,'Raw - R&amp;D'!A:Q,14,FALSE)-VLOOKUP(C13,'Raw - R&amp;D'!A:Q,2,FALSE))</f>
        <v>5948</v>
      </c>
      <c r="K13" s="301">
        <f t="shared" si="0"/>
        <v>894.21229217256223</v>
      </c>
      <c r="L13" s="302">
        <f>IF(K13="","",IF($K$5="lgbf family group",SUM(MROUND(SUM(SUM(VLOOKUP(C$17,'Raw - R&amp;D'!A:Q,16,FALSE)*VLOOKUP(C13,'Raw - R&amp;D'!A:Q,15,FALSE))/100),100)-MROUND(SUM(SUM(VLOOKUP(C13,'Raw - R&amp;D'!A:Q,16,FALSE)*VLOOKUP(C13,'Raw - R&amp;D'!A:Q,15,FALSE))/100),100)),IF($K$5="Glasgow City Region",SUM(MROUND(SUM(SUM(VLOOKUP(C$18,'Raw - R&amp;D'!A:Q,16,FALSE)*VLOOKUP(C13,'Raw - R&amp;D'!A:Q,15,FALSE))/100),100)-MROUND(SUM(SUM(VLOOKUP(C13,'Raw - R&amp;D'!A:Q,16,FALSE)*VLOOKUP(C13,'Raw - R&amp;D'!A:Q,15,FALSE))/100),100)),IF($K$5="Scotland",SUM(MROUND(SUM(SUM(VLOOKUP(C$19,'Raw - R&amp;D'!A:Q,16,FALSE)*VLOOKUP(C13,'Raw - R&amp;D'!A:Q,15,FALSE))/100),100)-MROUND(SUM(SUM(VLOOKUP(C13,'Raw - R&amp;D'!A:Q,16,FALSE)*VLOOKUP(C13,'Raw - R&amp;D'!A:Q,15,FALSE))/100),100)),IF($K$5="United Kingdom",SUM(MROUND(SUM(SUM(VLOOKUP(C$20,'Raw - R&amp;D'!A:Q,16,FALSE)*VLOOKUP(C13,'Raw - R&amp;D'!A:Q,15,FALSE))/100),100)-MROUND(SUM(SUM(VLOOKUP(C13,'Raw - R&amp;D'!A:Q,16,FALSE)*VLOOKUP(C13,'Raw - R&amp;D'!A:Q,15,FALSE))/100),100)),SUM(MROUND(SUM(SUM(VLOOKUP(C$16,'Raw - R&amp;D'!A:Q,16,FALSE)*VLOOKUP(C13,'Raw - R&amp;D'!A:Q,15,FALSE))/100),100)-MROUND(SUM(SUM(VLOOKUP(C13,'Raw - R&amp;D'!A:Q,16,FALSE)*VLOOKUP(C13,'Raw - R&amp;D'!A:Q,15,FALSE))/100),100)))))))</f>
        <v>2868800</v>
      </c>
    </row>
    <row r="14" spans="2:12" ht="19.5" customHeight="1">
      <c r="B14" s="296" t="s">
        <v>249</v>
      </c>
      <c r="C14" s="296" t="s">
        <v>43</v>
      </c>
      <c r="D14" s="297">
        <f>IF(VLOOKUP($C14,'Raw - R&amp;D'!$A:$Q,4,FALSE)="","-",(VLOOKUP($C14,'Raw - R&amp;D'!$A:$Q,4,FALSE)))</f>
        <v>178.13860060261132</v>
      </c>
      <c r="E14" s="297" t="str">
        <f>IF(VLOOKUP($C14,'Raw - R&amp;D'!$A:$Q,8,FALSE)="","-",(VLOOKUP($C14,'Raw - R&amp;D'!$A:$Q,8,FALSE)))</f>
        <v>-</v>
      </c>
      <c r="F14" s="297" t="str">
        <f>IF(VLOOKUP($C14,'Raw - R&amp;D'!$A:$Q,12,FALSE)="","-",(VLOOKUP($C14,'Raw - R&amp;D'!$A:$Q,12,FALSE)))</f>
        <v>-</v>
      </c>
      <c r="G14" s="297">
        <f>IF(VLOOKUP($C14,'Raw - R&amp;D'!$A:$Q,16,FALSE)="","-",(VLOOKUP($C14,'Raw - R&amp;D'!$A:$Q,16,FALSE)))</f>
        <v>305.98822730359973</v>
      </c>
      <c r="H14" s="318">
        <f>IF(VLOOKUP($C14,'Raw - R&amp;D'!$A:$Q,14,FALSE)="","-",(VLOOKUP($C14,'Raw - R&amp;D'!$A:$Q,14,FALSE)))</f>
        <v>27031</v>
      </c>
      <c r="I14" s="299">
        <f>G14-D14</f>
        <v>127.84962670098841</v>
      </c>
      <c r="J14" s="300">
        <f>SUM(VLOOKUP(C14,'Raw - R&amp;D'!A:Q,14,FALSE)-VLOOKUP(C14,'Raw - R&amp;D'!A:Q,2,FALSE))</f>
        <v>11068</v>
      </c>
      <c r="K14" s="301">
        <f>IF(IF($K$5="lgbf family group",SUM(G$17-G14),IF($K$5="Glasgow City Region",SUM(G$18-G14),IF($K$5="Scotland",SUM(G$19-G14),IF($K$5="United Kingdom",SUM(G$20-G14),SUM(G$16-G14)))))&lt;0,"",IF($K$5="lgbf family group",SUM(G$17-G14),IF($K$5="Glasgow City Region",SUM(G$18-G14),IF($K$5="Scotland",SUM(G$19-G14),IF($K$5="United Kingdom",SUM(G$20-G14),SUM(G$16-G14))))))</f>
        <v>675.29781338838154</v>
      </c>
      <c r="L14" s="302">
        <f>IF(K14="","",IF($K$5="lgbf family group",SUM(MROUND(SUM(SUM(VLOOKUP(C$17,'Raw - R&amp;D'!A:Q,16,FALSE)*VLOOKUP(C14,'Raw - R&amp;D'!A:Q,15,FALSE))/100),100)-MROUND(SUM(SUM(VLOOKUP(C14,'Raw - R&amp;D'!A:Q,16,FALSE)*VLOOKUP(C14,'Raw - R&amp;D'!A:Q,15,FALSE))/100),100)),IF($K$5="Glasgow City Region",SUM(MROUND(SUM(SUM(VLOOKUP(C$18,'Raw - R&amp;D'!A:Q,16,FALSE)*VLOOKUP(C14,'Raw - R&amp;D'!A:Q,15,FALSE))/100),100)-MROUND(SUM(SUM(VLOOKUP(C14,'Raw - R&amp;D'!A:Q,16,FALSE)*VLOOKUP(C14,'Raw - R&amp;D'!A:Q,15,FALSE))/100),100)),IF($K$5="Scotland",SUM(MROUND(SUM(SUM(VLOOKUP(C$19,'Raw - R&amp;D'!A:Q,16,FALSE)*VLOOKUP(C14,'Raw - R&amp;D'!A:Q,15,FALSE))/100),100)-MROUND(SUM(SUM(VLOOKUP(C14,'Raw - R&amp;D'!A:Q,16,FALSE)*VLOOKUP(C14,'Raw - R&amp;D'!A:Q,15,FALSE))/100),100)),IF($K$5="United Kingdom",SUM(MROUND(SUM(SUM(VLOOKUP(C$20,'Raw - R&amp;D'!A:Q,16,FALSE)*VLOOKUP(C14,'Raw - R&amp;D'!A:Q,15,FALSE))/100),100)-MROUND(SUM(SUM(VLOOKUP(C14,'Raw - R&amp;D'!A:Q,16,FALSE)*VLOOKUP(C14,'Raw - R&amp;D'!A:Q,15,FALSE))/100),100)),SUM(MROUND(SUM(SUM(VLOOKUP(C$16,'Raw - R&amp;D'!A:Q,16,FALSE)*VLOOKUP(C14,'Raw - R&amp;D'!A:Q,15,FALSE))/100),100)-MROUND(SUM(SUM(VLOOKUP(C14,'Raw - R&amp;D'!A:Q,16,FALSE)*VLOOKUP(C14,'Raw - R&amp;D'!A:Q,15,FALSE))/100),100)))))))</f>
        <v>596600</v>
      </c>
    </row>
    <row r="15" spans="2:12" ht="19.5" customHeight="1">
      <c r="B15" s="303"/>
      <c r="C15" s="303"/>
      <c r="D15" s="304"/>
      <c r="E15" s="304"/>
      <c r="F15" s="304"/>
      <c r="G15" s="304"/>
      <c r="H15" s="304"/>
      <c r="I15" s="306"/>
      <c r="J15" s="306"/>
      <c r="K15" s="306"/>
      <c r="L15" s="306"/>
    </row>
    <row r="16" spans="2:12" ht="19.5" customHeight="1">
      <c r="B16" s="307" t="s">
        <v>51</v>
      </c>
      <c r="C16" s="296" t="str">
        <f>INDEX('Raw - R&amp;D'!A9:A40,MATCH(MAX('Raw - R&amp;D'!P9:P40),'Raw - R&amp;D'!P9:P40,0))</f>
        <v>West Lothian</v>
      </c>
      <c r="D16" s="297">
        <f>IF(VLOOKUP($C16,'Raw - R&amp;D'!$A:$Q,4,FALSE)="","-",(VLOOKUP($C16,'Raw - R&amp;D'!$A:$Q,4,FALSE)))</f>
        <v>882.23484639567596</v>
      </c>
      <c r="E16" s="297">
        <f>IF(VLOOKUP($C16,'Raw - R&amp;D'!$A:$Q,8,FALSE)="","-",(VLOOKUP($C16,'Raw - R&amp;D'!$A:$Q,8,FALSE)))</f>
        <v>892.20928955748332</v>
      </c>
      <c r="F16" s="297">
        <f>IF(VLOOKUP($C16,'Raw - R&amp;D'!$A:$Q,12,FALSE)="","-",(VLOOKUP($C16,'Raw - R&amp;D'!$A:$Q,12,FALSE)))</f>
        <v>891.87875477880937</v>
      </c>
      <c r="G16" s="297">
        <f>IF(VLOOKUP($C16,'Raw - R&amp;D'!$A:$Q,16,FALSE)="","-",(VLOOKUP($C16,'Raw - R&amp;D'!$A:$Q,16,FALSE)))</f>
        <v>981.28604069198127</v>
      </c>
      <c r="H16" s="318">
        <f>IF(VLOOKUP($C16,'Raw - R&amp;D'!$A:$Q,14,FALSE)="","-",(VLOOKUP($C16,'Raw - R&amp;D'!$A:$Q,14,FALSE)))</f>
        <v>180380</v>
      </c>
      <c r="I16" s="299">
        <f>G16-D16</f>
        <v>99.051194296305312</v>
      </c>
      <c r="J16" s="300">
        <f>SUM(VLOOKUP(C16,'Raw - R&amp;D'!A:Q,14,FALSE)-VLOOKUP(C16,'Raw - R&amp;D'!A:Q,2,FALSE))</f>
        <v>20422</v>
      </c>
    </row>
    <row r="17" spans="2:12" ht="19.5" customHeight="1">
      <c r="B17" s="307" t="s">
        <v>542</v>
      </c>
      <c r="C17" s="308" t="s">
        <v>546</v>
      </c>
      <c r="D17" s="297">
        <f>IF(VLOOKUP($C17,'Raw - R&amp;D'!$A:$Q,4,FALSE)="","-",(VLOOKUP($C17,'Raw - R&amp;D'!$A:$Q,4,FALSE)))</f>
        <v>38.749711482324614</v>
      </c>
      <c r="E17" s="297">
        <f>IF(VLOOKUP($C17,'Raw - R&amp;D'!$A:$Q,8,FALSE)="","-",(VLOOKUP($C17,'Raw - R&amp;D'!$A:$Q,8,FALSE)))</f>
        <v>45.466182595190283</v>
      </c>
      <c r="F17" s="297">
        <f>IF(VLOOKUP($C17,'Raw - R&amp;D'!$A:$Q,12,FALSE)="","-",(VLOOKUP($C17,'Raw - R&amp;D'!$A:$Q,12,FALSE)))</f>
        <v>45.474302961424165</v>
      </c>
      <c r="G17" s="297">
        <f>IF(VLOOKUP($C17,'Raw - R&amp;D'!$A:$Q,16,FALSE)="","-",(VLOOKUP($C17,'Raw - R&amp;D'!$A:$Q,16,FALSE)))</f>
        <v>42.459050059600081</v>
      </c>
      <c r="H17" s="318">
        <f>IF(VLOOKUP($C17,'Raw - R&amp;D'!$A:$Q,14,FALSE)="","-",(VLOOKUP($C17,'Raw - R&amp;D'!$A:$Q,14,FALSE)))</f>
        <v>951053</v>
      </c>
      <c r="I17" s="299">
        <f t="shared" si="1"/>
        <v>3.7093385772754672</v>
      </c>
      <c r="J17" s="300">
        <f>SUM(VLOOKUP(C17,'Raw - R&amp;D'!A:Q,14,FALSE)-VLOOKUP(C17,'Raw - R&amp;D'!A:Q,2,FALSE))</f>
        <v>94851</v>
      </c>
    </row>
    <row r="18" spans="2:12" ht="19.5" customHeight="1">
      <c r="B18" s="307" t="s">
        <v>250</v>
      </c>
      <c r="C18" s="296" t="s">
        <v>47</v>
      </c>
      <c r="D18" s="297">
        <f>IF(VLOOKUP($C18,'Raw - R&amp;D'!$A:$Q,4,FALSE)="","-",(VLOOKUP($C18,'Raw - R&amp;D'!$A:$Q,4,FALSE)))</f>
        <v>18.780893588143869</v>
      </c>
      <c r="E18" s="297">
        <f>IF(VLOOKUP($C18,'Raw - R&amp;D'!$A:$Q,8,FALSE)="","-",(VLOOKUP($C18,'Raw - R&amp;D'!$A:$Q,8,FALSE)))</f>
        <v>19.458917835671343</v>
      </c>
      <c r="F18" s="297">
        <f>IF(VLOOKUP($C18,'Raw - R&amp;D'!$A:$Q,12,FALSE)="","-",(VLOOKUP($C18,'Raw - R&amp;D'!$A:$Q,12,FALSE)))</f>
        <v>20.522524471980365</v>
      </c>
      <c r="G18" s="297">
        <f>IF(VLOOKUP($C18,'Raw - R&amp;D'!$A:$Q,16,FALSE)="","-",(VLOOKUP($C18,'Raw - R&amp;D'!$A:$Q,16,FALSE)))</f>
        <v>20.916901255954958</v>
      </c>
      <c r="H18" s="318">
        <f>IF(VLOOKUP($C18,'Raw - R&amp;D'!$A:$Q,14,FALSE)="","-",(VLOOKUP($C18,'Raw - R&amp;D'!$A:$Q,14,FALSE)))</f>
        <v>386377</v>
      </c>
      <c r="I18" s="299">
        <f t="shared" si="1"/>
        <v>2.1360076678110893</v>
      </c>
      <c r="J18" s="300">
        <f>SUM(VLOOKUP(C18,'Raw - R&amp;D'!A:Q,14,FALSE)-VLOOKUP(C18,'Raw - R&amp;D'!A:Q,2,FALSE))</f>
        <v>43205</v>
      </c>
    </row>
    <row r="19" spans="2:12" ht="19.5" customHeight="1">
      <c r="B19" s="307" t="s">
        <v>251</v>
      </c>
      <c r="C19" s="296" t="s">
        <v>45</v>
      </c>
      <c r="D19" s="297">
        <f>IF(VLOOKUP($C19,'Raw - R&amp;D'!$A:$Q,4,FALSE)="","-",(VLOOKUP($C19,'Raw - R&amp;D'!$A:$Q,4,FALSE)))</f>
        <v>230.50674679250847</v>
      </c>
      <c r="E19" s="297">
        <f>IF(VLOOKUP($C19,'Raw - R&amp;D'!$A:$Q,8,FALSE)="","-",(VLOOKUP($C19,'Raw - R&amp;D'!$A:$Q,8,FALSE)))</f>
        <v>250.87034074400984</v>
      </c>
      <c r="F19" s="297">
        <f>IF(VLOOKUP($C19,'Raw - R&amp;D'!$A:$Q,12,FALSE)="","-",(VLOOKUP($C19,'Raw - R&amp;D'!$A:$Q,12,FALSE)))</f>
        <v>262.75145058847215</v>
      </c>
      <c r="G19" s="297">
        <f>IF(VLOOKUP($C19,'Raw - R&amp;D'!$A:$Q,16,FALSE)="","-",(VLOOKUP($C19,'Raw - R&amp;D'!$A:$Q,16,FALSE)))</f>
        <v>262.94566410537868</v>
      </c>
      <c r="H19" s="318">
        <f>IF(VLOOKUP($C19,'Raw - R&amp;D'!$A:$Q,14,FALSE)="","-",(VLOOKUP($C19,'Raw - R&amp;D'!$A:$Q,14,FALSE)))</f>
        <v>1437261</v>
      </c>
      <c r="I19" s="299">
        <f t="shared" si="1"/>
        <v>32.438917312870217</v>
      </c>
      <c r="J19" s="300">
        <f>SUM(VLOOKUP(C19,'Raw - R&amp;D'!A:Q,14,FALSE)-VLOOKUP(C19,'Raw - R&amp;D'!A:Q,2,FALSE))</f>
        <v>186808</v>
      </c>
    </row>
    <row r="20" spans="2:12" ht="19.5" customHeight="1">
      <c r="B20" s="307" t="s">
        <v>251</v>
      </c>
      <c r="C20" s="296" t="s">
        <v>46</v>
      </c>
      <c r="D20" s="297" t="s">
        <v>69</v>
      </c>
      <c r="E20" s="297" t="s">
        <v>69</v>
      </c>
      <c r="F20" s="297" t="s">
        <v>69</v>
      </c>
      <c r="G20" s="297" t="s">
        <v>69</v>
      </c>
      <c r="H20" s="318" t="s">
        <v>69</v>
      </c>
      <c r="I20" s="299" t="s">
        <v>69</v>
      </c>
      <c r="J20" s="300" t="s">
        <v>69</v>
      </c>
    </row>
    <row r="21" spans="2:12" ht="19.5" customHeight="1">
      <c r="C21" s="309"/>
      <c r="D21" s="310"/>
      <c r="E21" s="310"/>
      <c r="F21" s="310"/>
      <c r="G21" s="310"/>
      <c r="H21" s="310"/>
      <c r="I21" s="310"/>
      <c r="J21" s="310"/>
      <c r="K21" s="310"/>
      <c r="L21" s="310"/>
    </row>
    <row r="22" spans="2:12">
      <c r="D22" s="311"/>
      <c r="E22" s="311"/>
      <c r="F22" s="311"/>
      <c r="G22" s="312" t="str">
        <f>CONCATENATE(H22,I22)</f>
        <v>Volume Change Required to match Geographic Area - Top Performing Scottish Local Authority</v>
      </c>
      <c r="H22" s="312" t="s">
        <v>519</v>
      </c>
      <c r="I22" s="312" t="str">
        <f>K5</f>
        <v>Top Performing Scottish Local Authority</v>
      </c>
    </row>
    <row r="23" spans="2:12">
      <c r="B23" s="313" t="s">
        <v>467</v>
      </c>
    </row>
    <row r="24" spans="2:12">
      <c r="I24" s="314"/>
      <c r="J24" s="314"/>
      <c r="K24" s="314"/>
      <c r="L24" s="311"/>
    </row>
  </sheetData>
  <autoFilter ref="C6:L14" xr:uid="{00000000-0009-0000-0000-00002D000000}">
    <sortState xmlns:xlrd2="http://schemas.microsoft.com/office/spreadsheetml/2017/richdata2" ref="B7:I14">
      <sortCondition descending="1" ref="H6"/>
    </sortState>
  </autoFilter>
  <mergeCells count="4">
    <mergeCell ref="K4:L4"/>
    <mergeCell ref="I5:J5"/>
    <mergeCell ref="K5:L5"/>
    <mergeCell ref="G2:H2"/>
  </mergeCells>
  <dataValidations count="1">
    <dataValidation type="list" allowBlank="1" showInputMessage="1" showErrorMessage="1" sqref="C17" xr:uid="{00000000-0002-0000-2D00-000000000000}">
      <formula1>IF(B17="LGBF Family Group 1",LGBF_5,IF(B17="LGBF Family Group 3",LGBF_7,IF(B17="LGBF Family Group 4",LGBF_8,LGBF_6)))</formula1>
    </dataValidation>
  </dataValidations>
  <hyperlinks>
    <hyperlink ref="C3" r:id="rId1" xr:uid="{00000000-0004-0000-2D00-000000000000}"/>
    <hyperlink ref="G2:H2" location="'Index RAG'!A1" display="Return to Index RAG" xr:uid="{00000000-0004-0000-2D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D00-000001000000}">
          <x14:formula1>
            <xm:f>Lookups!$B$3:$B$6</xm:f>
          </x14:formula1>
          <xm:sqref>M5</xm:sqref>
        </x14:dataValidation>
        <x14:dataValidation type="list" allowBlank="1" showInputMessage="1" showErrorMessage="1" xr:uid="{00000000-0002-0000-2D00-000002000000}">
          <x14:formula1>
            <xm:f>Lookups!$L$8:$O$8</xm:f>
          </x14:formula1>
          <xm:sqref>B17</xm:sqref>
        </x14:dataValidation>
        <x14:dataValidation type="list" allowBlank="1" showInputMessage="1" showErrorMessage="1" xr:uid="{00000000-0002-0000-2D00-000003000000}">
          <x14:formula1>
            <xm:f>Lookups!$B$9:$B$12</xm:f>
          </x14:formula1>
          <xm:sqref>K5:L5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220</v>
      </c>
      <c r="F2" s="595" t="s">
        <v>507</v>
      </c>
      <c r="G2" s="596"/>
    </row>
    <row r="3" spans="2:12" ht="13">
      <c r="B3" s="286" t="s">
        <v>49</v>
      </c>
      <c r="C3" s="288" t="s">
        <v>218</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2021</v>
      </c>
      <c r="E6" s="294">
        <v>2022</v>
      </c>
      <c r="F6" s="294">
        <v>2023</v>
      </c>
      <c r="G6" s="294">
        <v>2024</v>
      </c>
      <c r="H6" s="294" t="s">
        <v>776</v>
      </c>
      <c r="I6" s="295" t="s">
        <v>53</v>
      </c>
      <c r="J6" s="295" t="s">
        <v>54</v>
      </c>
      <c r="K6" s="295" t="s">
        <v>56</v>
      </c>
      <c r="L6" s="295" t="s">
        <v>57</v>
      </c>
    </row>
    <row r="7" spans="2:12" ht="19.5" customHeight="1">
      <c r="B7" s="296" t="s">
        <v>249</v>
      </c>
      <c r="C7" s="296" t="s">
        <v>22</v>
      </c>
      <c r="D7" s="297">
        <f>VLOOKUP($C7,'Raw - Enterprise'!$A:$Q,4,FALSE)</f>
        <v>450.96179265087784</v>
      </c>
      <c r="E7" s="297">
        <f>VLOOKUP($C7,'Raw - Enterprise'!$A:$Q,8,FALSE)</f>
        <v>447.97345342498221</v>
      </c>
      <c r="F7" s="297">
        <f>VLOOKUP($C7,'Raw - Enterprise'!$A:$Q,12,FALSE)</f>
        <v>442.34458484613072</v>
      </c>
      <c r="G7" s="297">
        <f>VLOOKUP($C7,'Raw - Enterprise'!$A:$Q,16,FALSE)</f>
        <v>439.28261041321008</v>
      </c>
      <c r="H7" s="318">
        <f>VLOOKUP(C7,'Raw - Enterprise'!A:Q,14,FALSE)</f>
        <v>2780</v>
      </c>
      <c r="I7" s="299">
        <f>SUM(G7-D7)</f>
        <v>-11.67918223766776</v>
      </c>
      <c r="J7" s="300">
        <f>SUM(VLOOKUP(C7,'Raw - Enterprise'!A:Q,14,FALSE)-VLOOKUP(C7,'Raw - Enterprise'!A:Q,2,FALSE))</f>
        <v>-120</v>
      </c>
      <c r="K7" s="301">
        <f t="shared" ref="K7:K14" si="0">IF(IF($K$5="lgbf family group",SUM(G$17-G7),IF($K$5="Glasgow City Region",SUM(G$18-G7),IF($K$5="Scotland",SUM(G$19-G7),IF($K$5="United Kingdom",SUM(G$20-G7),SUM(G$16-G7)))))&lt;0,"",IF($K$5="lgbf family group",SUM(G$17-G7),IF($K$5="Glasgow City Region",SUM(G$18-G7),IF($K$5="Scotland",SUM(G$19-G7),IF($K$5="United Kingdom",SUM(G$20-G7),SUM(G$16-G7))))))</f>
        <v>696.17699760009714</v>
      </c>
      <c r="L7" s="302">
        <f>IF(K7="","",IF($K$5="lgbf family group",SUM(MROUND(SUM(SUM(VLOOKUP(C$17,'Raw - Enterprise'!A:Q,16,FALSE)*VLOOKUP(C7,'Raw - Enterprise'!A:Q,15,FALSE))),100)-MROUND(SUM(SUM(VLOOKUP(C7,'Raw - Enterprise'!A:Q,16,FALSE)*VLOOKUP(C7,'Raw - Enterprise'!A:Q,15,FALSE))),100)),IF($K$5="Glasgow City Region",SUM(MROUND(SUM(SUM(VLOOKUP(C$18,'Raw - Enterprise'!A:Q,16,FALSE)*VLOOKUP(C7,'Raw - Enterprise'!A:Q,15,FALSE))),100)-MROUND(SUM(SUM(VLOOKUP(C7,'Raw - Enterprise'!A:Q,16,FALSE)*VLOOKUP(C7,'Raw - Enterprise'!A:Q,15,FALSE))),100)),IF($K$5="Scotland",SUM(MROUND(SUM(SUM(VLOOKUP(C$19,'Raw - Enterprise'!A:Q,16,FALSE)*VLOOKUP(C7,'Raw - Enterprise'!A:Q,15,FALSE))),100)-MROUND(SUM(SUM(VLOOKUP(C7,'Raw - Enterprise'!A:Q,16,FALSE)*VLOOKUP(C7,'Raw - Enterprise'!A:Q,15,FALSE))),100)),IF($K$5="United Kingdom",SUM(MROUND(SUM(SUM(VLOOKUP(C$20,'Raw - Enterprise'!A:Q,16,FALSE)*VLOOKUP(C7,'Raw - Enterprise'!A:Q,15,FALSE))),100)-MROUND(SUM(SUM(VLOOKUP(C7,'Raw - Enterprise'!A:Q,16,FALSE)*VLOOKUP(C7,'Raw - Enterprise'!A:Q,15,FALSE))),100)),SUM(MROUND(SUM(SUM(VLOOKUP(C$16,'Raw - Enterprise'!A:Q,16,FALSE)*VLOOKUP(C7,'Raw - Enterprise'!A:Q,15,FALSE))),100)-MROUND(SUM(SUM(VLOOKUP(C7,'Raw - Enterprise'!A:Q,16,FALSE)*VLOOKUP(C7,'Raw - Enterprise'!A:Q,15,FALSE))),100)))))))</f>
        <v>4400</v>
      </c>
    </row>
    <row r="8" spans="2:12" ht="19.5" customHeight="1">
      <c r="B8" s="296" t="s">
        <v>249</v>
      </c>
      <c r="C8" s="296" t="s">
        <v>24</v>
      </c>
      <c r="D8" s="297">
        <f>VLOOKUP($C8,'Raw - Enterprise'!$A:$Q,4,FALSE)</f>
        <v>468.15001841039401</v>
      </c>
      <c r="E8" s="297">
        <f>VLOOKUP($C8,'Raw - Enterprise'!$A:$Q,8,FALSE)</f>
        <v>469.95636119503189</v>
      </c>
      <c r="F8" s="297">
        <f>VLOOKUP($C8,'Raw - Enterprise'!$A:$Q,12,FALSE)</f>
        <v>456.369982547993</v>
      </c>
      <c r="G8" s="297">
        <f>VLOOKUP($C8,'Raw - Enterprise'!$A:$Q,16,FALSE)</f>
        <v>471.72311443260719</v>
      </c>
      <c r="H8" s="318">
        <f>VLOOKUP(C8,'Raw - Enterprise'!A:Q,14,FALSE)</f>
        <v>2670</v>
      </c>
      <c r="I8" s="299">
        <f t="shared" ref="I8:I20" si="1">SUM(G8-D8)</f>
        <v>3.5730960222131785</v>
      </c>
      <c r="J8" s="300">
        <f>SUM(VLOOKUP(C8,'Raw - Enterprise'!A:Q,14,FALSE)-VLOOKUP(C8,'Raw - Enterprise'!A:Q,2,FALSE))</f>
        <v>0</v>
      </c>
      <c r="K8" s="301">
        <f t="shared" si="0"/>
        <v>663.73649358069997</v>
      </c>
      <c r="L8" s="302">
        <f>IF(K8="","",IF($K$5="lgbf family group",SUM(MROUND(SUM(SUM(VLOOKUP(C$17,'Raw - Enterprise'!A:Q,16,FALSE)*VLOOKUP(C8,'Raw - Enterprise'!A:Q,15,FALSE))),100)-MROUND(SUM(SUM(VLOOKUP(C8,'Raw - Enterprise'!A:Q,16,FALSE)*VLOOKUP(C8,'Raw - Enterprise'!A:Q,15,FALSE))),100)),IF($K$5="Glasgow City Region",SUM(MROUND(SUM(SUM(VLOOKUP(C$18,'Raw - Enterprise'!A:Q,16,FALSE)*VLOOKUP(C8,'Raw - Enterprise'!A:Q,15,FALSE))),100)-MROUND(SUM(SUM(VLOOKUP(C8,'Raw - Enterprise'!A:Q,16,FALSE)*VLOOKUP(C8,'Raw - Enterprise'!A:Q,15,FALSE))),100)),IF($K$5="Scotland",SUM(MROUND(SUM(SUM(VLOOKUP(C$19,'Raw - Enterprise'!A:Q,16,FALSE)*VLOOKUP(C8,'Raw - Enterprise'!A:Q,15,FALSE))),100)-MROUND(SUM(SUM(VLOOKUP(C8,'Raw - Enterprise'!A:Q,16,FALSE)*VLOOKUP(C8,'Raw - Enterprise'!A:Q,15,FALSE))),100)),IF($K$5="United Kingdom",SUM(MROUND(SUM(SUM(VLOOKUP(C$20,'Raw - Enterprise'!A:Q,16,FALSE)*VLOOKUP(C8,'Raw - Enterprise'!A:Q,15,FALSE))),100)-MROUND(SUM(SUM(VLOOKUP(C8,'Raw - Enterprise'!A:Q,16,FALSE)*VLOOKUP(C8,'Raw - Enterprise'!A:Q,15,FALSE))),100)),SUM(MROUND(SUM(SUM(VLOOKUP(C$16,'Raw - Enterprise'!A:Q,16,FALSE)*VLOOKUP(C8,'Raw - Enterprise'!A:Q,15,FALSE))),100)-MROUND(SUM(SUM(VLOOKUP(C8,'Raw - Enterprise'!A:Q,16,FALSE)*VLOOKUP(C8,'Raw - Enterprise'!A:Q,15,FALSE))),100)))))))</f>
        <v>3700</v>
      </c>
    </row>
    <row r="9" spans="2:12" ht="19.5" customHeight="1">
      <c r="B9" s="296" t="s">
        <v>249</v>
      </c>
      <c r="C9" s="296" t="s">
        <v>27</v>
      </c>
      <c r="D9" s="297">
        <f>VLOOKUP($C9,'Raw - Enterprise'!$A:$Q,4,FALSE)</f>
        <v>433.30472868303445</v>
      </c>
      <c r="E9" s="297">
        <f>VLOOKUP($C9,'Raw - Enterprise'!$A:$Q,8,FALSE)</f>
        <v>446.08090937657977</v>
      </c>
      <c r="F9" s="297">
        <f>VLOOKUP($C9,'Raw - Enterprise'!$A:$Q,12,FALSE)</f>
        <v>436.01357733043477</v>
      </c>
      <c r="G9" s="297">
        <f>VLOOKUP($C9,'Raw - Enterprise'!$A:$Q,16,FALSE)</f>
        <v>446.19476361582849</v>
      </c>
      <c r="H9" s="318">
        <f>VLOOKUP(C9,'Raw - Enterprise'!A:Q,14,FALSE)</f>
        <v>19595</v>
      </c>
      <c r="I9" s="299">
        <f>SUM(G9-D9)</f>
        <v>12.890034932794038</v>
      </c>
      <c r="J9" s="300">
        <f>SUM(VLOOKUP(C9,'Raw - Enterprise'!A:Q,14,FALSE)-VLOOKUP(C9,'Raw - Enterprise'!A:Q,2,FALSE))</f>
        <v>155</v>
      </c>
      <c r="K9" s="301">
        <f t="shared" si="0"/>
        <v>689.26484439747867</v>
      </c>
      <c r="L9" s="302">
        <f>IF(K9="","",IF($K$5="lgbf family group",SUM(MROUND(SUM(SUM(VLOOKUP(C$17,'Raw - Enterprise'!A:Q,16,FALSE)*VLOOKUP(C9,'Raw - Enterprise'!A:Q,15,FALSE))),100)-MROUND(SUM(SUM(VLOOKUP(C9,'Raw - Enterprise'!A:Q,16,FALSE)*VLOOKUP(C9,'Raw - Enterprise'!A:Q,15,FALSE))),100)),IF($K$5="Glasgow City Region",SUM(MROUND(SUM(SUM(VLOOKUP(C$18,'Raw - Enterprise'!A:Q,16,FALSE)*VLOOKUP(C9,'Raw - Enterprise'!A:Q,15,FALSE))),100)-MROUND(SUM(SUM(VLOOKUP(C9,'Raw - Enterprise'!A:Q,16,FALSE)*VLOOKUP(C9,'Raw - Enterprise'!A:Q,15,FALSE))),100)),IF($K$5="Scotland",SUM(MROUND(SUM(SUM(VLOOKUP(C$19,'Raw - Enterprise'!A:Q,16,FALSE)*VLOOKUP(C9,'Raw - Enterprise'!A:Q,15,FALSE))),100)-MROUND(SUM(SUM(VLOOKUP(C9,'Raw - Enterprise'!A:Q,16,FALSE)*VLOOKUP(C9,'Raw - Enterprise'!A:Q,15,FALSE))),100)),IF($K$5="United Kingdom",SUM(MROUND(SUM(SUM(VLOOKUP(C$20,'Raw - Enterprise'!A:Q,16,FALSE)*VLOOKUP(C9,'Raw - Enterprise'!A:Q,15,FALSE))),100)-MROUND(SUM(SUM(VLOOKUP(C9,'Raw - Enterprise'!A:Q,16,FALSE)*VLOOKUP(C9,'Raw - Enterprise'!A:Q,15,FALSE))),100)),SUM(MROUND(SUM(SUM(VLOOKUP(C$16,'Raw - Enterprise'!A:Q,16,FALSE)*VLOOKUP(C9,'Raw - Enterprise'!A:Q,15,FALSE))),100)-MROUND(SUM(SUM(VLOOKUP(C9,'Raw - Enterprise'!A:Q,16,FALSE)*VLOOKUP(C9,'Raw - Enterprise'!A:Q,15,FALSE))),100)))))))</f>
        <v>30300</v>
      </c>
    </row>
    <row r="10" spans="2:12" ht="19.5" customHeight="1">
      <c r="B10" s="296" t="s">
        <v>249</v>
      </c>
      <c r="C10" s="296" t="s">
        <v>29</v>
      </c>
      <c r="D10" s="297">
        <f>VLOOKUP($C10,'Raw - Enterprise'!$A:$Q,4,FALSE)</f>
        <v>331.71487170901179</v>
      </c>
      <c r="E10" s="297">
        <f>VLOOKUP($C10,'Raw - Enterprise'!$A:$Q,8,FALSE)</f>
        <v>314.04585479997536</v>
      </c>
      <c r="F10" s="297">
        <f>VLOOKUP($C10,'Raw - Enterprise'!$A:$Q,12,FALSE)</f>
        <v>314.03661005743561</v>
      </c>
      <c r="G10" s="297">
        <f>VLOOKUP($C10,'Raw - Enterprise'!$A:$Q,16,FALSE)</f>
        <v>304.80921201174078</v>
      </c>
      <c r="H10" s="318">
        <f>VLOOKUP(C10,'Raw - Enterprise'!A:Q,14,FALSE)</f>
        <v>1485</v>
      </c>
      <c r="I10" s="299">
        <f t="shared" si="1"/>
        <v>-26.905659697271005</v>
      </c>
      <c r="J10" s="300">
        <f>SUM(VLOOKUP(C10,'Raw - Enterprise'!A:Q,14,FALSE)-VLOOKUP(C10,'Raw - Enterprise'!A:Q,2,FALSE))</f>
        <v>-100</v>
      </c>
      <c r="K10" s="301">
        <f t="shared" si="0"/>
        <v>830.65039600156638</v>
      </c>
      <c r="L10" s="302">
        <f>IF(K10="","",IF($K$5="lgbf family group",SUM(MROUND(SUM(SUM(VLOOKUP(C$17,'Raw - Enterprise'!A:Q,16,FALSE)*VLOOKUP(C10,'Raw - Enterprise'!A:Q,15,FALSE))),100)-MROUND(SUM(SUM(VLOOKUP(C10,'Raw - Enterprise'!A:Q,16,FALSE)*VLOOKUP(C10,'Raw - Enterprise'!A:Q,15,FALSE))),100)),IF($K$5="Glasgow City Region",SUM(MROUND(SUM(SUM(VLOOKUP(C$18,'Raw - Enterprise'!A:Q,16,FALSE)*VLOOKUP(C10,'Raw - Enterprise'!A:Q,15,FALSE))),100)-MROUND(SUM(SUM(VLOOKUP(C10,'Raw - Enterprise'!A:Q,16,FALSE)*VLOOKUP(C10,'Raw - Enterprise'!A:Q,15,FALSE))),100)),IF($K$5="Scotland",SUM(MROUND(SUM(SUM(VLOOKUP(C$19,'Raw - Enterprise'!A:Q,16,FALSE)*VLOOKUP(C10,'Raw - Enterprise'!A:Q,15,FALSE))),100)-MROUND(SUM(SUM(VLOOKUP(C10,'Raw - Enterprise'!A:Q,16,FALSE)*VLOOKUP(C10,'Raw - Enterprise'!A:Q,15,FALSE))),100)),IF($K$5="United Kingdom",SUM(MROUND(SUM(SUM(VLOOKUP(C$20,'Raw - Enterprise'!A:Q,16,FALSE)*VLOOKUP(C10,'Raw - Enterprise'!A:Q,15,FALSE))),100)-MROUND(SUM(SUM(VLOOKUP(C10,'Raw - Enterprise'!A:Q,16,FALSE)*VLOOKUP(C10,'Raw - Enterprise'!A:Q,15,FALSE))),100)),SUM(MROUND(SUM(SUM(VLOOKUP(C$16,'Raw - Enterprise'!A:Q,16,FALSE)*VLOOKUP(C10,'Raw - Enterprise'!A:Q,15,FALSE))),100)-MROUND(SUM(SUM(VLOOKUP(C10,'Raw - Enterprise'!A:Q,16,FALSE)*VLOOKUP(C10,'Raw - Enterprise'!A:Q,15,FALSE))),100)))))))</f>
        <v>4000</v>
      </c>
    </row>
    <row r="11" spans="2:12" ht="19.5" customHeight="1">
      <c r="B11" s="296" t="s">
        <v>249</v>
      </c>
      <c r="C11" s="296" t="s">
        <v>34</v>
      </c>
      <c r="D11" s="297">
        <f>VLOOKUP($C11,'Raw - Enterprise'!$A:$Q,4,FALSE)</f>
        <v>346.06575477465805</v>
      </c>
      <c r="E11" s="297">
        <f>VLOOKUP($C11,'Raw - Enterprise'!$A:$Q,8,FALSE)</f>
        <v>350.3704176196681</v>
      </c>
      <c r="F11" s="297">
        <f>VLOOKUP($C11,'Raw - Enterprise'!$A:$Q,12,FALSE)</f>
        <v>345.13709802349211</v>
      </c>
      <c r="G11" s="297">
        <f>VLOOKUP($C11,'Raw - Enterprise'!$A:$Q,16,FALSE)</f>
        <v>348.32013559198475</v>
      </c>
      <c r="H11" s="318">
        <f>VLOOKUP(C11,'Raw - Enterprise'!A:Q,14,FALSE)</f>
        <v>7645</v>
      </c>
      <c r="I11" s="299">
        <f t="shared" si="1"/>
        <v>2.2543808173267053</v>
      </c>
      <c r="J11" s="300">
        <f>SUM(VLOOKUP(C11,'Raw - Enterprise'!A:Q,14,FALSE)-VLOOKUP(C11,'Raw - Enterprise'!A:Q,2,FALSE))</f>
        <v>60</v>
      </c>
      <c r="K11" s="301">
        <f t="shared" si="0"/>
        <v>787.13947242132235</v>
      </c>
      <c r="L11" s="302">
        <f>IF(K11="","",IF($K$5="lgbf family group",SUM(MROUND(SUM(SUM(VLOOKUP(C$17,'Raw - Enterprise'!A:Q,16,FALSE)*VLOOKUP(C11,'Raw - Enterprise'!A:Q,15,FALSE))),100)-MROUND(SUM(SUM(VLOOKUP(C11,'Raw - Enterprise'!A:Q,16,FALSE)*VLOOKUP(C11,'Raw - Enterprise'!A:Q,15,FALSE))),100)),IF($K$5="Glasgow City Region",SUM(MROUND(SUM(SUM(VLOOKUP(C$18,'Raw - Enterprise'!A:Q,16,FALSE)*VLOOKUP(C11,'Raw - Enterprise'!A:Q,15,FALSE))),100)-MROUND(SUM(SUM(VLOOKUP(C11,'Raw - Enterprise'!A:Q,16,FALSE)*VLOOKUP(C11,'Raw - Enterprise'!A:Q,15,FALSE))),100)),IF($K$5="Scotland",SUM(MROUND(SUM(SUM(VLOOKUP(C$19,'Raw - Enterprise'!A:Q,16,FALSE)*VLOOKUP(C11,'Raw - Enterprise'!A:Q,15,FALSE))),100)-MROUND(SUM(SUM(VLOOKUP(C11,'Raw - Enterprise'!A:Q,16,FALSE)*VLOOKUP(C11,'Raw - Enterprise'!A:Q,15,FALSE))),100)),IF($K$5="United Kingdom",SUM(MROUND(SUM(SUM(VLOOKUP(C$20,'Raw - Enterprise'!A:Q,16,FALSE)*VLOOKUP(C11,'Raw - Enterprise'!A:Q,15,FALSE))),100)-MROUND(SUM(SUM(VLOOKUP(C11,'Raw - Enterprise'!A:Q,16,FALSE)*VLOOKUP(C11,'Raw - Enterprise'!A:Q,15,FALSE))),100)),SUM(MROUND(SUM(SUM(VLOOKUP(C$16,'Raw - Enterprise'!A:Q,16,FALSE)*VLOOKUP(C11,'Raw - Enterprise'!A:Q,15,FALSE))),100)-MROUND(SUM(SUM(VLOOKUP(C11,'Raw - Enterprise'!A:Q,16,FALSE)*VLOOKUP(C11,'Raw - Enterprise'!A:Q,15,FALSE))),100)))))))</f>
        <v>17300</v>
      </c>
    </row>
    <row r="12" spans="2:12" ht="19.5" customHeight="1">
      <c r="B12" s="296" t="s">
        <v>249</v>
      </c>
      <c r="C12" s="296" t="s">
        <v>37</v>
      </c>
      <c r="D12" s="297">
        <f>VLOOKUP($C12,'Raw - Enterprise'!$A:$Q,4,FALSE)</f>
        <v>408.40695330143376</v>
      </c>
      <c r="E12" s="297">
        <f>VLOOKUP($C12,'Raw - Enterprise'!$A:$Q,8,FALSE)</f>
        <v>395.09341257714033</v>
      </c>
      <c r="F12" s="297">
        <f>VLOOKUP($C12,'Raw - Enterprise'!$A:$Q,12,FALSE)</f>
        <v>388.03543442368772</v>
      </c>
      <c r="G12" s="297">
        <f>VLOOKUP($C12,'Raw - Enterprise'!$A:$Q,16,FALSE)</f>
        <v>393.82708753682897</v>
      </c>
      <c r="H12" s="318">
        <f>VLOOKUP(C12,'Raw - Enterprise'!A:Q,14,FALSE)</f>
        <v>4665</v>
      </c>
      <c r="I12" s="299">
        <f t="shared" si="1"/>
        <v>-14.57986576460479</v>
      </c>
      <c r="J12" s="300">
        <f>SUM(VLOOKUP(C12,'Raw - Enterprise'!A:Q,14,FALSE)-VLOOKUP(C12,'Raw - Enterprise'!A:Q,2,FALSE))</f>
        <v>-55</v>
      </c>
      <c r="K12" s="301">
        <f t="shared" si="0"/>
        <v>741.63252047647825</v>
      </c>
      <c r="L12" s="302">
        <f>IF(K12="","",IF($K$5="lgbf family group",SUM(MROUND(SUM(SUM(VLOOKUP(C$17,'Raw - Enterprise'!A:Q,16,FALSE)*VLOOKUP(C12,'Raw - Enterprise'!A:Q,15,FALSE))),100)-MROUND(SUM(SUM(VLOOKUP(C12,'Raw - Enterprise'!A:Q,16,FALSE)*VLOOKUP(C12,'Raw - Enterprise'!A:Q,15,FALSE))),100)),IF($K$5="Glasgow City Region",SUM(MROUND(SUM(SUM(VLOOKUP(C$18,'Raw - Enterprise'!A:Q,16,FALSE)*VLOOKUP(C12,'Raw - Enterprise'!A:Q,15,FALSE))),100)-MROUND(SUM(SUM(VLOOKUP(C12,'Raw - Enterprise'!A:Q,16,FALSE)*VLOOKUP(C12,'Raw - Enterprise'!A:Q,15,FALSE))),100)),IF($K$5="Scotland",SUM(MROUND(SUM(SUM(VLOOKUP(C$19,'Raw - Enterprise'!A:Q,16,FALSE)*VLOOKUP(C12,'Raw - Enterprise'!A:Q,15,FALSE))),100)-MROUND(SUM(SUM(VLOOKUP(C12,'Raw - Enterprise'!A:Q,16,FALSE)*VLOOKUP(C12,'Raw - Enterprise'!A:Q,15,FALSE))),100)),IF($K$5="United Kingdom",SUM(MROUND(SUM(SUM(VLOOKUP(C$20,'Raw - Enterprise'!A:Q,16,FALSE)*VLOOKUP(C12,'Raw - Enterprise'!A:Q,15,FALSE))),100)-MROUND(SUM(SUM(VLOOKUP(C12,'Raw - Enterprise'!A:Q,16,FALSE)*VLOOKUP(C12,'Raw - Enterprise'!A:Q,15,FALSE))),100)),SUM(MROUND(SUM(SUM(VLOOKUP(C$16,'Raw - Enterprise'!A:Q,16,FALSE)*VLOOKUP(C12,'Raw - Enterprise'!A:Q,15,FALSE))),100)-MROUND(SUM(SUM(VLOOKUP(C12,'Raw - Enterprise'!A:Q,16,FALSE)*VLOOKUP(C12,'Raw - Enterprise'!A:Q,15,FALSE))),100)))))))</f>
        <v>8700</v>
      </c>
    </row>
    <row r="13" spans="2:12" ht="19.5" customHeight="1">
      <c r="B13" s="296" t="s">
        <v>249</v>
      </c>
      <c r="C13" s="296" t="s">
        <v>41</v>
      </c>
      <c r="D13" s="297">
        <f>VLOOKUP($C13,'Raw - Enterprise'!$A:$Q,4,FALSE)</f>
        <v>445.33912957565582</v>
      </c>
      <c r="E13" s="297">
        <f>VLOOKUP($C13,'Raw - Enterprise'!$A:$Q,8,FALSE)</f>
        <v>438.95080052557302</v>
      </c>
      <c r="F13" s="297">
        <f>VLOOKUP($C13,'Raw - Enterprise'!$A:$Q,12,FALSE)</f>
        <v>436.40414608156544</v>
      </c>
      <c r="G13" s="297">
        <f>VLOOKUP($C13,'Raw - Enterprise'!$A:$Q,16,FALSE)</f>
        <v>441.62732979707044</v>
      </c>
      <c r="H13" s="318">
        <f>VLOOKUP(C13,'Raw - Enterprise'!A:Q,14,FALSE)</f>
        <v>9075</v>
      </c>
      <c r="I13" s="299">
        <f t="shared" si="1"/>
        <v>-3.7117997785853731</v>
      </c>
      <c r="J13" s="300">
        <f>SUM(VLOOKUP(C13,'Raw - Enterprise'!A:Q,14,FALSE)-VLOOKUP(C13,'Raw - Enterprise'!A:Q,2,FALSE))</f>
        <v>60</v>
      </c>
      <c r="K13" s="301">
        <f t="shared" si="0"/>
        <v>693.83227821623677</v>
      </c>
      <c r="L13" s="302">
        <f>IF(K13="","",IF($K$5="lgbf family group",SUM(MROUND(SUM(SUM(VLOOKUP(C$17,'Raw - Enterprise'!A:Q,16,FALSE)*VLOOKUP(C13,'Raw - Enterprise'!A:Q,15,FALSE))),100)-MROUND(SUM(SUM(VLOOKUP(C13,'Raw - Enterprise'!A:Q,16,FALSE)*VLOOKUP(C13,'Raw - Enterprise'!A:Q,15,FALSE))),100)),IF($K$5="Glasgow City Region",SUM(MROUND(SUM(SUM(VLOOKUP(C$18,'Raw - Enterprise'!A:Q,16,FALSE)*VLOOKUP(C13,'Raw - Enterprise'!A:Q,15,FALSE))),100)-MROUND(SUM(SUM(VLOOKUP(C13,'Raw - Enterprise'!A:Q,16,FALSE)*VLOOKUP(C13,'Raw - Enterprise'!A:Q,15,FALSE))),100)),IF($K$5="Scotland",SUM(MROUND(SUM(SUM(VLOOKUP(C$19,'Raw - Enterprise'!A:Q,16,FALSE)*VLOOKUP(C13,'Raw - Enterprise'!A:Q,15,FALSE))),100)-MROUND(SUM(SUM(VLOOKUP(C13,'Raw - Enterprise'!A:Q,16,FALSE)*VLOOKUP(C13,'Raw - Enterprise'!A:Q,15,FALSE))),100)),IF($K$5="United Kingdom",SUM(MROUND(SUM(SUM(VLOOKUP(C$20,'Raw - Enterprise'!A:Q,16,FALSE)*VLOOKUP(C13,'Raw - Enterprise'!A:Q,15,FALSE))),100)-MROUND(SUM(SUM(VLOOKUP(C13,'Raw - Enterprise'!A:Q,16,FALSE)*VLOOKUP(C13,'Raw - Enterprise'!A:Q,15,FALSE))),100)),SUM(MROUND(SUM(SUM(VLOOKUP(C$16,'Raw - Enterprise'!A:Q,16,FALSE)*VLOOKUP(C13,'Raw - Enterprise'!A:Q,15,FALSE))),100)-MROUND(SUM(SUM(VLOOKUP(C13,'Raw - Enterprise'!A:Q,16,FALSE)*VLOOKUP(C13,'Raw - Enterprise'!A:Q,15,FALSE))),100)))))))</f>
        <v>14200</v>
      </c>
    </row>
    <row r="14" spans="2:12" ht="19.5" customHeight="1">
      <c r="B14" s="296" t="s">
        <v>249</v>
      </c>
      <c r="C14" s="296" t="s">
        <v>43</v>
      </c>
      <c r="D14" s="297">
        <f>VLOOKUP($C14,'Raw - Enterprise'!$A:$Q,4,FALSE)</f>
        <v>348.28743638791639</v>
      </c>
      <c r="E14" s="297">
        <f>VLOOKUP($C14,'Raw - Enterprise'!$A:$Q,8,FALSE)</f>
        <v>321.57526842977592</v>
      </c>
      <c r="F14" s="297">
        <f>VLOOKUP($C14,'Raw - Enterprise'!$A:$Q,12,FALSE)</f>
        <v>319.23886261038467</v>
      </c>
      <c r="G14" s="297">
        <f>VLOOKUP($C14,'Raw - Enterprise'!$A:$Q,16,FALSE)</f>
        <v>318.87295524969375</v>
      </c>
      <c r="H14" s="318">
        <f>VLOOKUP(C14,'Raw - Enterprise'!A:Q,14,FALSE)</f>
        <v>1770</v>
      </c>
      <c r="I14" s="299">
        <f t="shared" si="1"/>
        <v>-29.414481138222641</v>
      </c>
      <c r="J14" s="300">
        <f>SUM(VLOOKUP(C14,'Raw - Enterprise'!A:Q,14,FALSE)-VLOOKUP(C14,'Raw - Enterprise'!A:Q,2,FALSE))</f>
        <v>-160</v>
      </c>
      <c r="K14" s="301">
        <f t="shared" si="0"/>
        <v>816.58665276361342</v>
      </c>
      <c r="L14" s="302">
        <f>IF(K14="","",IF($K$5="lgbf family group",SUM(MROUND(SUM(SUM(VLOOKUP(C$17,'Raw - Enterprise'!A:Q,16,FALSE)*VLOOKUP(C14,'Raw - Enterprise'!A:Q,15,FALSE))),100)-MROUND(SUM(SUM(VLOOKUP(C14,'Raw - Enterprise'!A:Q,16,FALSE)*VLOOKUP(C14,'Raw - Enterprise'!A:Q,15,FALSE))),100)),IF($K$5="Glasgow City Region",SUM(MROUND(SUM(SUM(VLOOKUP(C$18,'Raw - Enterprise'!A:Q,16,FALSE)*VLOOKUP(C14,'Raw - Enterprise'!A:Q,15,FALSE))),100)-MROUND(SUM(SUM(VLOOKUP(C14,'Raw - Enterprise'!A:Q,16,FALSE)*VLOOKUP(C14,'Raw - Enterprise'!A:Q,15,FALSE))),100)),IF($K$5="Scotland",SUM(MROUND(SUM(SUM(VLOOKUP(C$19,'Raw - Enterprise'!A:Q,16,FALSE)*VLOOKUP(C14,'Raw - Enterprise'!A:Q,15,FALSE))),100)-MROUND(SUM(SUM(VLOOKUP(C14,'Raw - Enterprise'!A:Q,16,FALSE)*VLOOKUP(C14,'Raw - Enterprise'!A:Q,15,FALSE))),100)),IF($K$5="United Kingdom",SUM(MROUND(SUM(SUM(VLOOKUP(C$20,'Raw - Enterprise'!A:Q,16,FALSE)*VLOOKUP(C14,'Raw - Enterprise'!A:Q,15,FALSE))),100)-MROUND(SUM(SUM(VLOOKUP(C14,'Raw - Enterprise'!A:Q,16,FALSE)*VLOOKUP(C14,'Raw - Enterprise'!A:Q,15,FALSE))),100)),SUM(MROUND(SUM(SUM(VLOOKUP(C$16,'Raw - Enterprise'!A:Q,16,FALSE)*VLOOKUP(C14,'Raw - Enterprise'!A:Q,15,FALSE))),100)-MROUND(SUM(SUM(VLOOKUP(C14,'Raw - Enterprise'!A:Q,16,FALSE)*VLOOKUP(C14,'Raw - Enterprise'!A:Q,15,FALSE))),100)))))))</f>
        <v>4500</v>
      </c>
    </row>
    <row r="15" spans="2:12" ht="19.5" customHeight="1">
      <c r="B15" s="303"/>
      <c r="C15" s="303"/>
      <c r="D15" s="304"/>
      <c r="E15" s="304"/>
      <c r="F15" s="304"/>
      <c r="G15" s="304"/>
      <c r="H15" s="304"/>
      <c r="I15" s="306"/>
      <c r="J15" s="306"/>
      <c r="K15" s="306"/>
      <c r="L15" s="306"/>
    </row>
    <row r="16" spans="2:12" ht="19.5" customHeight="1">
      <c r="B16" s="307" t="s">
        <v>51</v>
      </c>
      <c r="C16" s="296" t="str">
        <f>INDEX('Raw - Enterprise'!$A$9:$A$40,MATCH(MAX('Raw - Enterprise'!P9:P40),'Raw - Enterprise'!P9:P40,0))</f>
        <v>Shetland Islands</v>
      </c>
      <c r="D16" s="297">
        <f>VLOOKUP($C16,'Raw - Enterprise'!$A:$Q,4,FALSE)</f>
        <v>1114.1460609545716</v>
      </c>
      <c r="E16" s="297">
        <f>VLOOKUP($C16,'Raw - Enterprise'!$A:$Q,8,FALSE)</f>
        <v>1142.6918348159397</v>
      </c>
      <c r="F16" s="297">
        <f>VLOOKUP($C16,'Raw - Enterprise'!$A:$Q,12,FALSE)</f>
        <v>1137.1841155234656</v>
      </c>
      <c r="G16" s="297">
        <f>VLOOKUP($C16,'Raw - Enterprise'!$A:$Q,16,FALSE)</f>
        <v>1135.4596080133072</v>
      </c>
      <c r="H16" s="318">
        <f>VLOOKUP(C16,'Raw - Enterprise'!A:Q,14,FALSE)</f>
        <v>1570</v>
      </c>
      <c r="I16" s="299">
        <f t="shared" si="1"/>
        <v>21.313547058735594</v>
      </c>
      <c r="J16" s="300">
        <f>SUM(VLOOKUP(C16,'Raw - Enterprise'!A:Q,14,FALSE)-VLOOKUP(C16,'Raw - Enterprise'!A:Q,2,FALSE))</f>
        <v>20</v>
      </c>
    </row>
    <row r="17" spans="2:12" ht="19.5" customHeight="1">
      <c r="B17" s="307" t="s">
        <v>542</v>
      </c>
      <c r="C17" s="308" t="s">
        <v>546</v>
      </c>
      <c r="D17" s="297">
        <f>VLOOKUP($C17,'Raw - Enterprise'!$A:$Q,4,FALSE)</f>
        <v>438.04967591419785</v>
      </c>
      <c r="E17" s="297">
        <f>VLOOKUP($C17,'Raw - Enterprise'!$A:$Q,8,FALSE)</f>
        <v>439.17996365732705</v>
      </c>
      <c r="F17" s="297">
        <f>VLOOKUP($C17,'Raw - Enterprise'!$A:$Q,12,FALSE)</f>
        <v>427.64694109013283</v>
      </c>
      <c r="G17" s="297">
        <f>VLOOKUP($C17,'Raw - Enterprise'!$A:$Q,16,FALSE)</f>
        <v>435.94351040553437</v>
      </c>
      <c r="H17" s="318">
        <f>VLOOKUP(C17,'Raw - Enterprise'!A:Q,14,FALSE)</f>
        <v>64655</v>
      </c>
      <c r="I17" s="299">
        <f>SUM(G17-D17)</f>
        <v>-2.1061655086634801</v>
      </c>
      <c r="J17" s="300">
        <f>SUM(VLOOKUP(C17,'Raw - Enterprise'!A:Q,14,FALSE)-VLOOKUP(C17,'Raw - Enterprise'!A:Q,2,FALSE))</f>
        <v>-1400</v>
      </c>
    </row>
    <row r="18" spans="2:12" ht="19.5" customHeight="1">
      <c r="B18" s="307" t="s">
        <v>250</v>
      </c>
      <c r="C18" s="296" t="s">
        <v>47</v>
      </c>
      <c r="D18" s="297">
        <f>VLOOKUP($C18,'Raw - Enterprise'!$A:$Q,4,FALSE)</f>
        <v>432.1844541920895</v>
      </c>
      <c r="E18" s="297">
        <f>VLOOKUP($C18,'Raw - Enterprise'!$A:$Q,8,FALSE)</f>
        <v>432.96423338941565</v>
      </c>
      <c r="F18" s="297">
        <f>VLOOKUP($C18,'Raw - Enterprise'!$A:$Q,12,FALSE)</f>
        <v>426.18101057270854</v>
      </c>
      <c r="G18" s="297">
        <f>VLOOKUP($C18,'Raw - Enterprise'!$A:$Q,16,FALSE)</f>
        <v>432.05126533025532</v>
      </c>
      <c r="H18" s="318">
        <f>VLOOKUP(C18,'Raw - Enterprise'!A:Q,14,FALSE)</f>
        <v>49690</v>
      </c>
      <c r="I18" s="299">
        <f>SUM(G18-D18)</f>
        <v>-0.13318886183418499</v>
      </c>
      <c r="J18" s="300">
        <f>SUM(VLOOKUP(C18,'Raw - Enterprise'!A:Q,14,FALSE)-VLOOKUP(C18,'Raw - Enterprise'!A:Q,2,FALSE))</f>
        <v>-155</v>
      </c>
    </row>
    <row r="19" spans="2:12" ht="19.5" customHeight="1">
      <c r="B19" s="307" t="s">
        <v>251</v>
      </c>
      <c r="C19" s="296" t="s">
        <v>45</v>
      </c>
      <c r="D19" s="297">
        <f>VLOOKUP($C19,'Raw - Enterprise'!$A:$Q,4,FALSE)</f>
        <v>501.9291650319629</v>
      </c>
      <c r="E19" s="297">
        <f>VLOOKUP($C19,'Raw - Enterprise'!$A:$Q,8,FALSE)</f>
        <v>502.12337277242483</v>
      </c>
      <c r="F19" s="297">
        <f>VLOOKUP($C19,'Raw - Enterprise'!$A:$Q,12,FALSE)</f>
        <v>492.5203590411619</v>
      </c>
      <c r="G19" s="297">
        <f>VLOOKUP($C19,'Raw - Enterprise'!$A:$Q,16,FALSE)</f>
        <v>498.07527325394625</v>
      </c>
      <c r="H19" s="318">
        <f>VLOOKUP(C19,'Raw - Enterprise'!A:Q,14,FALSE)</f>
        <v>172255</v>
      </c>
      <c r="I19" s="299">
        <f>SUM(G19-D19)</f>
        <v>-3.8538917780166457</v>
      </c>
      <c r="J19" s="300">
        <f>SUM(VLOOKUP(C19,'Raw - Enterprise'!A:Q,14,FALSE)-VLOOKUP(C19,'Raw - Enterprise'!A:Q,2,FALSE))</f>
        <v>-3145</v>
      </c>
    </row>
    <row r="20" spans="2:12" ht="19.5" customHeight="1">
      <c r="B20" s="307" t="s">
        <v>251</v>
      </c>
      <c r="C20" s="296" t="s">
        <v>46</v>
      </c>
      <c r="D20" s="297">
        <f>VLOOKUP($C20,'Raw - Enterprise'!$A:$Q,4,FALSE)</f>
        <v>656.20750011367329</v>
      </c>
      <c r="E20" s="297">
        <f>VLOOKUP($C20,'Raw - Enterprise'!$A:$Q,8,FALSE)</f>
        <v>651.69132110901342</v>
      </c>
      <c r="F20" s="297">
        <f>VLOOKUP($C20,'Raw - Enterprise'!$A:$Q,12,FALSE)</f>
        <v>647.11364574615038</v>
      </c>
      <c r="G20" s="297">
        <f>VLOOKUP($C20,'Raw - Enterprise'!$A:$Q,16,FALSE)</f>
        <v>641.58288868670979</v>
      </c>
      <c r="H20" s="318">
        <f>VLOOKUP(C20,'Raw - Enterprise'!A:Q,14,FALSE)</f>
        <v>2724770</v>
      </c>
      <c r="I20" s="299">
        <f t="shared" si="1"/>
        <v>-14.624611426963497</v>
      </c>
      <c r="J20" s="300">
        <f>SUM(VLOOKUP(C20,'Raw - Enterprise'!A:Q,14,FALSE)-VLOOKUP(C20,'Raw - Enterprise'!A:Q,2,FALSE))</f>
        <v>-40380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X7b1e8zcy1lUDq0tfWbbAm9QksW8ONlkAFcqkF4HIa/JKAvky6pi0+ZJFPkyeIkDxhn6U2FzoPRvE4nycOaGA==" saltValue="RJ8tz/boaz0kSaDZWvx7Jg==" spinCount="100000" sheet="1" objects="1" scenarios="1"/>
  <autoFilter ref="C6:L14" xr:uid="{00000000-0009-0000-0000-00002E000000}"/>
  <mergeCells count="4">
    <mergeCell ref="K4:L4"/>
    <mergeCell ref="I5:J5"/>
    <mergeCell ref="K5:L5"/>
    <mergeCell ref="F2:G2"/>
  </mergeCells>
  <dataValidations disablePrompts="1" count="1">
    <dataValidation type="list" allowBlank="1" showInputMessage="1" showErrorMessage="1" sqref="C17" xr:uid="{00000000-0002-0000-2E00-000000000000}">
      <formula1>IF(B17="LGBF Family Group 1",LGBF_5,IF(B17="LGBF Family Group 3",LGBF_7,IF(B17="LGBF Family Group 4",LGBF_8,LGBF_6)))</formula1>
    </dataValidation>
  </dataValidations>
  <hyperlinks>
    <hyperlink ref="C3" r:id="rId1" xr:uid="{00000000-0004-0000-2E00-000000000000}"/>
    <hyperlink ref="F2:G2" location="'Index RAG'!A1" display="Return to Index RAG" xr:uid="{00000000-0004-0000-2E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E00-000001000000}">
          <x14:formula1>
            <xm:f>Lookups!$L$8:$O$8</xm:f>
          </x14:formula1>
          <xm:sqref>B17</xm:sqref>
        </x14:dataValidation>
        <x14:dataValidation type="list" allowBlank="1" showInputMessage="1" showErrorMessage="1" xr:uid="{00000000-0002-0000-2E00-000002000000}">
          <x14:formula1>
            <xm:f>Lookups!$B$3:$B$7</xm:f>
          </x14:formula1>
          <xm:sqref>K5:L5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fitToPage="1"/>
  </sheetPr>
  <dimension ref="B2:L24"/>
  <sheetViews>
    <sheetView zoomScale="90" zoomScaleNormal="90" workbookViewId="0">
      <selection activeCell="G12" sqref="G1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515</v>
      </c>
      <c r="F2" s="595" t="s">
        <v>507</v>
      </c>
      <c r="G2" s="596"/>
    </row>
    <row r="3" spans="2:12" ht="13">
      <c r="B3" s="286" t="s">
        <v>49</v>
      </c>
      <c r="C3" s="418" t="s">
        <v>516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2019</v>
      </c>
      <c r="E6" s="294">
        <v>2020</v>
      </c>
      <c r="F6" s="294">
        <v>2021</v>
      </c>
      <c r="G6" s="294">
        <v>2022</v>
      </c>
      <c r="H6" s="294" t="s">
        <v>613</v>
      </c>
      <c r="I6" s="295" t="s">
        <v>53</v>
      </c>
      <c r="J6" s="295" t="s">
        <v>54</v>
      </c>
      <c r="K6" s="295" t="s">
        <v>56</v>
      </c>
      <c r="L6" s="295" t="s">
        <v>57</v>
      </c>
    </row>
    <row r="7" spans="2:12" ht="19.5" customHeight="1">
      <c r="B7" s="296" t="s">
        <v>249</v>
      </c>
      <c r="C7" s="296" t="s">
        <v>22</v>
      </c>
      <c r="D7" s="297">
        <f>VLOOKUP($C7,'Raw - Business Births'!$A:$Q,4,FALSE)</f>
        <v>50.180650341228421</v>
      </c>
      <c r="E7" s="297">
        <f>VLOOKUP($C7,'Raw - Business Births'!$A:$Q,8,FALSE)</f>
        <v>47.274361796115755</v>
      </c>
      <c r="F7" s="297">
        <f>VLOOKUP($C7,'Raw - Business Births'!$A:$Q,12,FALSE)</f>
        <v>49.761301258027899</v>
      </c>
      <c r="G7" s="297">
        <f>VLOOKUP($C7,'Raw - Business Births'!$A:$Q,16,FALSE)</f>
        <v>54.515287982934346</v>
      </c>
      <c r="H7" s="318">
        <f>VLOOKUP(C7,'Raw - Business Births'!A:Q,14,FALSE)</f>
        <v>345</v>
      </c>
      <c r="I7" s="299">
        <f>SUM(G7-D7)</f>
        <v>4.3346376417059247</v>
      </c>
      <c r="J7" s="300">
        <f>SUM(VLOOKUP(C7,'Raw - Business Births'!A:Q,14,FALSE)-VLOOKUP(C7,'Raw - Business Births'!A:Q,2,FALSE))</f>
        <v>20</v>
      </c>
      <c r="K7" s="301">
        <f t="shared" ref="K7:K14" si="0">IF(IF($K$5="lgbf family group",SUM(G$17-G7),IF($K$5="Glasgow City Region",SUM(G$18-G7),IF($K$5="Scotland",SUM(G$19-G7),IF($K$5="United Kingdom",SUM(G$20-G7),SUM(G$16-G7)))))&lt;0,"",IF($K$5="lgbf family group",SUM(G$17-G7),IF($K$5="Glasgow City Region",SUM(G$18-G7),IF($K$5="Scotland",SUM(G$19-G7),IF($K$5="United Kingdom",SUM(G$20-G7),SUM(G$16-G7))))))</f>
        <v>14.935797958799618</v>
      </c>
      <c r="L7" s="302">
        <f>IF(K7="","",IF($K$5="lgbf family group",SUM(MROUND(SUM(SUM(VLOOKUP(C$17,'Raw - Business Births'!A:Q,16,FALSE)*VLOOKUP(C7,'Raw - Business Births'!A:Q,15,FALSE))),100)-MROUND(SUM(SUM(VLOOKUP(C7,'Raw - Business Births'!A:Q,16,FALSE)*VLOOKUP(C7,'Raw - Business Births'!A:Q,15,FALSE))),100)),IF($K$5="Glasgow City Region",SUM(MROUND(SUM(SUM(VLOOKUP(C$18,'Raw - Business Births'!A:Q,16,FALSE)*VLOOKUP(C7,'Raw - Business Births'!A:Q,15,FALSE))),100)-MROUND(SUM(SUM(VLOOKUP(C7,'Raw - Business Births'!A:Q,16,FALSE)*VLOOKUP(C7,'Raw - Business Births'!A:Q,15,FALSE))),100)),IF($K$5="Scotland",SUM(MROUND(SUM(SUM(VLOOKUP(C$19,'Raw - Business Births'!A:Q,16,FALSE)*VLOOKUP(C7,'Raw - Business Births'!A:Q,15,FALSE))),100)-MROUND(SUM(SUM(VLOOKUP(C7,'Raw - Business Births'!A:Q,16,FALSE)*VLOOKUP(C7,'Raw - Business Births'!A:Q,15,FALSE))),100)),IF($K$5="United Kingdom",SUM(MROUND(SUM(SUM(VLOOKUP(C$20,'Raw - Business Births'!A:Q,16,FALSE)*VLOOKUP(C7,'Raw - Business Births'!A:Q,15,FALSE))),100)-MROUND(SUM(SUM(VLOOKUP(C7,'Raw - Business Births'!A:Q,16,FALSE)*VLOOKUP(C7,'Raw - Business Births'!A:Q,15,FALSE))),100)),SUM(MROUND(SUM(SUM(VLOOKUP(C$16,'Raw - Business Births'!A:Q,16,FALSE)*VLOOKUP(C7,'Raw - Business Births'!A:Q,15,FALSE))),100)-MROUND(SUM(SUM(VLOOKUP(C7,'Raw - Business Births'!A:Q,16,FALSE)*VLOOKUP(C7,'Raw - Business Births'!A:Q,15,FALSE))),100)))))))</f>
        <v>100</v>
      </c>
    </row>
    <row r="8" spans="2:12" ht="19.5" customHeight="1">
      <c r="B8" s="296" t="s">
        <v>249</v>
      </c>
      <c r="C8" s="296" t="s">
        <v>24</v>
      </c>
      <c r="D8" s="297">
        <f>VLOOKUP($C8,'Raw - Business Births'!$A:$Q,4,FALSE)</f>
        <v>58.959150988225772</v>
      </c>
      <c r="E8" s="297">
        <f>VLOOKUP($C8,'Raw - Business Births'!$A:$Q,8,FALSE)</f>
        <v>49.146086742843096</v>
      </c>
      <c r="F8" s="297">
        <f>VLOOKUP($C8,'Raw - Business Births'!$A:$Q,12,FALSE)</f>
        <v>59.614609085967778</v>
      </c>
      <c r="G8" s="297">
        <f>VLOOKUP($C8,'Raw - Business Births'!$A:$Q,16,FALSE)</f>
        <v>57.419480221197503</v>
      </c>
      <c r="H8" s="318">
        <f>VLOOKUP(C8,'Raw - Business Births'!A:Q,14,FALSE)</f>
        <v>325</v>
      </c>
      <c r="I8" s="299">
        <f t="shared" ref="I8:I20" si="1">SUM(G8-D8)</f>
        <v>-1.5396707670282694</v>
      </c>
      <c r="J8" s="300">
        <f>SUM(VLOOKUP(C8,'Raw - Business Births'!A:Q,14,FALSE)-VLOOKUP(C8,'Raw - Business Births'!A:Q,2,FALSE))</f>
        <v>-10</v>
      </c>
      <c r="K8" s="301">
        <f t="shared" si="0"/>
        <v>12.031605720536461</v>
      </c>
      <c r="L8" s="302">
        <f>IF(K8="","",IF($K$5="lgbf family group",SUM(MROUND(SUM(SUM(VLOOKUP(C$17,'Raw - Business Births'!A:Q,16,FALSE)*VLOOKUP(C8,'Raw - Business Births'!A:Q,15,FALSE))),100)-MROUND(SUM(SUM(VLOOKUP(C8,'Raw - Business Births'!A:Q,16,FALSE)*VLOOKUP(C8,'Raw - Business Births'!A:Q,15,FALSE))),100)),IF($K$5="Glasgow City Region",SUM(MROUND(SUM(SUM(VLOOKUP(C$18,'Raw - Business Births'!A:Q,16,FALSE)*VLOOKUP(C8,'Raw - Business Births'!A:Q,15,FALSE))),100)-MROUND(SUM(SUM(VLOOKUP(C8,'Raw - Business Births'!A:Q,16,FALSE)*VLOOKUP(C8,'Raw - Business Births'!A:Q,15,FALSE))),100)),IF($K$5="Scotland",SUM(MROUND(SUM(SUM(VLOOKUP(C$19,'Raw - Business Births'!A:Q,16,FALSE)*VLOOKUP(C8,'Raw - Business Births'!A:Q,15,FALSE))),100)-MROUND(SUM(SUM(VLOOKUP(C8,'Raw - Business Births'!A:Q,16,FALSE)*VLOOKUP(C8,'Raw - Business Births'!A:Q,15,FALSE))),100)),IF($K$5="United Kingdom",SUM(MROUND(SUM(SUM(VLOOKUP(C$20,'Raw - Business Births'!A:Q,16,FALSE)*VLOOKUP(C8,'Raw - Business Births'!A:Q,15,FALSE))),100)-MROUND(SUM(SUM(VLOOKUP(C8,'Raw - Business Births'!A:Q,16,FALSE)*VLOOKUP(C8,'Raw - Business Births'!A:Q,15,FALSE))),100)),SUM(MROUND(SUM(SUM(VLOOKUP(C$16,'Raw - Business Births'!A:Q,16,FALSE)*VLOOKUP(C8,'Raw - Business Births'!A:Q,15,FALSE))),100)-MROUND(SUM(SUM(VLOOKUP(C8,'Raw - Business Births'!A:Q,16,FALSE)*VLOOKUP(C8,'Raw - Business Births'!A:Q,15,FALSE))),100)))))))</f>
        <v>100</v>
      </c>
    </row>
    <row r="9" spans="2:12" ht="19.5" customHeight="1">
      <c r="B9" s="296" t="s">
        <v>249</v>
      </c>
      <c r="C9" s="296" t="s">
        <v>27</v>
      </c>
      <c r="D9" s="297">
        <f>VLOOKUP($C9,'Raw - Business Births'!$A:$Q,4,FALSE)</f>
        <v>73.218717163361575</v>
      </c>
      <c r="E9" s="297">
        <f>VLOOKUP($C9,'Raw - Business Births'!$A:$Q,8,FALSE)</f>
        <v>57.503353435408279</v>
      </c>
      <c r="F9" s="297">
        <f>VLOOKUP($C9,'Raw - Business Births'!$A:$Q,12,FALSE)</f>
        <v>65.97644016984475</v>
      </c>
      <c r="G9" s="297">
        <f>VLOOKUP($C9,'Raw - Business Births'!$A:$Q,16,FALSE)</f>
        <v>69.451085941733965</v>
      </c>
      <c r="H9" s="318">
        <f>VLOOKUP(C9,'Raw - Business Births'!A:Q,14,FALSE)</f>
        <v>3050</v>
      </c>
      <c r="I9" s="299">
        <f>SUM(G9-D9)</f>
        <v>-3.7676312216276102</v>
      </c>
      <c r="J9" s="300">
        <f>SUM(VLOOKUP(C9,'Raw - Business Births'!A:Q,14,FALSE)-VLOOKUP(C9,'Raw - Business Births'!A:Q,2,FALSE))</f>
        <v>-225</v>
      </c>
      <c r="K9" s="301">
        <f>IF(IF($K$5="lgbf family group",SUM(G$17-G9),IF($K$5="Glasgow City Region",SUM(G$18-G9),IF($K$5="Scotland",SUM(G$19-G9),IF($K$5="United Kingdom",SUM(G$20-G9),SUM(G$16-G9)))))&lt;0,"",IF($K$5="lgbf family group",SUM(G$17-G9),IF($K$5="Glasgow City Region",SUM(G$18-G9),IF($K$5="Scotland",SUM(G$19-G9),IF($K$5="United Kingdom",SUM(G$20-G9),SUM(G$16-G9))))))</f>
        <v>0</v>
      </c>
      <c r="L9" s="302">
        <f>IF(K9="","",IF($K$5="lgbf family group",SUM(MROUND(SUM(SUM(VLOOKUP(C$17,'Raw - Business Births'!A:Q,16,FALSE)*VLOOKUP(C9,'Raw - Business Births'!A:Q,15,FALSE))),100)-MROUND(SUM(SUM(VLOOKUP(C9,'Raw - Business Births'!A:Q,16,FALSE)*VLOOKUP(C9,'Raw - Business Births'!A:Q,15,FALSE))),100)),IF($K$5="Glasgow City Region",SUM(MROUND(SUM(SUM(VLOOKUP(C$18,'Raw - Business Births'!A:Q,16,FALSE)*VLOOKUP(C9,'Raw - Business Births'!A:Q,15,FALSE))),100)-MROUND(SUM(SUM(VLOOKUP(C9,'Raw - Business Births'!A:Q,16,FALSE)*VLOOKUP(C9,'Raw - Business Births'!A:Q,15,FALSE))),100)),IF($K$5="Scotland",SUM(MROUND(SUM(SUM(VLOOKUP(C$19,'Raw - Business Births'!A:Q,16,FALSE)*VLOOKUP(C9,'Raw - Business Births'!A:Q,15,FALSE))),100)-MROUND(SUM(SUM(VLOOKUP(C9,'Raw - Business Births'!A:Q,16,FALSE)*VLOOKUP(C9,'Raw - Business Births'!A:Q,15,FALSE))),100)),IF($K$5="United Kingdom",SUM(MROUND(SUM(SUM(VLOOKUP(C$20,'Raw - Business Births'!A:Q,16,FALSE)*VLOOKUP(C9,'Raw - Business Births'!A:Q,15,FALSE))),100)-MROUND(SUM(SUM(VLOOKUP(C9,'Raw - Business Births'!A:Q,16,FALSE)*VLOOKUP(C9,'Raw - Business Births'!A:Q,15,FALSE))),100)),SUM(MROUND(SUM(SUM(VLOOKUP(C$16,'Raw - Business Births'!A:Q,16,FALSE)*VLOOKUP(C9,'Raw - Business Births'!A:Q,15,FALSE))),100)-MROUND(SUM(SUM(VLOOKUP(C9,'Raw - Business Births'!A:Q,16,FALSE)*VLOOKUP(C9,'Raw - Business Births'!A:Q,15,FALSE))),100)))))))</f>
        <v>0</v>
      </c>
    </row>
    <row r="10" spans="2:12" ht="19.5" customHeight="1">
      <c r="B10" s="296" t="s">
        <v>249</v>
      </c>
      <c r="C10" s="296" t="s">
        <v>29</v>
      </c>
      <c r="D10" s="297">
        <f>VLOOKUP($C10,'Raw - Business Births'!$A:$Q,4,FALSE)</f>
        <v>43.130891987923349</v>
      </c>
      <c r="E10" s="297">
        <f>VLOOKUP($C10,'Raw - Business Births'!$A:$Q,8,FALSE)</f>
        <v>36.343246386442928</v>
      </c>
      <c r="F10" s="297">
        <f>VLOOKUP($C10,'Raw - Business Births'!$A:$Q,12,FALSE)</f>
        <v>33.48541291699803</v>
      </c>
      <c r="G10" s="297">
        <f>VLOOKUP($C10,'Raw - Business Births'!$A:$Q,16,FALSE)</f>
        <v>40.025452082349801</v>
      </c>
      <c r="H10" s="318">
        <f>VLOOKUP(C10,'Raw - Business Births'!A:Q,14,FALSE)</f>
        <v>195</v>
      </c>
      <c r="I10" s="299">
        <f t="shared" si="1"/>
        <v>-3.1054399055735473</v>
      </c>
      <c r="J10" s="300">
        <f>SUM(VLOOKUP(C10,'Raw - Business Births'!A:Q,14,FALSE)-VLOOKUP(C10,'Raw - Business Births'!A:Q,2,FALSE))</f>
        <v>-15</v>
      </c>
      <c r="K10" s="301">
        <f t="shared" si="0"/>
        <v>29.425633859384163</v>
      </c>
      <c r="L10" s="302">
        <f>IF(K10="","",IF($K$5="lgbf family group",SUM(MROUND(SUM(SUM(VLOOKUP(C$17,'Raw - Business Births'!A:Q,16,FALSE)*VLOOKUP(C10,'Raw - Business Births'!A:Q,15,FALSE))),100)-MROUND(SUM(SUM(VLOOKUP(C10,'Raw - Business Births'!A:Q,16,FALSE)*VLOOKUP(C10,'Raw - Business Births'!A:Q,15,FALSE))),100)),IF($K$5="Glasgow City Region",SUM(MROUND(SUM(SUM(VLOOKUP(C$18,'Raw - Business Births'!A:Q,16,FALSE)*VLOOKUP(C10,'Raw - Business Births'!A:Q,15,FALSE))),100)-MROUND(SUM(SUM(VLOOKUP(C10,'Raw - Business Births'!A:Q,16,FALSE)*VLOOKUP(C10,'Raw - Business Births'!A:Q,15,FALSE))),100)),IF($K$5="Scotland",SUM(MROUND(SUM(SUM(VLOOKUP(C$19,'Raw - Business Births'!A:Q,16,FALSE)*VLOOKUP(C10,'Raw - Business Births'!A:Q,15,FALSE))),100)-MROUND(SUM(SUM(VLOOKUP(C10,'Raw - Business Births'!A:Q,16,FALSE)*VLOOKUP(C10,'Raw - Business Births'!A:Q,15,FALSE))),100)),IF($K$5="United Kingdom",SUM(MROUND(SUM(SUM(VLOOKUP(C$20,'Raw - Business Births'!A:Q,16,FALSE)*VLOOKUP(C10,'Raw - Business Births'!A:Q,15,FALSE))),100)-MROUND(SUM(SUM(VLOOKUP(C10,'Raw - Business Births'!A:Q,16,FALSE)*VLOOKUP(C10,'Raw - Business Births'!A:Q,15,FALSE))),100)),SUM(MROUND(SUM(SUM(VLOOKUP(C$16,'Raw - Business Births'!A:Q,16,FALSE)*VLOOKUP(C10,'Raw - Business Births'!A:Q,15,FALSE))),100)-MROUND(SUM(SUM(VLOOKUP(C10,'Raw - Business Births'!A:Q,16,FALSE)*VLOOKUP(C10,'Raw - Business Births'!A:Q,15,FALSE))),100)))))))</f>
        <v>100</v>
      </c>
    </row>
    <row r="11" spans="2:12" ht="19.5" customHeight="1">
      <c r="B11" s="296" t="s">
        <v>249</v>
      </c>
      <c r="C11" s="296" t="s">
        <v>34</v>
      </c>
      <c r="D11" s="297">
        <f>VLOOKUP($C11,'Raw - Business Births'!$A:$Q,4,FALSE)</f>
        <v>52.635176703807502</v>
      </c>
      <c r="E11" s="297">
        <f>VLOOKUP($C11,'Raw - Business Births'!$A:$Q,8,FALSE)</f>
        <v>44.738439906688392</v>
      </c>
      <c r="F11" s="297">
        <f>VLOOKUP($C11,'Raw - Business Births'!$A:$Q,12,FALSE)</f>
        <v>53.381270017976256</v>
      </c>
      <c r="G11" s="297">
        <f>VLOOKUP($C11,'Raw - Business Births'!$A:$Q,16,FALSE)</f>
        <v>51.94047803464521</v>
      </c>
      <c r="H11" s="318">
        <f>VLOOKUP(C11,'Raw - Business Births'!A:Q,14,FALSE)</f>
        <v>1140</v>
      </c>
      <c r="I11" s="299">
        <f t="shared" si="1"/>
        <v>-0.6946986691622925</v>
      </c>
      <c r="J11" s="300">
        <f>SUM(VLOOKUP(C11,'Raw - Business Births'!A:Q,14,FALSE)-VLOOKUP(C11,'Raw - Business Births'!A:Q,2,FALSE))</f>
        <v>-15</v>
      </c>
      <c r="K11" s="301">
        <f t="shared" si="0"/>
        <v>17.510607907088755</v>
      </c>
      <c r="L11" s="302">
        <f>IF(K11="","",IF($K$5="lgbf family group",SUM(MROUND(SUM(SUM(VLOOKUP(C$17,'Raw - Business Births'!A:Q,16,FALSE)*VLOOKUP(C11,'Raw - Business Births'!A:Q,15,FALSE))),100)-MROUND(SUM(SUM(VLOOKUP(C11,'Raw - Business Births'!A:Q,16,FALSE)*VLOOKUP(C11,'Raw - Business Births'!A:Q,15,FALSE))),100)),IF($K$5="Glasgow City Region",SUM(MROUND(SUM(SUM(VLOOKUP(C$18,'Raw - Business Births'!A:Q,16,FALSE)*VLOOKUP(C11,'Raw - Business Births'!A:Q,15,FALSE))),100)-MROUND(SUM(SUM(VLOOKUP(C11,'Raw - Business Births'!A:Q,16,FALSE)*VLOOKUP(C11,'Raw - Business Births'!A:Q,15,FALSE))),100)),IF($K$5="Scotland",SUM(MROUND(SUM(SUM(VLOOKUP(C$19,'Raw - Business Births'!A:Q,16,FALSE)*VLOOKUP(C11,'Raw - Business Births'!A:Q,15,FALSE))),100)-MROUND(SUM(SUM(VLOOKUP(C11,'Raw - Business Births'!A:Q,16,FALSE)*VLOOKUP(C11,'Raw - Business Births'!A:Q,15,FALSE))),100)),IF($K$5="United Kingdom",SUM(MROUND(SUM(SUM(VLOOKUP(C$20,'Raw - Business Births'!A:Q,16,FALSE)*VLOOKUP(C11,'Raw - Business Births'!A:Q,15,FALSE))),100)-MROUND(SUM(SUM(VLOOKUP(C11,'Raw - Business Births'!A:Q,16,FALSE)*VLOOKUP(C11,'Raw - Business Births'!A:Q,15,FALSE))),100)),SUM(MROUND(SUM(SUM(VLOOKUP(C$16,'Raw - Business Births'!A:Q,16,FALSE)*VLOOKUP(C11,'Raw - Business Births'!A:Q,15,FALSE))),100)-MROUND(SUM(SUM(VLOOKUP(C11,'Raw - Business Births'!A:Q,16,FALSE)*VLOOKUP(C11,'Raw - Business Births'!A:Q,15,FALSE))),100)))))))</f>
        <v>400</v>
      </c>
    </row>
    <row r="12" spans="2:12" ht="19.5" customHeight="1">
      <c r="B12" s="296" t="s">
        <v>249</v>
      </c>
      <c r="C12" s="296" t="s">
        <v>37</v>
      </c>
      <c r="D12" s="297">
        <f>VLOOKUP($C12,'Raw - Business Births'!$A:$Q,4,FALSE)</f>
        <v>57.418265968367756</v>
      </c>
      <c r="E12" s="297">
        <f>VLOOKUP($C12,'Raw - Business Births'!$A:$Q,8,FALSE)</f>
        <v>47.368649776193998</v>
      </c>
      <c r="F12" s="297">
        <f>VLOOKUP($C12,'Raw - Business Births'!$A:$Q,12,FALSE)</f>
        <v>55.377214006974064</v>
      </c>
      <c r="G12" s="297">
        <f>VLOOKUP($C12,'Raw - Business Births'!$A:$Q,16,FALSE)</f>
        <v>48.12035153183119</v>
      </c>
      <c r="H12" s="318">
        <f>VLOOKUP(C12,'Raw - Business Births'!A:Q,14,FALSE)</f>
        <v>570</v>
      </c>
      <c r="I12" s="299">
        <f t="shared" si="1"/>
        <v>-9.2979144365365656</v>
      </c>
      <c r="J12" s="300">
        <f>SUM(VLOOKUP(C12,'Raw - Business Births'!A:Q,14,FALSE)-VLOOKUP(C12,'Raw - Business Births'!A:Q,2,FALSE))</f>
        <v>-90</v>
      </c>
      <c r="K12" s="301">
        <f t="shared" si="0"/>
        <v>21.330734409902774</v>
      </c>
      <c r="L12" s="302">
        <f>IF(K12="","",IF($K$5="lgbf family group",SUM(MROUND(SUM(SUM(VLOOKUP(C$17,'Raw - Business Births'!A:Q,16,FALSE)*VLOOKUP(C12,'Raw - Business Births'!A:Q,15,FALSE))),100)-MROUND(SUM(SUM(VLOOKUP(C12,'Raw - Business Births'!A:Q,16,FALSE)*VLOOKUP(C12,'Raw - Business Births'!A:Q,15,FALSE))),100)),IF($K$5="Glasgow City Region",SUM(MROUND(SUM(SUM(VLOOKUP(C$18,'Raw - Business Births'!A:Q,16,FALSE)*VLOOKUP(C12,'Raw - Business Births'!A:Q,15,FALSE))),100)-MROUND(SUM(SUM(VLOOKUP(C12,'Raw - Business Births'!A:Q,16,FALSE)*VLOOKUP(C12,'Raw - Business Births'!A:Q,15,FALSE))),100)),IF($K$5="Scotland",SUM(MROUND(SUM(SUM(VLOOKUP(C$19,'Raw - Business Births'!A:Q,16,FALSE)*VLOOKUP(C12,'Raw - Business Births'!A:Q,15,FALSE))),100)-MROUND(SUM(SUM(VLOOKUP(C12,'Raw - Business Births'!A:Q,16,FALSE)*VLOOKUP(C12,'Raw - Business Births'!A:Q,15,FALSE))),100)),IF($K$5="United Kingdom",SUM(MROUND(SUM(SUM(VLOOKUP(C$20,'Raw - Business Births'!A:Q,16,FALSE)*VLOOKUP(C12,'Raw - Business Births'!A:Q,15,FALSE))),100)-MROUND(SUM(SUM(VLOOKUP(C12,'Raw - Business Births'!A:Q,16,FALSE)*VLOOKUP(C12,'Raw - Business Births'!A:Q,15,FALSE))),100)),SUM(MROUND(SUM(SUM(VLOOKUP(C$16,'Raw - Business Births'!A:Q,16,FALSE)*VLOOKUP(C12,'Raw - Business Births'!A:Q,15,FALSE))),100)-MROUND(SUM(SUM(VLOOKUP(C12,'Raw - Business Births'!A:Q,16,FALSE)*VLOOKUP(C12,'Raw - Business Births'!A:Q,15,FALSE))),100)))))))</f>
        <v>200</v>
      </c>
    </row>
    <row r="13" spans="2:12" ht="19.5" customHeight="1">
      <c r="B13" s="296" t="s">
        <v>249</v>
      </c>
      <c r="C13" s="296" t="s">
        <v>41</v>
      </c>
      <c r="D13" s="297">
        <f>VLOOKUP($C13,'Raw - Business Births'!$A:$Q,4,FALSE)</f>
        <v>57.128725114381105</v>
      </c>
      <c r="E13" s="297">
        <f>VLOOKUP($C13,'Raw - Business Births'!$A:$Q,8,FALSE)</f>
        <v>50.052034293076964</v>
      </c>
      <c r="F13" s="297">
        <f>VLOOKUP($C13,'Raw - Business Births'!$A:$Q,12,FALSE)</f>
        <v>57.797757249419554</v>
      </c>
      <c r="G13" s="297">
        <f>VLOOKUP($C13,'Raw - Business Births'!$A:$Q,16,FALSE)</f>
        <v>57.180398072898925</v>
      </c>
      <c r="H13" s="318">
        <f>VLOOKUP(C13,'Raw - Business Births'!A:Q,14,FALSE)</f>
        <v>1175</v>
      </c>
      <c r="I13" s="299">
        <f t="shared" si="1"/>
        <v>5.1672958517819723E-2</v>
      </c>
      <c r="J13" s="300">
        <f>SUM(VLOOKUP(C13,'Raw - Business Births'!A:Q,14,FALSE)-VLOOKUP(C13,'Raw - Business Births'!A:Q,2,FALSE))</f>
        <v>20</v>
      </c>
      <c r="K13" s="301">
        <f t="shared" si="0"/>
        <v>12.27068786883504</v>
      </c>
      <c r="L13" s="302">
        <f>IF(K13="","",IF($K$5="lgbf family group",SUM(MROUND(SUM(SUM(VLOOKUP(C$17,'Raw - Business Births'!A:Q,16,FALSE)*VLOOKUP(C13,'Raw - Business Births'!A:Q,15,FALSE))),100)-MROUND(SUM(SUM(VLOOKUP(C13,'Raw - Business Births'!A:Q,16,FALSE)*VLOOKUP(C13,'Raw - Business Births'!A:Q,15,FALSE))),100)),IF($K$5="Glasgow City Region",SUM(MROUND(SUM(SUM(VLOOKUP(C$18,'Raw - Business Births'!A:Q,16,FALSE)*VLOOKUP(C13,'Raw - Business Births'!A:Q,15,FALSE))),100)-MROUND(SUM(SUM(VLOOKUP(C13,'Raw - Business Births'!A:Q,16,FALSE)*VLOOKUP(C13,'Raw - Business Births'!A:Q,15,FALSE))),100)),IF($K$5="Scotland",SUM(MROUND(SUM(SUM(VLOOKUP(C$19,'Raw - Business Births'!A:Q,16,FALSE)*VLOOKUP(C13,'Raw - Business Births'!A:Q,15,FALSE))),100)-MROUND(SUM(SUM(VLOOKUP(C13,'Raw - Business Births'!A:Q,16,FALSE)*VLOOKUP(C13,'Raw - Business Births'!A:Q,15,FALSE))),100)),IF($K$5="United Kingdom",SUM(MROUND(SUM(SUM(VLOOKUP(C$20,'Raw - Business Births'!A:Q,16,FALSE)*VLOOKUP(C13,'Raw - Business Births'!A:Q,15,FALSE))),100)-MROUND(SUM(SUM(VLOOKUP(C13,'Raw - Business Births'!A:Q,16,FALSE)*VLOOKUP(C13,'Raw - Business Births'!A:Q,15,FALSE))),100)),SUM(MROUND(SUM(SUM(VLOOKUP(C$16,'Raw - Business Births'!A:Q,16,FALSE)*VLOOKUP(C13,'Raw - Business Births'!A:Q,15,FALSE))),100)-MROUND(SUM(SUM(VLOOKUP(C13,'Raw - Business Births'!A:Q,16,FALSE)*VLOOKUP(C13,'Raw - Business Births'!A:Q,15,FALSE))),100)))))))</f>
        <v>200</v>
      </c>
    </row>
    <row r="14" spans="2:12" ht="19.5" customHeight="1">
      <c r="B14" s="296" t="s">
        <v>249</v>
      </c>
      <c r="C14" s="296" t="s">
        <v>43</v>
      </c>
      <c r="D14" s="297">
        <f>VLOOKUP($C14,'Raw - Business Births'!$A:$Q,4,FALSE)</f>
        <v>56.585089828830107</v>
      </c>
      <c r="E14" s="297">
        <f>VLOOKUP($C14,'Raw - Business Births'!$A:$Q,8,FALSE)</f>
        <v>43.759377009359149</v>
      </c>
      <c r="F14" s="297">
        <f>VLOOKUP($C14,'Raw - Business Births'!$A:$Q,12,FALSE)</f>
        <v>40.603457609990251</v>
      </c>
      <c r="G14" s="297">
        <f>VLOOKUP($C14,'Raw - Business Births'!$A:$Q,16,FALSE)</f>
        <v>45.038553001369174</v>
      </c>
      <c r="H14" s="318">
        <f>VLOOKUP(C14,'Raw - Business Births'!A:Q,14,FALSE)</f>
        <v>250</v>
      </c>
      <c r="I14" s="299">
        <f t="shared" si="1"/>
        <v>-11.546536827460933</v>
      </c>
      <c r="J14" s="300">
        <f>SUM(VLOOKUP(C14,'Raw - Business Births'!A:Q,14,FALSE)-VLOOKUP(C14,'Raw - Business Births'!A:Q,2,FALSE))</f>
        <v>-70</v>
      </c>
      <c r="K14" s="301">
        <f t="shared" si="0"/>
        <v>24.412532940364791</v>
      </c>
      <c r="L14" s="302">
        <f>IF(K14="","",IF($K$5="lgbf family group",SUM(MROUND(SUM(SUM(VLOOKUP(C$17,'Raw - Business Births'!A:Q,16,FALSE)*VLOOKUP(C14,'Raw - Business Births'!A:Q,15,FALSE))),100)-MROUND(SUM(SUM(VLOOKUP(C14,'Raw - Business Births'!A:Q,16,FALSE)*VLOOKUP(C14,'Raw - Business Births'!A:Q,15,FALSE))),100)),IF($K$5="Glasgow City Region",SUM(MROUND(SUM(SUM(VLOOKUP(C$18,'Raw - Business Births'!A:Q,16,FALSE)*VLOOKUP(C14,'Raw - Business Births'!A:Q,15,FALSE))),100)-MROUND(SUM(SUM(VLOOKUP(C14,'Raw - Business Births'!A:Q,16,FALSE)*VLOOKUP(C14,'Raw - Business Births'!A:Q,15,FALSE))),100)),IF($K$5="Scotland",SUM(MROUND(SUM(SUM(VLOOKUP(C$19,'Raw - Business Births'!A:Q,16,FALSE)*VLOOKUP(C14,'Raw - Business Births'!A:Q,15,FALSE))),100)-MROUND(SUM(SUM(VLOOKUP(C14,'Raw - Business Births'!A:Q,16,FALSE)*VLOOKUP(C14,'Raw - Business Births'!A:Q,15,FALSE))),100)),IF($K$5="United Kingdom",SUM(MROUND(SUM(SUM(VLOOKUP(C$20,'Raw - Business Births'!A:Q,16,FALSE)*VLOOKUP(C14,'Raw - Business Births'!A:Q,15,FALSE))),100)-MROUND(SUM(SUM(VLOOKUP(C14,'Raw - Business Births'!A:Q,16,FALSE)*VLOOKUP(C14,'Raw - Business Births'!A:Q,15,FALSE))),100)),SUM(MROUND(SUM(SUM(VLOOKUP(C$16,'Raw - Business Births'!A:Q,16,FALSE)*VLOOKUP(C14,'Raw - Business Births'!A:Q,15,FALSE))),100)-MROUND(SUM(SUM(VLOOKUP(C14,'Raw - Business Births'!A:Q,16,FALSE)*VLOOKUP(C14,'Raw - Business Births'!A:Q,15,FALSE))),100)))))))</f>
        <v>100</v>
      </c>
    </row>
    <row r="15" spans="2:12" ht="19.5" customHeight="1">
      <c r="B15" s="303"/>
      <c r="C15" s="303"/>
      <c r="D15" s="304"/>
      <c r="E15" s="304"/>
      <c r="F15" s="304"/>
      <c r="G15" s="304"/>
      <c r="H15" s="304"/>
      <c r="I15" s="306"/>
      <c r="J15" s="306"/>
      <c r="K15" s="306"/>
      <c r="L15" s="306"/>
    </row>
    <row r="16" spans="2:12" ht="19.5" customHeight="1">
      <c r="B16" s="307" t="s">
        <v>51</v>
      </c>
      <c r="C16" s="296" t="str">
        <f>INDEX('Raw - Business Births'!$A$9:$A$41,MATCH(MAX('Raw - Business Births'!P9:P41),'Raw - Business Births'!P9:P41,0))</f>
        <v>Glasgow City</v>
      </c>
      <c r="D16" s="297">
        <f>VLOOKUP($C16,'Raw - Business Births'!$A:$Q,4,FALSE)</f>
        <v>73.218717163361575</v>
      </c>
      <c r="E16" s="297">
        <f>VLOOKUP($C16,'Raw - Business Births'!$A:$Q,8,FALSE)</f>
        <v>57.503353435408279</v>
      </c>
      <c r="F16" s="297">
        <f>VLOOKUP($C16,'Raw - Business Births'!$A:$Q,12,FALSE)</f>
        <v>65.97644016984475</v>
      </c>
      <c r="G16" s="297">
        <f>VLOOKUP($C16,'Raw - Business Births'!$A:$Q,16,FALSE)</f>
        <v>69.451085941733965</v>
      </c>
      <c r="H16" s="318">
        <f>VLOOKUP(C16,'Raw - Business Births'!A:Q,14,FALSE)</f>
        <v>3050</v>
      </c>
      <c r="I16" s="299">
        <f>SUM(G16-D16)</f>
        <v>-3.7676312216276102</v>
      </c>
      <c r="J16" s="300">
        <f>SUM(VLOOKUP(C16,'Raw - Business Births'!A:Q,14,FALSE)-VLOOKUP(C16,'Raw - Business Births'!A:Q,2,FALSE))</f>
        <v>-225</v>
      </c>
    </row>
    <row r="17" spans="2:12" ht="19.5" customHeight="1">
      <c r="B17" s="307" t="s">
        <v>542</v>
      </c>
      <c r="C17" s="308" t="s">
        <v>546</v>
      </c>
      <c r="D17" s="297">
        <f>VLOOKUP($C17,'Raw - Business Births'!$A:$Q,4,FALSE)</f>
        <v>64.103453722262856</v>
      </c>
      <c r="E17" s="297">
        <f>VLOOKUP($C17,'Raw - Business Births'!$A:$Q,8,FALSE)</f>
        <v>51.647199137739285</v>
      </c>
      <c r="F17" s="297">
        <f>VLOOKUP($C17,'Raw - Business Births'!$A:$Q,12,FALSE)</f>
        <v>57.330095349000686</v>
      </c>
      <c r="G17" s="297">
        <f>VLOOKUP($C17,'Raw - Business Births'!$A:$Q,16,FALSE)</f>
        <v>59.941811267577151</v>
      </c>
      <c r="H17" s="318">
        <f>VLOOKUP(C17,'Raw - Business Births'!A:Q,14,FALSE)</f>
        <v>8890</v>
      </c>
      <c r="I17" s="299">
        <f>SUM(G17-D17)</f>
        <v>-4.1616424546857047</v>
      </c>
      <c r="J17" s="300">
        <f>SUM(VLOOKUP(C17,'Raw - Business Births'!A:Q,14,FALSE)-VLOOKUP(C17,'Raw - Business Births'!A:Q,2,FALSE))</f>
        <v>-810</v>
      </c>
    </row>
    <row r="18" spans="2:12" ht="19.5" customHeight="1">
      <c r="B18" s="307" t="s">
        <v>250</v>
      </c>
      <c r="C18" s="296" t="s">
        <v>47</v>
      </c>
      <c r="D18" s="297">
        <f>VLOOKUP($C18,'Raw - Business Births'!$A:$Q,4,FALSE)</f>
        <v>61.41217439570751</v>
      </c>
      <c r="E18" s="297">
        <f>VLOOKUP($C18,'Raw - Business Births'!$A:$Q,8,FALSE)</f>
        <v>50.575320069525581</v>
      </c>
      <c r="F18" s="297">
        <f>VLOOKUP($C18,'Raw - Business Births'!$A:$Q,12,FALSE)</f>
        <v>57.710102779338378</v>
      </c>
      <c r="G18" s="297">
        <f>VLOOKUP($C18,'Raw - Business Births'!$A:$Q,16,FALSE)</f>
        <v>58.423994112850295</v>
      </c>
      <c r="H18" s="318">
        <f>VLOOKUP(C18,'Raw - Business Births'!A:Q,14,FALSE)</f>
        <v>7050</v>
      </c>
      <c r="I18" s="299">
        <f t="shared" si="1"/>
        <v>-2.9881802828572148</v>
      </c>
      <c r="J18" s="300">
        <f>SUM(VLOOKUP(C18,'Raw - Business Births'!A:Q,14,FALSE)-VLOOKUP(C18,'Raw - Business Births'!A:Q,2,FALSE))</f>
        <v>-385</v>
      </c>
    </row>
    <row r="19" spans="2:12" ht="19.5" customHeight="1">
      <c r="B19" s="307" t="s">
        <v>251</v>
      </c>
      <c r="C19" s="296" t="s">
        <v>45</v>
      </c>
      <c r="D19" s="297">
        <f>VLOOKUP($C19,'Raw - Business Births'!$A:$Q,4,FALSE)</f>
        <v>59.123587166407738</v>
      </c>
      <c r="E19" s="297">
        <f>VLOOKUP($C19,'Raw - Business Births'!$A:$Q,8,FALSE)</f>
        <v>48.237443879240928</v>
      </c>
      <c r="F19" s="297">
        <f>VLOOKUP($C19,'Raw - Business Births'!$A:$Q,12,FALSE)</f>
        <v>54.113343846946513</v>
      </c>
      <c r="G19" s="297">
        <f>VLOOKUP($C19,'Raw - Business Births'!$A:$Q,16,FALSE)</f>
        <v>54.562598509778908</v>
      </c>
      <c r="H19" s="318">
        <f>VLOOKUP(C19,'Raw - Business Births'!A:Q,14,FALSE)</f>
        <v>18870</v>
      </c>
      <c r="I19" s="299">
        <f t="shared" si="1"/>
        <v>-4.5609886566288296</v>
      </c>
      <c r="J19" s="300">
        <f>SUM(VLOOKUP(C19,'Raw - Business Births'!A:Q,14,FALSE)-VLOOKUP(C19,'Raw - Business Births'!A:Q,2,FALSE))</f>
        <v>-1810</v>
      </c>
    </row>
    <row r="20" spans="2:12" ht="19.5" customHeight="1">
      <c r="B20" s="307" t="s">
        <v>251</v>
      </c>
      <c r="C20" s="296" t="s">
        <v>46</v>
      </c>
      <c r="D20" s="297">
        <f>VLOOKUP($C20,'Raw - Business Births'!$A:$Q,4,FALSE)</f>
        <v>87.197994631867843</v>
      </c>
      <c r="E20" s="297">
        <f>VLOOKUP($C20,'Raw - Business Births'!$A:$Q,8,FALSE)</f>
        <v>79.584128360103577</v>
      </c>
      <c r="F20" s="297">
        <f>VLOOKUP($C20,'Raw - Business Births'!$A:$Q,12,FALSE)</f>
        <v>86.306531436068411</v>
      </c>
      <c r="G20" s="297">
        <f>VLOOKUP($C20,'Raw - Business Births'!$A:$Q,16,FALSE)</f>
        <v>79.887987758341055</v>
      </c>
      <c r="H20" s="318">
        <f>VLOOKUP(C20,'Raw - Business Births'!A:Q,14,FALSE)</f>
        <v>336925</v>
      </c>
      <c r="I20" s="299">
        <f t="shared" si="1"/>
        <v>-7.3100068735267882</v>
      </c>
      <c r="J20" s="300">
        <f>SUM(VLOOKUP(C20,'Raw - Business Births'!A:Q,14,FALSE)-VLOOKUP(C20,'Raw - Business Births'!A:Q,2,FALSE))</f>
        <v>-26900</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qinj5GwsT3dSCLg5K7oct4EkZbGSnZL7tFWNDA/fgbbFj9+rXYvxu0uxTYY+EClPQJwzFVyvDjcra7+ijPFjdQ==" saltValue="jQwsfJxs2fB7QXmgwfbAaA==" spinCount="100000" sheet="1" objects="1" scenarios="1"/>
  <autoFilter ref="C6:L14" xr:uid="{00000000-0009-0000-0000-00002F000000}">
    <sortState xmlns:xlrd2="http://schemas.microsoft.com/office/spreadsheetml/2017/richdata2" ref="B7:I14">
      <sortCondition descending="1" ref="H6"/>
    </sortState>
  </autoFilter>
  <mergeCells count="4">
    <mergeCell ref="F2:G2"/>
    <mergeCell ref="K4:L4"/>
    <mergeCell ref="I5:J5"/>
    <mergeCell ref="K5:L5"/>
  </mergeCells>
  <dataValidations disablePrompts="1" count="1">
    <dataValidation type="list" allowBlank="1" showInputMessage="1" showErrorMessage="1" sqref="C17" xr:uid="{00000000-0002-0000-2F00-000000000000}">
      <formula1>IF(B17="LGBF Family Group 1",LGBF_5,IF(B17="LGBF Family Group 3",LGBF_7,IF(B17="LGBF Family Group 4",LGBF_8,LGBF_6)))</formula1>
    </dataValidation>
  </dataValidations>
  <hyperlinks>
    <hyperlink ref="F2:G2" location="'Index RAG'!A1" display="Return to Index RAG" xr:uid="{00000000-0004-0000-2F00-000001000000}"/>
    <hyperlink ref="C3" r:id="rId1" xr:uid="{9EBA0B58-A8E5-4B55-BE24-04190B4185DA}"/>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F00-000001000000}">
          <x14:formula1>
            <xm:f>Lookups!$L$8:$O$8</xm:f>
          </x14:formula1>
          <xm:sqref>B17</xm:sqref>
        </x14:dataValidation>
        <x14:dataValidation type="list" allowBlank="1" showInputMessage="1" showErrorMessage="1" xr:uid="{00000000-0002-0000-2F00-000002000000}">
          <x14:formula1>
            <xm:f>Lookups!$B$3:$B$7</xm:f>
          </x14:formula1>
          <xm:sqref>K5:L5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autoPageBreaks="0"/>
  </sheetPr>
  <dimension ref="B2:L24"/>
  <sheetViews>
    <sheetView zoomScale="90" zoomScaleNormal="90" workbookViewId="0">
      <selection activeCell="G12" sqref="G1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518</v>
      </c>
      <c r="F2" s="595" t="s">
        <v>507</v>
      </c>
      <c r="G2" s="596"/>
    </row>
    <row r="3" spans="2:12" ht="13">
      <c r="B3" s="286" t="s">
        <v>49</v>
      </c>
      <c r="C3" s="418" t="s">
        <v>516</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2019</v>
      </c>
      <c r="E6" s="294">
        <v>2020</v>
      </c>
      <c r="F6" s="294">
        <v>2021</v>
      </c>
      <c r="G6" s="294">
        <v>2022</v>
      </c>
      <c r="H6" s="294" t="s">
        <v>613</v>
      </c>
      <c r="I6" s="295" t="s">
        <v>53</v>
      </c>
      <c r="J6" s="295" t="s">
        <v>54</v>
      </c>
      <c r="K6" s="295" t="s">
        <v>56</v>
      </c>
      <c r="L6" s="295" t="s">
        <v>57</v>
      </c>
    </row>
    <row r="7" spans="2:12" ht="19.5" customHeight="1">
      <c r="B7" s="296" t="s">
        <v>249</v>
      </c>
      <c r="C7" s="296" t="s">
        <v>22</v>
      </c>
      <c r="D7" s="297">
        <f>VLOOKUP($C7,'Raw - Business Deaths'!$A:$Q,4,FALSE)</f>
        <v>56.57423624781066</v>
      </c>
      <c r="E7" s="297">
        <f>VLOOKUP($C7,'Raw - Business Deaths'!$A:$Q,8,FALSE)</f>
        <v>56.758984247438072</v>
      </c>
      <c r="F7" s="297">
        <f>VLOOKUP($C7,'Raw - Business Deaths'!$A:$Q,12,FALSE)</f>
        <v>60.04582444497116</v>
      </c>
      <c r="G7" s="297">
        <f>VLOOKUP($C7,'Raw - Business Deaths'!$A:$Q,16,FALSE)</f>
        <v>60.04582444497116</v>
      </c>
      <c r="H7" s="318">
        <f>VLOOKUP(C7,'Raw - Business Deaths'!A:Q,14,FALSE)</f>
        <v>380</v>
      </c>
      <c r="I7" s="299">
        <f>SUM(G7-D7)</f>
        <v>3.4715881971605</v>
      </c>
      <c r="J7" s="300">
        <f>SUM(VLOOKUP(C7,'Raw - Business Deaths'!A:Q,14,FALSE)-VLOOKUP(C7,'Raw - Business Deaths'!A:Q,2,FALSE))</f>
        <v>15</v>
      </c>
      <c r="K7" s="301">
        <f t="shared" ref="K7:K14" si="0">IF(IF($K$5="lgbf family group",SUM(G$17-G7),IF($K$5="Glasgow City Region",SUM(G$18-G7),IF($K$5="Scotland",SUM(G$19-G7),IF($K$5="United Kingdom",SUM(G$20-G7),SUM(G$16-G7)))))&gt;0,"",IF($K$5="lgbf family group",SUM(G$17-G7),IF($K$5="Glasgow City Region",SUM(G$18-G7),IF($K$5="Scotland",SUM(G$19-G7),IF($K$5="United Kingdom",SUM(G$20-G7),SUM(G$16-G7))))))</f>
        <v>-25.483612463404341</v>
      </c>
      <c r="L7" s="302">
        <f>IF(K7="","",IF($K$5="lgbf family group",SUM(MROUND(SUM(SUM(VLOOKUP(C$17,'Raw - Business Deaths'!A:Q,16,FALSE)*VLOOKUP(C7,'Raw - Business Deaths'!A:Q,15,FALSE))),100)-MROUND(SUM(SUM(VLOOKUP(C7,'Raw - Business Deaths'!A:Q,16,FALSE)*VLOOKUP(C7,'Raw - Business Deaths'!A:Q,15,FALSE))),100)),IF($K$5="Glasgow City Region",SUM(MROUND(SUM(SUM(VLOOKUP(C$18,'Raw - Business Deaths'!A:Q,16,FALSE)*VLOOKUP(C7,'Raw - Business Deaths'!A:Q,15,FALSE))),100)-MROUND(SUM(SUM(VLOOKUP(C7,'Raw - Business Deaths'!A:Q,16,FALSE)*VLOOKUP(C7,'Raw - Business Deaths'!A:Q,15,FALSE))),100)),IF($K$5="Scotland",SUM(MROUND(SUM(SUM(VLOOKUP(C$19,'Raw - Business Deaths'!A:Q,16,FALSE)*VLOOKUP(C7,'Raw - Business Deaths'!A:Q,15,FALSE))),100)-MROUND(SUM(SUM(VLOOKUP(C7,'Raw - Business Deaths'!A:Q,16,FALSE)*VLOOKUP(C7,'Raw - Business Deaths'!A:Q,15,FALSE))),100)),IF($K$5="United Kingdom",SUM(MROUND(SUM(SUM(VLOOKUP(C$20,'Raw - Business Deaths'!A:Q,16,FALSE)*VLOOKUP(C7,'Raw - Business Deaths'!A:Q,15,FALSE))),100)-MROUND(SUM(SUM(VLOOKUP(C7,'Raw - Business Deaths'!A:Q,16,FALSE)*VLOOKUP(C7,'Raw - Business Deaths'!A:Q,15,FALSE))),100)),SUM(MROUND(SUM(SUM(VLOOKUP(C$16,'Raw - Business Deaths'!A:Q,16,FALSE)*VLOOKUP(C7,'Raw - Business Deaths'!A:Q,15,FALSE))),100)-MROUND(SUM(SUM(VLOOKUP(C7,'Raw - Business Deaths'!A:Q,16,FALSE)*VLOOKUP(C7,'Raw - Business Deaths'!A:Q,15,FALSE))),100)))))))</f>
        <v>-200</v>
      </c>
    </row>
    <row r="8" spans="2:12" ht="19.5" customHeight="1">
      <c r="B8" s="296" t="s">
        <v>249</v>
      </c>
      <c r="C8" s="296" t="s">
        <v>24</v>
      </c>
      <c r="D8" s="297">
        <f>VLOOKUP($C8,'Raw - Business Deaths'!$A:$Q,4,FALSE)</f>
        <v>50.901304126516067</v>
      </c>
      <c r="E8" s="297">
        <f>VLOOKUP($C8,'Raw - Business Deaths'!$A:$Q,8,FALSE)</f>
        <v>64.874721652376692</v>
      </c>
      <c r="F8" s="297">
        <f>VLOOKUP($C8,'Raw - Business Deaths'!$A:$Q,12,FALSE)</f>
        <v>62.719739933923428</v>
      </c>
      <c r="G8" s="297">
        <f>VLOOKUP($C8,'Raw - Business Deaths'!$A:$Q,16,FALSE)</f>
        <v>62.719739933923428</v>
      </c>
      <c r="H8" s="318">
        <f>VLOOKUP(C8,'Raw - Business Deaths'!A:Q,14,FALSE)</f>
        <v>355</v>
      </c>
      <c r="I8" s="299">
        <f t="shared" ref="I8:I19" si="1">SUM(G8-D8)</f>
        <v>11.818435807407361</v>
      </c>
      <c r="J8" s="300">
        <f>SUM(VLOOKUP(C8,'Raw - Business Deaths'!A:Q,14,FALSE)-VLOOKUP(C8,'Raw - Business Deaths'!A:Q,2,FALSE))</f>
        <v>65</v>
      </c>
      <c r="K8" s="301">
        <f t="shared" si="0"/>
        <v>-28.15752795235661</v>
      </c>
      <c r="L8" s="302">
        <f>IF(K8="","",IF($K$5="lgbf family group",SUM(MROUND(SUM(SUM(VLOOKUP(C$17,'Raw - Business Deaths'!A:Q,16,FALSE)*VLOOKUP(C8,'Raw - Business Deaths'!A:Q,15,FALSE))),100)-MROUND(SUM(SUM(VLOOKUP(C8,'Raw - Business Deaths'!A:Q,16,FALSE)*VLOOKUP(C8,'Raw - Business Deaths'!A:Q,15,FALSE))),100)),IF($K$5="Glasgow City Region",SUM(MROUND(SUM(SUM(VLOOKUP(C$18,'Raw - Business Deaths'!A:Q,16,FALSE)*VLOOKUP(C8,'Raw - Business Deaths'!A:Q,15,FALSE))),100)-MROUND(SUM(SUM(VLOOKUP(C8,'Raw - Business Deaths'!A:Q,16,FALSE)*VLOOKUP(C8,'Raw - Business Deaths'!A:Q,15,FALSE))),100)),IF($K$5="Scotland",SUM(MROUND(SUM(SUM(VLOOKUP(C$19,'Raw - Business Deaths'!A:Q,16,FALSE)*VLOOKUP(C8,'Raw - Business Deaths'!A:Q,15,FALSE))),100)-MROUND(SUM(SUM(VLOOKUP(C8,'Raw - Business Deaths'!A:Q,16,FALSE)*VLOOKUP(C8,'Raw - Business Deaths'!A:Q,15,FALSE))),100)),IF($K$5="United Kingdom",SUM(MROUND(SUM(SUM(VLOOKUP(C$20,'Raw - Business Deaths'!A:Q,16,FALSE)*VLOOKUP(C8,'Raw - Business Deaths'!A:Q,15,FALSE))),100)-MROUND(SUM(SUM(VLOOKUP(C8,'Raw - Business Deaths'!A:Q,16,FALSE)*VLOOKUP(C8,'Raw - Business Deaths'!A:Q,15,FALSE))),100)),SUM(MROUND(SUM(SUM(VLOOKUP(C$16,'Raw - Business Deaths'!A:Q,16,FALSE)*VLOOKUP(C8,'Raw - Business Deaths'!A:Q,15,FALSE))),100)-MROUND(SUM(SUM(VLOOKUP(C8,'Raw - Business Deaths'!A:Q,16,FALSE)*VLOOKUP(C8,'Raw - Business Deaths'!A:Q,15,FALSE))),100)))))))</f>
        <v>-200</v>
      </c>
    </row>
    <row r="9" spans="2:12" ht="19.5" customHeight="1">
      <c r="B9" s="296" t="s">
        <v>249</v>
      </c>
      <c r="C9" s="296" t="s">
        <v>27</v>
      </c>
      <c r="D9" s="297">
        <f>VLOOKUP($C9,'Raw - Business Deaths'!$A:$Q,4,FALSE)</f>
        <v>52.387000905371949</v>
      </c>
      <c r="E9" s="297">
        <f>VLOOKUP($C9,'Raw - Business Deaths'!$A:$Q,8,FALSE)</f>
        <v>56.169131495948911</v>
      </c>
      <c r="F9" s="297">
        <f>VLOOKUP($C9,'Raw - Business Deaths'!$A:$Q,12,FALSE)</f>
        <v>61.481289194321867</v>
      </c>
      <c r="G9" s="297">
        <f>VLOOKUP($C9,'Raw - Business Deaths'!$A:$Q,16,FALSE)</f>
        <v>61.481289194321867</v>
      </c>
      <c r="H9" s="318">
        <f>VLOOKUP(C9,'Raw - Business Deaths'!A:Q,14,FALSE)</f>
        <v>2700</v>
      </c>
      <c r="I9" s="299">
        <f t="shared" si="1"/>
        <v>9.0942882889499188</v>
      </c>
      <c r="J9" s="300">
        <f>SUM(VLOOKUP(C9,'Raw - Business Deaths'!A:Q,14,FALSE)-VLOOKUP(C9,'Raw - Business Deaths'!A:Q,2,FALSE))</f>
        <v>345</v>
      </c>
      <c r="K9" s="301">
        <f t="shared" si="0"/>
        <v>-26.919077212755049</v>
      </c>
      <c r="L9" s="302">
        <f>IF(K9="","",IF($K$5="lgbf family group",SUM(MROUND(SUM(SUM(VLOOKUP(C$17,'Raw - Business Deaths'!A:Q,16,FALSE)*VLOOKUP(C9,'Raw - Business Deaths'!A:Q,15,FALSE))),100)-MROUND(SUM(SUM(VLOOKUP(C9,'Raw - Business Deaths'!A:Q,16,FALSE)*VLOOKUP(C9,'Raw - Business Deaths'!A:Q,15,FALSE))),100)),IF($K$5="Glasgow City Region",SUM(MROUND(SUM(SUM(VLOOKUP(C$18,'Raw - Business Deaths'!A:Q,16,FALSE)*VLOOKUP(C9,'Raw - Business Deaths'!A:Q,15,FALSE))),100)-MROUND(SUM(SUM(VLOOKUP(C9,'Raw - Business Deaths'!A:Q,16,FALSE)*VLOOKUP(C9,'Raw - Business Deaths'!A:Q,15,FALSE))),100)),IF($K$5="Scotland",SUM(MROUND(SUM(SUM(VLOOKUP(C$19,'Raw - Business Deaths'!A:Q,16,FALSE)*VLOOKUP(C9,'Raw - Business Deaths'!A:Q,15,FALSE))),100)-MROUND(SUM(SUM(VLOOKUP(C9,'Raw - Business Deaths'!A:Q,16,FALSE)*VLOOKUP(C9,'Raw - Business Deaths'!A:Q,15,FALSE))),100)),IF($K$5="United Kingdom",SUM(MROUND(SUM(SUM(VLOOKUP(C$20,'Raw - Business Deaths'!A:Q,16,FALSE)*VLOOKUP(C9,'Raw - Business Deaths'!A:Q,15,FALSE))),100)-MROUND(SUM(SUM(VLOOKUP(C9,'Raw - Business Deaths'!A:Q,16,FALSE)*VLOOKUP(C9,'Raw - Business Deaths'!A:Q,15,FALSE))),100)),SUM(MROUND(SUM(SUM(VLOOKUP(C$16,'Raw - Business Deaths'!A:Q,16,FALSE)*VLOOKUP(C9,'Raw - Business Deaths'!A:Q,15,FALSE))),100)-MROUND(SUM(SUM(VLOOKUP(C9,'Raw - Business Deaths'!A:Q,16,FALSE)*VLOOKUP(C9,'Raw - Business Deaths'!A:Q,15,FALSE))),100)))))))</f>
        <v>-1200</v>
      </c>
    </row>
    <row r="10" spans="2:12" ht="19.5" customHeight="1">
      <c r="B10" s="296" t="s">
        <v>249</v>
      </c>
      <c r="C10" s="296" t="s">
        <v>29</v>
      </c>
      <c r="D10" s="297">
        <f>VLOOKUP($C10,'Raw - Business Deaths'!$A:$Q,4,FALSE)</f>
        <v>42.573517195547431</v>
      </c>
      <c r="E10" s="297">
        <f>VLOOKUP($C10,'Raw - Business Deaths'!$A:$Q,8,FALSE)</f>
        <v>38.717508685278972</v>
      </c>
      <c r="F10" s="297">
        <f>VLOOKUP($C10,'Raw - Business Deaths'!$A:$Q,12,FALSE)</f>
        <v>43.104333011761327</v>
      </c>
      <c r="G10" s="297">
        <f>VLOOKUP($C10,'Raw - Business Deaths'!$A:$Q,16,FALSE)</f>
        <v>43.104333011761327</v>
      </c>
      <c r="H10" s="318">
        <f>VLOOKUP(C10,'Raw - Business Deaths'!A:Q,14,FALSE)</f>
        <v>210</v>
      </c>
      <c r="I10" s="299">
        <f t="shared" si="1"/>
        <v>0.53081581621389518</v>
      </c>
      <c r="J10" s="300">
        <f>SUM(VLOOKUP(C10,'Raw - Business Deaths'!A:Q,14,FALSE)-VLOOKUP(C10,'Raw - Business Deaths'!A:Q,2,FALSE))</f>
        <v>5</v>
      </c>
      <c r="K10" s="301">
        <f t="shared" si="0"/>
        <v>-8.5421210301945081</v>
      </c>
      <c r="L10" s="302">
        <f>IF(K10="","",IF($K$5="lgbf family group",SUM(MROUND(SUM(SUM(VLOOKUP(C$17,'Raw - Business Deaths'!A:Q,16,FALSE)*VLOOKUP(C10,'Raw - Business Deaths'!A:Q,15,FALSE))),100)-MROUND(SUM(SUM(VLOOKUP(C10,'Raw - Business Deaths'!A:Q,16,FALSE)*VLOOKUP(C10,'Raw - Business Deaths'!A:Q,15,FALSE))),100)),IF($K$5="Glasgow City Region",SUM(MROUND(SUM(SUM(VLOOKUP(C$18,'Raw - Business Deaths'!A:Q,16,FALSE)*VLOOKUP(C10,'Raw - Business Deaths'!A:Q,15,FALSE))),100)-MROUND(SUM(SUM(VLOOKUP(C10,'Raw - Business Deaths'!A:Q,16,FALSE)*VLOOKUP(C10,'Raw - Business Deaths'!A:Q,15,FALSE))),100)),IF($K$5="Scotland",SUM(MROUND(SUM(SUM(VLOOKUP(C$19,'Raw - Business Deaths'!A:Q,16,FALSE)*VLOOKUP(C10,'Raw - Business Deaths'!A:Q,15,FALSE))),100)-MROUND(SUM(SUM(VLOOKUP(C10,'Raw - Business Deaths'!A:Q,16,FALSE)*VLOOKUP(C10,'Raw - Business Deaths'!A:Q,15,FALSE))),100)),IF($K$5="United Kingdom",SUM(MROUND(SUM(SUM(VLOOKUP(C$20,'Raw - Business Deaths'!A:Q,16,FALSE)*VLOOKUP(C10,'Raw - Business Deaths'!A:Q,15,FALSE))),100)-MROUND(SUM(SUM(VLOOKUP(C10,'Raw - Business Deaths'!A:Q,16,FALSE)*VLOOKUP(C10,'Raw - Business Deaths'!A:Q,15,FALSE))),100)),SUM(MROUND(SUM(SUM(VLOOKUP(C$16,'Raw - Business Deaths'!A:Q,16,FALSE)*VLOOKUP(C10,'Raw - Business Deaths'!A:Q,15,FALSE))),100)-MROUND(SUM(SUM(VLOOKUP(C10,'Raw - Business Deaths'!A:Q,16,FALSE)*VLOOKUP(C10,'Raw - Business Deaths'!A:Q,15,FALSE))),100)))))))</f>
        <v>0</v>
      </c>
    </row>
    <row r="11" spans="2:12" ht="19.5" customHeight="1">
      <c r="B11" s="296" t="s">
        <v>249</v>
      </c>
      <c r="C11" s="296" t="s">
        <v>34</v>
      </c>
      <c r="D11" s="297">
        <f>VLOOKUP($C11,'Raw - Business Deaths'!$A:$Q,4,FALSE)</f>
        <v>44.281925213763003</v>
      </c>
      <c r="E11" s="297">
        <f>VLOOKUP($C11,'Raw - Business Deaths'!$A:$Q,8,FALSE)</f>
        <v>49.046893392585019</v>
      </c>
      <c r="F11" s="297">
        <f>VLOOKUP($C11,'Raw - Business Deaths'!$A:$Q,12,FALSE)</f>
        <v>50.801432463710007</v>
      </c>
      <c r="G11" s="297">
        <f>VLOOKUP($C11,'Raw - Business Deaths'!$A:$Q,16,FALSE)</f>
        <v>50.801432463710007</v>
      </c>
      <c r="H11" s="318">
        <f>VLOOKUP(C11,'Raw - Business Deaths'!A:Q,14,FALSE)</f>
        <v>1115</v>
      </c>
      <c r="I11" s="299">
        <f t="shared" si="1"/>
        <v>6.5195072499470044</v>
      </c>
      <c r="J11" s="300">
        <f>SUM(VLOOKUP(C11,'Raw - Business Deaths'!A:Q,14,FALSE)-VLOOKUP(C11,'Raw - Business Deaths'!A:Q,2,FALSE))</f>
        <v>145</v>
      </c>
      <c r="K11" s="301">
        <f t="shared" si="0"/>
        <v>-16.239220482143189</v>
      </c>
      <c r="L11" s="302">
        <f>IF(K11="","",IF($K$5="lgbf family group",SUM(MROUND(SUM(SUM(VLOOKUP(C$17,'Raw - Business Deaths'!A:Q,16,FALSE)*VLOOKUP(C11,'Raw - Business Deaths'!A:Q,15,FALSE))),100)-MROUND(SUM(SUM(VLOOKUP(C11,'Raw - Business Deaths'!A:Q,16,FALSE)*VLOOKUP(C11,'Raw - Business Deaths'!A:Q,15,FALSE))),100)),IF($K$5="Glasgow City Region",SUM(MROUND(SUM(SUM(VLOOKUP(C$18,'Raw - Business Deaths'!A:Q,16,FALSE)*VLOOKUP(C11,'Raw - Business Deaths'!A:Q,15,FALSE))),100)-MROUND(SUM(SUM(VLOOKUP(C11,'Raw - Business Deaths'!A:Q,16,FALSE)*VLOOKUP(C11,'Raw - Business Deaths'!A:Q,15,FALSE))),100)),IF($K$5="Scotland",SUM(MROUND(SUM(SUM(VLOOKUP(C$19,'Raw - Business Deaths'!A:Q,16,FALSE)*VLOOKUP(C11,'Raw - Business Deaths'!A:Q,15,FALSE))),100)-MROUND(SUM(SUM(VLOOKUP(C11,'Raw - Business Deaths'!A:Q,16,FALSE)*VLOOKUP(C11,'Raw - Business Deaths'!A:Q,15,FALSE))),100)),IF($K$5="United Kingdom",SUM(MROUND(SUM(SUM(VLOOKUP(C$20,'Raw - Business Deaths'!A:Q,16,FALSE)*VLOOKUP(C11,'Raw - Business Deaths'!A:Q,15,FALSE))),100)-MROUND(SUM(SUM(VLOOKUP(C11,'Raw - Business Deaths'!A:Q,16,FALSE)*VLOOKUP(C11,'Raw - Business Deaths'!A:Q,15,FALSE))),100)),SUM(MROUND(SUM(SUM(VLOOKUP(C$16,'Raw - Business Deaths'!A:Q,16,FALSE)*VLOOKUP(C11,'Raw - Business Deaths'!A:Q,15,FALSE))),100)-MROUND(SUM(SUM(VLOOKUP(C11,'Raw - Business Deaths'!A:Q,16,FALSE)*VLOOKUP(C11,'Raw - Business Deaths'!A:Q,15,FALSE))),100)))))))</f>
        <v>-300</v>
      </c>
    </row>
    <row r="12" spans="2:12" ht="19.5" customHeight="1">
      <c r="B12" s="296" t="s">
        <v>249</v>
      </c>
      <c r="C12" s="296" t="s">
        <v>37</v>
      </c>
      <c r="D12" s="297">
        <f>VLOOKUP($C12,'Raw - Business Deaths'!$A:$Q,4,FALSE)</f>
        <v>49.541523619138673</v>
      </c>
      <c r="E12" s="297">
        <f>VLOOKUP($C12,'Raw - Business Deaths'!$A:$Q,8,FALSE)</f>
        <v>50.18560019382025</v>
      </c>
      <c r="F12" s="297">
        <f>VLOOKUP($C12,'Raw - Business Deaths'!$A:$Q,12,FALSE)</f>
        <v>50.230893265683434</v>
      </c>
      <c r="G12" s="297">
        <f>VLOOKUP($C12,'Raw - Business Deaths'!$A:$Q,16,FALSE)</f>
        <v>50.230893265683434</v>
      </c>
      <c r="H12" s="318">
        <f>VLOOKUP(C12,'Raw - Business Deaths'!A:Q,14,FALSE)</f>
        <v>595</v>
      </c>
      <c r="I12" s="299">
        <f t="shared" si="1"/>
        <v>0.68936964654476185</v>
      </c>
      <c r="J12" s="300">
        <f>SUM(VLOOKUP(C12,'Raw - Business Deaths'!A:Q,14,FALSE)-VLOOKUP(C12,'Raw - Business Deaths'!A:Q,2,FALSE))</f>
        <v>25</v>
      </c>
      <c r="K12" s="301">
        <f t="shared" si="0"/>
        <v>-15.668681284116616</v>
      </c>
      <c r="L12" s="302">
        <f>IF(K12="","",IF($K$5="lgbf family group",SUM(MROUND(SUM(SUM(VLOOKUP(C$17,'Raw - Business Deaths'!A:Q,16,FALSE)*VLOOKUP(C12,'Raw - Business Deaths'!A:Q,15,FALSE))),100)-MROUND(SUM(SUM(VLOOKUP(C12,'Raw - Business Deaths'!A:Q,16,FALSE)*VLOOKUP(C12,'Raw - Business Deaths'!A:Q,15,FALSE))),100)),IF($K$5="Glasgow City Region",SUM(MROUND(SUM(SUM(VLOOKUP(C$18,'Raw - Business Deaths'!A:Q,16,FALSE)*VLOOKUP(C12,'Raw - Business Deaths'!A:Q,15,FALSE))),100)-MROUND(SUM(SUM(VLOOKUP(C12,'Raw - Business Deaths'!A:Q,16,FALSE)*VLOOKUP(C12,'Raw - Business Deaths'!A:Q,15,FALSE))),100)),IF($K$5="Scotland",SUM(MROUND(SUM(SUM(VLOOKUP(C$19,'Raw - Business Deaths'!A:Q,16,FALSE)*VLOOKUP(C12,'Raw - Business Deaths'!A:Q,15,FALSE))),100)-MROUND(SUM(SUM(VLOOKUP(C12,'Raw - Business Deaths'!A:Q,16,FALSE)*VLOOKUP(C12,'Raw - Business Deaths'!A:Q,15,FALSE))),100)),IF($K$5="United Kingdom",SUM(MROUND(SUM(SUM(VLOOKUP(C$20,'Raw - Business Deaths'!A:Q,16,FALSE)*VLOOKUP(C12,'Raw - Business Deaths'!A:Q,15,FALSE))),100)-MROUND(SUM(SUM(VLOOKUP(C12,'Raw - Business Deaths'!A:Q,16,FALSE)*VLOOKUP(C12,'Raw - Business Deaths'!A:Q,15,FALSE))),100)),SUM(MROUND(SUM(SUM(VLOOKUP(C$16,'Raw - Business Deaths'!A:Q,16,FALSE)*VLOOKUP(C12,'Raw - Business Deaths'!A:Q,15,FALSE))),100)-MROUND(SUM(SUM(VLOOKUP(C12,'Raw - Business Deaths'!A:Q,16,FALSE)*VLOOKUP(C12,'Raw - Business Deaths'!A:Q,15,FALSE))),100)))))))</f>
        <v>-200</v>
      </c>
    </row>
    <row r="13" spans="2:12" ht="19.5" customHeight="1">
      <c r="B13" s="296" t="s">
        <v>249</v>
      </c>
      <c r="C13" s="296" t="s">
        <v>41</v>
      </c>
      <c r="D13" s="297">
        <f>VLOOKUP($C13,'Raw - Business Deaths'!$A:$Q,4,FALSE)</f>
        <v>51.538728380990143</v>
      </c>
      <c r="E13" s="297">
        <f>VLOOKUP($C13,'Raw - Business Deaths'!$A:$Q,8,FALSE)</f>
        <v>55.574766585980342</v>
      </c>
      <c r="F13" s="297">
        <f>VLOOKUP($C13,'Raw - Business Deaths'!$A:$Q,12,FALSE)</f>
        <v>53.530585429947934</v>
      </c>
      <c r="G13" s="297">
        <f>VLOOKUP($C13,'Raw - Business Deaths'!$A:$Q,16,FALSE)</f>
        <v>53.530585429947934</v>
      </c>
      <c r="H13" s="318">
        <f>VLOOKUP(C13,'Raw - Business Deaths'!A:Q,14,FALSE)</f>
        <v>1100</v>
      </c>
      <c r="I13" s="299">
        <f>SUM(G13-D13)</f>
        <v>1.9918570489577903</v>
      </c>
      <c r="J13" s="300">
        <f>SUM(VLOOKUP(C13,'Raw - Business Deaths'!A:Q,14,FALSE)-VLOOKUP(C13,'Raw - Business Deaths'!A:Q,2,FALSE))</f>
        <v>60</v>
      </c>
      <c r="K13" s="301">
        <f t="shared" si="0"/>
        <v>-18.968373448381115</v>
      </c>
      <c r="L13" s="302">
        <f>IF(K13="","",IF($K$5="lgbf family group",SUM(MROUND(SUM(SUM(VLOOKUP(C$17,'Raw - Business Deaths'!A:Q,16,FALSE)*VLOOKUP(C13,'Raw - Business Deaths'!A:Q,15,FALSE))),100)-MROUND(SUM(SUM(VLOOKUP(C13,'Raw - Business Deaths'!A:Q,16,FALSE)*VLOOKUP(C13,'Raw - Business Deaths'!A:Q,15,FALSE))),100)),IF($K$5="Glasgow City Region",SUM(MROUND(SUM(SUM(VLOOKUP(C$18,'Raw - Business Deaths'!A:Q,16,FALSE)*VLOOKUP(C13,'Raw - Business Deaths'!A:Q,15,FALSE))),100)-MROUND(SUM(SUM(VLOOKUP(C13,'Raw - Business Deaths'!A:Q,16,FALSE)*VLOOKUP(C13,'Raw - Business Deaths'!A:Q,15,FALSE))),100)),IF($K$5="Scotland",SUM(MROUND(SUM(SUM(VLOOKUP(C$19,'Raw - Business Deaths'!A:Q,16,FALSE)*VLOOKUP(C13,'Raw - Business Deaths'!A:Q,15,FALSE))),100)-MROUND(SUM(SUM(VLOOKUP(C13,'Raw - Business Deaths'!A:Q,16,FALSE)*VLOOKUP(C13,'Raw - Business Deaths'!A:Q,15,FALSE))),100)),IF($K$5="United Kingdom",SUM(MROUND(SUM(SUM(VLOOKUP(C$20,'Raw - Business Deaths'!A:Q,16,FALSE)*VLOOKUP(C13,'Raw - Business Deaths'!A:Q,15,FALSE))),100)-MROUND(SUM(SUM(VLOOKUP(C13,'Raw - Business Deaths'!A:Q,16,FALSE)*VLOOKUP(C13,'Raw - Business Deaths'!A:Q,15,FALSE))),100)),SUM(MROUND(SUM(SUM(VLOOKUP(C$16,'Raw - Business Deaths'!A:Q,16,FALSE)*VLOOKUP(C13,'Raw - Business Deaths'!A:Q,15,FALSE))),100)-MROUND(SUM(SUM(VLOOKUP(C13,'Raw - Business Deaths'!A:Q,16,FALSE)*VLOOKUP(C13,'Raw - Business Deaths'!A:Q,15,FALSE))),100)))))))</f>
        <v>-400</v>
      </c>
    </row>
    <row r="14" spans="2:12" ht="19.5" customHeight="1">
      <c r="B14" s="296" t="s">
        <v>249</v>
      </c>
      <c r="C14" s="296" t="s">
        <v>43</v>
      </c>
      <c r="D14" s="297">
        <f>VLOOKUP($C14,'Raw - Business Deaths'!$A:$Q,4,FALSE)</f>
        <v>45.545474030149322</v>
      </c>
      <c r="E14" s="297">
        <f>VLOOKUP($C14,'Raw - Business Deaths'!$A:$Q,8,FALSE)</f>
        <v>60.454036885985488</v>
      </c>
      <c r="F14" s="297">
        <f>VLOOKUP($C14,'Raw - Business Deaths'!$A:$Q,12,FALSE)</f>
        <v>40.534697701232254</v>
      </c>
      <c r="G14" s="297">
        <f>VLOOKUP($C14,'Raw - Business Deaths'!$A:$Q,16,FALSE)</f>
        <v>40.534697701232254</v>
      </c>
      <c r="H14" s="318">
        <f>VLOOKUP(C14,'Raw - Business Deaths'!A:Q,14,FALSE)</f>
        <v>225</v>
      </c>
      <c r="I14" s="299">
        <f t="shared" si="1"/>
        <v>-5.0107763289170677</v>
      </c>
      <c r="J14" s="300">
        <f>SUM(VLOOKUP(C14,'Raw - Business Deaths'!A:Q,14,FALSE)-VLOOKUP(C14,'Raw - Business Deaths'!A:Q,2,FALSE))</f>
        <v>-30</v>
      </c>
      <c r="K14" s="301">
        <f t="shared" si="0"/>
        <v>-5.9724857196654355</v>
      </c>
      <c r="L14" s="302">
        <f>IF(K14="","",IF($K$5="lgbf family group",SUM(MROUND(SUM(SUM(VLOOKUP(C$17,'Raw - Business Deaths'!A:Q,16,FALSE)*VLOOKUP(C14,'Raw - Business Deaths'!A:Q,15,FALSE))),100)-MROUND(SUM(SUM(VLOOKUP(C14,'Raw - Business Deaths'!A:Q,16,FALSE)*VLOOKUP(C14,'Raw - Business Deaths'!A:Q,15,FALSE))),100)),IF($K$5="Glasgow City Region",SUM(MROUND(SUM(SUM(VLOOKUP(C$18,'Raw - Business Deaths'!A:Q,16,FALSE)*VLOOKUP(C14,'Raw - Business Deaths'!A:Q,15,FALSE))),100)-MROUND(SUM(SUM(VLOOKUP(C14,'Raw - Business Deaths'!A:Q,16,FALSE)*VLOOKUP(C14,'Raw - Business Deaths'!A:Q,15,FALSE))),100)),IF($K$5="Scotland",SUM(MROUND(SUM(SUM(VLOOKUP(C$19,'Raw - Business Deaths'!A:Q,16,FALSE)*VLOOKUP(C14,'Raw - Business Deaths'!A:Q,15,FALSE))),100)-MROUND(SUM(SUM(VLOOKUP(C14,'Raw - Business Deaths'!A:Q,16,FALSE)*VLOOKUP(C14,'Raw - Business Deaths'!A:Q,15,FALSE))),100)),IF($K$5="United Kingdom",SUM(MROUND(SUM(SUM(VLOOKUP(C$20,'Raw - Business Deaths'!A:Q,16,FALSE)*VLOOKUP(C14,'Raw - Business Deaths'!A:Q,15,FALSE))),100)-MROUND(SUM(SUM(VLOOKUP(C14,'Raw - Business Deaths'!A:Q,16,FALSE)*VLOOKUP(C14,'Raw - Business Deaths'!A:Q,15,FALSE))),100)),SUM(MROUND(SUM(SUM(VLOOKUP(C$16,'Raw - Business Deaths'!A:Q,16,FALSE)*VLOOKUP(C14,'Raw - Business Deaths'!A:Q,15,FALSE))),100)-MROUND(SUM(SUM(VLOOKUP(C14,'Raw - Business Deaths'!A:Q,16,FALSE)*VLOOKUP(C14,'Raw - Business Deaths'!A:Q,15,FALSE))),100)))))))</f>
        <v>0</v>
      </c>
    </row>
    <row r="15" spans="2:12" ht="19.5" customHeight="1">
      <c r="B15" s="303"/>
      <c r="C15" s="303"/>
      <c r="D15" s="304"/>
      <c r="E15" s="304"/>
      <c r="F15" s="304"/>
      <c r="G15" s="304"/>
      <c r="H15" s="304"/>
      <c r="I15" s="306"/>
      <c r="J15" s="306"/>
      <c r="K15" s="306"/>
      <c r="L15" s="306"/>
    </row>
    <row r="16" spans="2:12" ht="19.5" customHeight="1">
      <c r="B16" s="307" t="s">
        <v>51</v>
      </c>
      <c r="C16" s="296" t="str">
        <f>INDEX('Raw - Business Deaths'!$A$9:$A$41,MATCH(MIN('Raw - Business Deaths'!P9:P41),'Raw - Business Deaths'!P9:P41,0))</f>
        <v>Orkney Islands</v>
      </c>
      <c r="D16" s="297">
        <f>VLOOKUP($C16,'Raw - Business Deaths'!$A:$Q,4,FALSE)</f>
        <v>48.5581951292395</v>
      </c>
      <c r="E16" s="297">
        <f>VLOOKUP($C16,'Raw - Business Deaths'!$A:$Q,8,FALSE)</f>
        <v>37.183014798839892</v>
      </c>
      <c r="F16" s="297">
        <f>VLOOKUP($C16,'Raw - Business Deaths'!$A:$Q,12,FALSE)</f>
        <v>34.562211981566819</v>
      </c>
      <c r="G16" s="297">
        <f>VLOOKUP($C16,'Raw - Business Deaths'!$A:$Q,16,FALSE)</f>
        <v>34.562211981566819</v>
      </c>
      <c r="H16" s="318">
        <f>VLOOKUP(C16,'Raw - Business Deaths'!A:Q,14,FALSE)</f>
        <v>45</v>
      </c>
      <c r="I16" s="299">
        <f t="shared" si="1"/>
        <v>-13.995983147672682</v>
      </c>
      <c r="J16" s="300">
        <f>SUM(VLOOKUP(C16,'Raw - Business Deaths'!A:Q,14,FALSE)-VLOOKUP(C16,'Raw - Business Deaths'!A:Q,2,FALSE))</f>
        <v>-20</v>
      </c>
    </row>
    <row r="17" spans="2:12" ht="19.5" customHeight="1">
      <c r="B17" s="307" t="s">
        <v>542</v>
      </c>
      <c r="C17" s="308" t="s">
        <v>546</v>
      </c>
      <c r="D17" s="297">
        <f>VLOOKUP($C17,'Raw - Business Deaths'!$A:$Q,4,FALSE)</f>
        <v>55.046343873322122</v>
      </c>
      <c r="E17" s="297">
        <f>VLOOKUP($C17,'Raw - Business Deaths'!$A:$Q,8,FALSE)</f>
        <v>59.021150793071847</v>
      </c>
      <c r="F17" s="297">
        <f>VLOOKUP($C17,'Raw - Business Deaths'!$A:$Q,12,FALSE)</f>
        <v>59.402402392278368</v>
      </c>
      <c r="G17" s="297">
        <f>VLOOKUP($C17,'Raw - Business Deaths'!$A:$Q,16,FALSE)</f>
        <v>59.402402392278368</v>
      </c>
      <c r="H17" s="318">
        <f>VLOOKUP(C17,'Raw - Business Deaths'!A:Q,14,FALSE)</f>
        <v>8810</v>
      </c>
      <c r="I17" s="299">
        <f>SUM(G17-D17)</f>
        <v>4.356058518956246</v>
      </c>
      <c r="J17" s="300">
        <f>SUM(VLOOKUP(C17,'Raw - Business Deaths'!A:Q,14,FALSE)-VLOOKUP(C17,'Raw - Business Deaths'!A:Q,2,FALSE))</f>
        <v>470</v>
      </c>
    </row>
    <row r="18" spans="2:12" ht="19.5" customHeight="1">
      <c r="B18" s="307" t="s">
        <v>250</v>
      </c>
      <c r="C18" s="296" t="s">
        <v>47</v>
      </c>
      <c r="D18" s="297">
        <f>VLOOKUP($C18,'Raw - Business Deaths'!$A:$Q,4,FALSE)</f>
        <v>49.956030436021187</v>
      </c>
      <c r="E18" s="297">
        <f>VLOOKUP($C18,'Raw - Business Deaths'!$A:$Q,8,FALSE)</f>
        <v>54.157440761426351</v>
      </c>
      <c r="F18" s="297">
        <f>VLOOKUP($C18,'Raw - Business Deaths'!$A:$Q,12,FALSE)</f>
        <v>55.357770308346097</v>
      </c>
      <c r="G18" s="297">
        <f>VLOOKUP($C18,'Raw - Business Deaths'!$A:$Q,16,FALSE)</f>
        <v>55.357770308346097</v>
      </c>
      <c r="H18" s="318">
        <f>VLOOKUP(C18,'Raw - Business Deaths'!A:Q,14,FALSE)</f>
        <v>6680</v>
      </c>
      <c r="I18" s="299">
        <f t="shared" si="1"/>
        <v>5.4017398723249102</v>
      </c>
      <c r="J18" s="300">
        <f>SUM(VLOOKUP(C18,'Raw - Business Deaths'!A:Q,14,FALSE)-VLOOKUP(C18,'Raw - Business Deaths'!A:Q,2,FALSE))</f>
        <v>630</v>
      </c>
    </row>
    <row r="19" spans="2:12" ht="19.5" customHeight="1">
      <c r="B19" s="307" t="s">
        <v>251</v>
      </c>
      <c r="C19" s="296" t="s">
        <v>45</v>
      </c>
      <c r="D19" s="297">
        <f>VLOOKUP($C19,'Raw - Business Deaths'!$A:$Q,4,FALSE)</f>
        <v>52.302557844138377</v>
      </c>
      <c r="E19" s="297">
        <f>VLOOKUP($C19,'Raw - Business Deaths'!$A:$Q,8,FALSE)</f>
        <v>56.474185130591721</v>
      </c>
      <c r="F19" s="297">
        <f>VLOOKUP($C19,'Raw - Business Deaths'!$A:$Q,12,FALSE)</f>
        <v>56.789053244942117</v>
      </c>
      <c r="G19" s="297">
        <f>VLOOKUP($C19,'Raw - Business Deaths'!$A:$Q,16,FALSE)</f>
        <v>56.789053244942117</v>
      </c>
      <c r="H19" s="318">
        <f>VLOOKUP(C19,'Raw - Business Deaths'!A:Q,14,FALSE)</f>
        <v>19640</v>
      </c>
      <c r="I19" s="299">
        <f t="shared" si="1"/>
        <v>4.4864954008037401</v>
      </c>
      <c r="J19" s="300">
        <f>SUM(VLOOKUP(C19,'Raw - Business Deaths'!A:Q,14,FALSE)-VLOOKUP(C19,'Raw - Business Deaths'!A:Q,2,FALSE))</f>
        <v>1370</v>
      </c>
    </row>
    <row r="20" spans="2:12" ht="19.5" customHeight="1">
      <c r="B20" s="307" t="s">
        <v>251</v>
      </c>
      <c r="C20" s="296" t="s">
        <v>46</v>
      </c>
      <c r="D20" s="297">
        <f>VLOOKUP($C20,'Raw - Business Deaths'!$A:$Q,4,FALSE)</f>
        <v>71.806621130869388</v>
      </c>
      <c r="E20" s="297">
        <f>VLOOKUP($C20,'Raw - Business Deaths'!$A:$Q,8,FALSE)</f>
        <v>77.85714820903425</v>
      </c>
      <c r="F20" s="297">
        <f>VLOOKUP($C20,'Raw - Business Deaths'!$A:$Q,12,FALSE)</f>
        <v>81.918827307647845</v>
      </c>
      <c r="G20" s="297">
        <f>VLOOKUP($C20,'Raw - Business Deaths'!$A:$Q,16,FALSE)</f>
        <v>81.918827307647845</v>
      </c>
      <c r="H20" s="318">
        <f>VLOOKUP(C20,'Raw - Business Deaths'!A:Q,14,FALSE)</f>
        <v>345490</v>
      </c>
      <c r="I20" s="299">
        <f>SUM(G20-D20)</f>
        <v>10.112206176778457</v>
      </c>
      <c r="J20" s="300">
        <f>SUM(VLOOKUP(C20,'Raw - Business Deaths'!A:Q,14,FALSE)-VLOOKUP(C20,'Raw - Business Deaths'!A:Q,2,FALSE))</f>
        <v>45015</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BHxhpiqo8g3k+FOUxwUXkJnE3MxKT3F1zbn2varubo1MrOfRQMln7INzMHaPqFqCux0du8+U438GMOAolMHsww==" saltValue="+OqCx0eLoT5l874XPO+9pA==" spinCount="100000" sheet="1" objects="1" scenarios="1"/>
  <autoFilter ref="C6:L14" xr:uid="{00000000-0009-0000-0000-000030000000}"/>
  <mergeCells count="4">
    <mergeCell ref="F2:G2"/>
    <mergeCell ref="K4:L4"/>
    <mergeCell ref="I5:J5"/>
    <mergeCell ref="K5:L5"/>
  </mergeCells>
  <dataValidations count="1">
    <dataValidation type="list" allowBlank="1" showInputMessage="1" showErrorMessage="1" sqref="C17" xr:uid="{00000000-0002-0000-3000-000000000000}">
      <formula1>IF(B17="LGBF Family Group 1",LGBF_5,IF(B17="LGBF Family Group 3",LGBF_7,IF(B17="LGBF Family Group 4",LGBF_8,LGBF_6)))</formula1>
    </dataValidation>
  </dataValidations>
  <hyperlinks>
    <hyperlink ref="F2:G2" location="'Index RAG'!A1" display="Return to Index RAG" xr:uid="{00000000-0004-0000-3000-000001000000}"/>
    <hyperlink ref="C3" r:id="rId1" xr:uid="{C0AD2CDD-149D-46BA-8B5A-8279EC7279EB}"/>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000-000001000000}">
          <x14:formula1>
            <xm:f>Lookups!$L$8:$O$8</xm:f>
          </x14:formula1>
          <xm:sqref>B17</xm:sqref>
        </x14:dataValidation>
        <x14:dataValidation type="list" allowBlank="1" showInputMessage="1" showErrorMessage="1" xr:uid="{00000000-0002-0000-3000-000002000000}">
          <x14:formula1>
            <xm:f>Lookups!$B$3:$B$7</xm:f>
          </x14:formula1>
          <xm:sqref>K5:L5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A1:EA61"/>
  <sheetViews>
    <sheetView zoomScaleNormal="100" workbookViewId="0"/>
  </sheetViews>
  <sheetFormatPr defaultColWidth="8.7265625" defaultRowHeight="12"/>
  <cols>
    <col min="1" max="1" width="4.1796875" style="251" customWidth="1"/>
    <col min="2" max="2" width="43.453125" style="284" bestFit="1" customWidth="1"/>
    <col min="3" max="9" width="14.453125" style="284" customWidth="1"/>
    <col min="10" max="10" width="12.453125" style="251" customWidth="1"/>
    <col min="11" max="131" width="8.7265625" style="251"/>
    <col min="132" max="16384" width="8.7265625" style="284"/>
  </cols>
  <sheetData>
    <row r="1" spans="1:131" s="251" customFormat="1"/>
    <row r="2" spans="1:131" s="338" customFormat="1" ht="23.5" customHeight="1">
      <c r="A2" s="335"/>
      <c r="B2" s="336" t="s">
        <v>595</v>
      </c>
      <c r="C2" s="337"/>
      <c r="D2" s="337"/>
      <c r="E2" s="337"/>
      <c r="F2" s="337"/>
      <c r="G2" s="337"/>
      <c r="H2" s="589" t="s">
        <v>51</v>
      </c>
      <c r="I2" s="590"/>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row>
    <row r="3" spans="1:131" s="338" customFormat="1" ht="48" customHeight="1">
      <c r="A3" s="335"/>
      <c r="B3" s="336" t="s">
        <v>532</v>
      </c>
      <c r="C3" s="339" t="s">
        <v>27</v>
      </c>
      <c r="D3" s="340" t="s">
        <v>51</v>
      </c>
      <c r="E3" s="419" t="s">
        <v>543</v>
      </c>
      <c r="F3" s="341" t="s">
        <v>45</v>
      </c>
      <c r="G3" s="341" t="s">
        <v>46</v>
      </c>
      <c r="H3" s="342" t="s">
        <v>533</v>
      </c>
      <c r="I3" s="342" t="s">
        <v>534</v>
      </c>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row>
    <row r="4" spans="1:131">
      <c r="B4" s="343" t="str">
        <f>Employment!$C$2</f>
        <v>Employment Rate (%)</v>
      </c>
      <c r="C4" s="344">
        <f>VLOOKUP(C$3,Employment!$C:$L,5,FALSE)</f>
        <v>71.2</v>
      </c>
      <c r="D4" s="344">
        <f>VLOOKUP(D$3,Employment!$B:$L,6,FALSE)</f>
        <v>88.3</v>
      </c>
      <c r="E4" s="345">
        <f>VLOOKUP($E$3,'Raw - Employment'!$A:$Q,16,FALSE)</f>
        <v>76.894142933906508</v>
      </c>
      <c r="F4" s="344">
        <f>VLOOKUP(F$3,Employment!$C:$L,5,FALSE)</f>
        <v>74.7</v>
      </c>
      <c r="G4" s="344">
        <f>VLOOKUP(G$3,Employment!$C:$L,5,FALSE)</f>
        <v>75.7</v>
      </c>
      <c r="H4" s="346">
        <f>IF(IF($H$2="Scotland",F4-C4,IF($H$2="United Kingdom",G4-C4,IF($H$2="Top Performing Scottish Local Authority",D4-C4,E4-C4)))&lt;0,"",IF($H$2="Scotland",F4-C4,IF($H$2="United Kingdom",G4-C4,IF($H$2="Top Performing Scottish Local Authority",D4-C4,E4-C4))))</f>
        <v>17.099999999999994</v>
      </c>
      <c r="I4" s="347">
        <f>IF($H$4="","",IF($H$2="Scotland",SUM(MROUND(SUM(VLOOKUP(F$3,'Raw - Employment'!$A:$Q,16,FALSE)*(VLOOKUP(C$3,'Raw - Employment'!$A:$Q,15,FALSE)))/100,100)-MROUND(SUM(VLOOKUP(C$3,'Raw - Employment'!$A:$Q,16,FALSE)*(VLOOKUP(C$3,'Raw - Employment'!$A:$Q,15,FALSE)))/100,100)),IF($H$2="United Kingdom",SUM(MROUND(SUM(VLOOKUP(G$3,'Raw - Employment'!$A:$Q,16,FALSE)*(VLOOKUP(C$3,'Raw - Employment'!$A:$Q,15,FALSE)))/100,100)-MROUND(SUM(VLOOKUP(C$3,'Raw - Employment'!$A:$Q,16,FALSE)*(VLOOKUP(C$3,'Raw - Employment'!$A:$Q,15,FALSE)))/100,100)),IF($H$2="LGBF Family Group",SUM(MROUND(SUM(VLOOKUP(E$3,'Raw - Employment'!$A:$Q,16,FALSE)*(VLOOKUP(C$3,'Raw - Employment'!$A:$Q,15,FALSE)))/100,100)-MROUND(SUM(VLOOKUP(C$3,'Raw - Employment'!$A:$Q,16,FALSE)*(VLOOKUP(C$3,'Raw - Employment'!$A:$Q,15,FALSE)))/100,100)),SUM(MROUND(SUM(D$4*(VLOOKUP(C3,'Raw - Employment'!$A:$Q,15,FALSE)))/100,100)-MROUND(SUM(VLOOKUP(C$3,'Raw - Employment'!$A:$Q,16,FALSE)*(VLOOKUP(C$3,'Raw - Employment'!$A:$Q,15,FALSE)))/100,100))))))</f>
        <v>74200</v>
      </c>
    </row>
    <row r="5" spans="1:131">
      <c r="B5" s="343" t="str">
        <f>Unemployment!$C$2</f>
        <v>Unemployment Rate (%)</v>
      </c>
      <c r="C5" s="344">
        <f>VLOOKUP(C$3,Unemployment!$C:$L,5,FALSE)</f>
        <v>4.3</v>
      </c>
      <c r="D5" s="344">
        <f>VLOOKUP(D$3,Unemployment!$B:$L,6,FALSE)</f>
        <v>1</v>
      </c>
      <c r="E5" s="345">
        <f>VLOOKUP(E3,'Raw - Unemployment'!$A:$Q,16,FALSE)</f>
        <v>2.3108291798821932</v>
      </c>
      <c r="F5" s="344">
        <f>VLOOKUP(F$3,Unemployment!$C:$L,5,FALSE)</f>
        <v>3.6</v>
      </c>
      <c r="G5" s="344">
        <f>VLOOKUP(G$3,Unemployment!$C:$L,5,FALSE)</f>
        <v>3.8</v>
      </c>
      <c r="H5" s="346">
        <f>IF(IF($H$2="Scotland",F5-C5,IF($H$2="United Kingdom",G5-C5,IF($H$2="Top Performing Scottish Local Authority",D5-C5,E5-C5)))&gt;0,"",IF($H$2="Scotland",F5-C5,IF($H$2="United Kingdom",G5-C5,IF($H$2="Top Performing Scottish Local Authority",D5-C5,E5-C5))))</f>
        <v>-3.3</v>
      </c>
      <c r="I5" s="347">
        <f>IF($H5="","",IF($H$2="Scotland",SUM(MROUND(SUM(VLOOKUP(F$3,'Raw - Unemployment'!$A:$Q,16,FALSE)*(VLOOKUP(C$3,'Raw - Unemployment'!$A:$Q,15,FALSE)))/100,100)-MROUND(SUM(VLOOKUP(C$3,'Raw - Unemployment'!$A:$Q,16,FALSE)*(VLOOKUP(C$3,'Raw - Unemployment'!$A:$Q,15,FALSE)))/100,100)),IF($H$2="United Kingdom",SUM(MROUND(SUM(VLOOKUP(G$3,'Raw - Unemployment'!$A:$Q,16,FALSE)*(VLOOKUP(C$3,'Raw - Unemployment'!$A:$Q,15,FALSE)))/100,100)-MROUND(SUM(VLOOKUP(C$3,'Raw - Unemployment'!$A:$Q,16,FALSE)*(VLOOKUP(C$3,'Raw - Unemployment'!$A:$Q,15,FALSE)))/100,100)),IF($H$2="LGBF Family Group",SUM(MROUND(SUM(VLOOKUP(E$3,'Raw - Unemployment'!$A:$Q,16,FALSE)*(VLOOKUP(C$3,'Raw - Unemployment'!$A:$Q,15,FALSE)))/100,100)-MROUND(SUM(VLOOKUP(C$3,'Raw - Unemployment'!$A:$Q,16,FALSE)*(VLOOKUP(C$3,'Raw - Unemployment'!$A:$Q,15,FALSE)))/100,100)),SUM(MROUND(SUM(D5*(VLOOKUP(C$3,'Raw - Unemployment'!$A:$Q,15,FALSE)))/100,100)-MROUND(SUM(VLOOKUP(C$3,'Raw - Unemployment'!$A:$Q,16,FALSE)*(VLOOKUP(C$3,'Raw - Unemployment'!$A:$Q,15,FALSE)))/100,100))))))</f>
        <v>-10700</v>
      </c>
    </row>
    <row r="6" spans="1:131">
      <c r="B6" s="343" t="str">
        <f>'Economic Inactivity'!$C$2</f>
        <v>Economic Inactivity Rate (%)</v>
      </c>
      <c r="C6" s="344">
        <f>VLOOKUP(C$3,'Economic Inactivity'!$C:$L,5,FALSE)</f>
        <v>25.6</v>
      </c>
      <c r="D6" s="344">
        <f>VLOOKUP(D$3,'Economic Inactivity'!$B:$L,6,FALSE)</f>
        <v>11.7</v>
      </c>
      <c r="E6" s="345">
        <f>VLOOKUP(E3,'Raw - Eco Inactive'!$A:$Q,16,FALSE)</f>
        <v>20.92065197922264</v>
      </c>
      <c r="F6" s="344">
        <f>VLOOKUP(F$3,'Economic Inactivity'!$C:$L,5,FALSE)</f>
        <v>22.5</v>
      </c>
      <c r="G6" s="344">
        <f>VLOOKUP(G$3,'Economic Inactivity'!$C:$L,5,FALSE)</f>
        <v>21.3</v>
      </c>
      <c r="H6" s="346">
        <f>IF(IF($H$2="Scotland",F6-C6,IF($H$2="United Kingdom",G6-C6,IF($H$2="Top Performing Scottish Local Authority",D6-C6,E6-C6)))&gt;0,"",IF($H$2="Scotland",F6-C6,IF($H$2="United Kingdom",G6-C6,IF($H$2="Top Performing Scottish Local Authority",D6-C6,E6-C6))))</f>
        <v>-13.900000000000002</v>
      </c>
      <c r="I6" s="347">
        <f>IF($H6="","",IF($H$2="Scotland",SUM(MROUND(SUM(VLOOKUP(F$3,'Raw - Eco Inactive'!$A:$Q,16,FALSE)*(VLOOKUP(C$3,'Raw - Eco Inactive'!$A:$Q,15,FALSE)))/100,100)-MROUND(SUM(VLOOKUP(C$3,'Raw - Eco Inactive'!$A:$Q,16,FALSE)*(VLOOKUP(C$3,'Raw - Eco Inactive'!$A:$Q,15,FALSE)))/100,100)),IF($H$2="United Kingdom",SUM(MROUND(SUM(VLOOKUP(G$3,'Raw - Eco Inactive'!$A:$Q,16,FALSE)*(VLOOKUP(C$3,'Raw - Eco Inactive'!$A:$Q,15,FALSE)))/100,100)-MROUND(SUM(VLOOKUP(C$3,'Raw - Eco Inactive'!$A:$Q,16,FALSE)*(VLOOKUP(C$3,'Raw - Eco Inactive'!$A:$Q,15,FALSE)))/100,100)),IF($H$2="LGBF Family Group",SUM(MROUND(SUM(VLOOKUP(E$3,'Raw - Eco Inactive'!$A:$Q,16,FALSE)*(VLOOKUP(C$3,'Raw - Eco Inactive'!$A:$Q,15,FALSE)))/100,100)-MROUND(SUM(VLOOKUP(C$3,'Raw - Eco Inactive'!$A:$Q,16,FALSE)*(VLOOKUP(C$3,'Raw - Eco Inactive'!$A:$Q,15,FALSE)))/100,100)),SUM(MROUND(SUM(D6*(VLOOKUP(C$3,'Raw - Eco Inactive'!$A:$Q,15,FALSE)))/100,100)-MROUND(SUM(VLOOKUP(C$3,'Raw - Eco Inactive'!$A:$Q,16,FALSE)*(VLOOKUP(C$3,'Raw - Eco Inactive'!$A:$Q,15,FALSE)))/100,100))))))</f>
        <v>-60300</v>
      </c>
    </row>
    <row r="7" spans="1:131">
      <c r="B7" s="343" t="str">
        <f>'High Qualifications'!$C$2</f>
        <v>RQF Level 4+ Qualifications (%)</v>
      </c>
      <c r="C7" s="344">
        <f>VLOOKUP(C$3,'High Qualifications'!$C:$L,3,FALSE)</f>
        <v>56.9</v>
      </c>
      <c r="D7" s="344">
        <f>VLOOKUP(D$3,'High Qualifications'!$B:$L,4,FALSE)</f>
        <v>70.099999999999994</v>
      </c>
      <c r="E7" s="348">
        <f>VLOOKUP($E3,'Raw - High Quals'!$A:$Q,16,FALSE)</f>
        <v>49.153789551140541</v>
      </c>
      <c r="F7" s="344">
        <f>VLOOKUP(F$3,'High Qualifications'!$C:$L,3,FALSE)</f>
        <v>55.1</v>
      </c>
      <c r="G7" s="344">
        <f>VLOOKUP(G$3,'High Qualifications'!$C:$L,3,FALSE)</f>
        <v>47.1</v>
      </c>
      <c r="H7" s="346">
        <f>IF(IF($H$2="Scotland",F7-C7,IF($H$2="United Kingdom",G7-C7,IF($H$2="Top Performing Scottish Local Authority",D7-C7,E7-C7)))&lt;0,"",IF($H$2="Scotland",F7-C7,IF($H$2="United Kingdom",G7-C7,IF($H$2="Top Performing Scottish Local Authority",D7-C7,E7-C7))))</f>
        <v>13.199999999999996</v>
      </c>
      <c r="I7" s="347">
        <f>IF($H7="","",IF($H$2="Scotland",SUM(MROUND(SUM(VLOOKUP(F$3,'Raw - High Quals'!$A:$Q,16,FALSE)*(VLOOKUP(C$3,'Raw - High Quals'!$A:$Q,15,FALSE)))/100,100)-MROUND(SUM(VLOOKUP(C$3,'Raw - High Quals'!$A:$Q,16,FALSE)*(VLOOKUP(C$3,'Raw - High Quals'!$A:$Q,15,FALSE)))/100,100)),IF($H$2="United Kingdom",SUM(MROUND(SUM(VLOOKUP(G$3,'Raw - High Quals'!$A:$Q,16,FALSE)*(VLOOKUP(C$3,'Raw - High Quals'!$A:$Q,15,FALSE)))/100,100)-MROUND(SUM(VLOOKUP(C$3,'Raw - High Quals'!$A:$Q,16,FALSE)*(VLOOKUP(C$3,'Raw - High Quals'!$A:$Q,15,FALSE)))/100,100)),IF($H$2="LGBF Family Group",SUM(MROUND(SUM(VLOOKUP(E$3,'Raw - High Quals'!$A:$Q,16,FALSE)*(VLOOKUP(C$3,'Raw - High Quals'!$A:$Q,15,FALSE)))/100,100)-MROUND(SUM(VLOOKUP(C$3,'Raw - High Quals'!$A:$Q,16,FALSE)*(VLOOKUP(C$3,'Raw - High Quals'!$A:$Q,15,FALSE)))/100,100)),SUM(MROUND(SUM(D7*(VLOOKUP(C$3,'Raw - High Quals'!$A:$Q,15,FALSE)))/100,100)-MROUND(SUM(VLOOKUP(C$3,'Raw - High Quals'!$A:$Q,16,FALSE)*(VLOOKUP(C$3,'Raw - High Quals'!$A:$Q,15,FALSE)))/100,100))))))</f>
        <v>53800</v>
      </c>
    </row>
    <row r="8" spans="1:131">
      <c r="B8" s="343" t="str">
        <f>'No Qualifications'!$C$2</f>
        <v>No Qualifications (%)</v>
      </c>
      <c r="C8" s="344">
        <f>VLOOKUP(C$3,'No Qualifications'!$C:$L,3,FALSE)</f>
        <v>11.9</v>
      </c>
      <c r="D8" s="344">
        <f>VLOOKUP(D$3,'No Qualifications'!$B:$L,4,FALSE)</f>
        <v>2.1</v>
      </c>
      <c r="E8" s="349">
        <f>VLOOKUP(E3,'Raw - No Qualifications'!$A:$Q,16,FALSE)</f>
        <v>6.6041206769683587</v>
      </c>
      <c r="F8" s="344">
        <f>VLOOKUP(F$3,'No Qualifications'!$C:$L,3,FALSE)</f>
        <v>8.1999999999999993</v>
      </c>
      <c r="G8" s="344">
        <f>VLOOKUP(G$3,'No Qualifications'!$C:$L,3,FALSE)</f>
        <v>6.6</v>
      </c>
      <c r="H8" s="346">
        <f>IF(IF($H$2="Scotland",F8-C8,IF($H$2="United Kingdom",G8-C8,IF($H$2="Top Performing Scottish Local Authority",D8-C8,E8-C8)))&gt;0,"",IF($H$2="Scotland",F8-C8,IF($H$2="United Kingdom",G8-C8,IF($H$2="Top Performing Scottish Local Authority",D8-C8,E8-C8))))</f>
        <v>-9.8000000000000007</v>
      </c>
      <c r="I8" s="347">
        <f>IF($H8="","",IF($H$2="Scotland",SUM(MROUND(SUM(VLOOKUP(F$3,'Raw - No Qualifications'!$A:$Q,16,FALSE)*(VLOOKUP(C$3,'Raw - No Qualifications'!$A:$Q,15,FALSE)))/100,100)-MROUND(SUM(VLOOKUP(C$3,'Raw - No Qualifications'!$A:$Q,16,FALSE)*(VLOOKUP(C$3,'Raw - No Qualifications'!$A:$Q,15,FALSE)))/100,100)),IF($H$2="United Kingdom",SUM(MROUND(SUM(VLOOKUP(G$3,'Raw - No Qualifications'!$A:$Q,16,FALSE)*(VLOOKUP(C$3,'Raw - No Qualifications'!$A:$Q,15,FALSE)))/100,100)-MROUND(SUM(VLOOKUP(C$3,'Raw - No Qualifications'!$A:$Q,16,FALSE)*(VLOOKUP(C$3,'Raw - No Qualifications'!$A:$Q,15,FALSE)))/100,100)),IF($H$2="LGBF Family Group",SUM(MROUND(SUM(VLOOKUP(E$3,'Raw - No Qualifications'!$A:$Q,16,FALSE)*(VLOOKUP(C$3,'Raw - No Qualifications'!$A:$Q,15,FALSE)))/100,100)-MROUND(SUM(VLOOKUP(C$3,'Raw - No Qualifications'!$A:$Q,16,FALSE)*(VLOOKUP(C$3,'Raw - No Qualifications'!$A:$Q,15,FALSE)))/100,100)),SUM(MROUND(SUM(D8*(VLOOKUP(C$3,'Raw - No Qualifications'!$A:$Q,15,FALSE)))/100,100)-MROUND(SUM(VLOOKUP(C$3,'Raw - No Qualifications'!$A:$Q,16,FALSE)*(VLOOKUP(C$3,'Raw - No Qualifications'!$A:$Q,15,FALSE)))/100,100))))))</f>
        <v>-39900</v>
      </c>
    </row>
    <row r="9" spans="1:131">
      <c r="B9" s="350"/>
      <c r="C9" s="351"/>
      <c r="D9" s="351"/>
      <c r="E9" s="351"/>
      <c r="F9" s="351"/>
      <c r="G9" s="351"/>
      <c r="H9" s="351"/>
      <c r="I9" s="352"/>
    </row>
    <row r="10" spans="1:131">
      <c r="B10" s="343" t="str">
        <f>'Enterprise Rate'!$C$2</f>
        <v>Enterprise Rate (per 10,000 working-age population)</v>
      </c>
      <c r="C10" s="344">
        <f>VLOOKUP(C$3,'Enterprise Rate'!$C:$L,5,FALSE)</f>
        <v>446.19476361582849</v>
      </c>
      <c r="D10" s="353">
        <f>VLOOKUP(D$3,'Enterprise Rate'!$B:$L,6,FALSE)</f>
        <v>1135.4596080133072</v>
      </c>
      <c r="E10" s="349">
        <f>VLOOKUP($E$3,'Raw - Enterprise'!$A:$Q,16,FALSE)</f>
        <v>781.95106706119088</v>
      </c>
      <c r="F10" s="353">
        <f>VLOOKUP(F$3,'Enterprise Rate'!$C:$L,5,FALSE)</f>
        <v>498.07527325394625</v>
      </c>
      <c r="G10" s="353">
        <f>VLOOKUP(G$3,'Enterprise Rate'!$C:$L,5,FALSE)</f>
        <v>641.58288868670979</v>
      </c>
      <c r="H10" s="346">
        <f>IF(IF($H$2="Scotland",F10-C10,IF($H$2="United Kingdom",G10-C10,IF($H$2="Top Performing Scottish Local Authority",D10-C10,E10-C10)))&lt;0,"",IF($H$2="Scotland",F10-C10,IF($H$2="United Kingdom",G10-C10,IF($H$2="Top Performing Scottish Local Authority",D10-C10,E10-C10))))</f>
        <v>689.26484439747867</v>
      </c>
      <c r="I10" s="347">
        <f>IF($H10="","",IF($H$2="Scotland",SUM(MROUND(SUM(VLOOKUP(F$3,'Raw - Enterprise'!$A:$Q,16,FALSE)*(VLOOKUP(C$3,'Raw - Enterprise'!$A:$Q,15,FALSE))),100)-MROUND(SUM(VLOOKUP(C$3,'Raw - Enterprise'!$A:$Q,16,FALSE)*(VLOOKUP(C$3,'Raw - Enterprise'!$A:$Q,15,FALSE))),100)),IF($H$2="United Kingdom",SUM(MROUND(SUM(VLOOKUP(G$3,'Raw - Enterprise'!$A:$Q,16,FALSE)*(VLOOKUP(C$3,'Raw - Enterprise'!$A:$Q,15,FALSE))),100)-MROUND(SUM(VLOOKUP(C$3,'Raw - Enterprise'!$A:$Q,16,FALSE)*(VLOOKUP(C$3,'Raw - Enterprise'!$A:$Q,15,FALSE))),100)),IF($H$2="LGBF Family Group",SUM(MROUND(SUM(VLOOKUP(E$3,'Raw - Enterprise'!$A:$Q,16,FALSE)*(VLOOKUP(C$3,'Raw - Enterprise'!$A:$Q,15,FALSE))),100)-MROUND(SUM(VLOOKUP(C$3,'Raw - Enterprise'!$A:$Q,16,FALSE)*(VLOOKUP(C$3,'Raw - Enterprise'!$A:$Q,15,FALSE))),100)),SUM(MROUND(SUM(D10*(VLOOKUP(C$3,'Raw - Enterprise'!$A:$Q,15,FALSE))),100)-MROUND(SUM(VLOOKUP(C$3,'Raw - Enterprise'!$A:$Q,16,FALSE)*(VLOOKUP(C$3,'Raw - Enterprise'!$A:$Q,15,FALSE))),100))))))</f>
        <v>30300</v>
      </c>
    </row>
    <row r="11" spans="1:131">
      <c r="B11" s="343" t="str">
        <f>'Business Births'!$C$2</f>
        <v>Business Birth Rate (per 10,000 16-64 Population)</v>
      </c>
      <c r="C11" s="344">
        <f>VLOOKUP(C$3,'Business Births'!$C:$L,5,FALSE)</f>
        <v>69.451085941733965</v>
      </c>
      <c r="D11" s="344">
        <f>VLOOKUP(D$3,'Business Births'!$B:$L,6,FALSE)</f>
        <v>69.451085941733965</v>
      </c>
      <c r="E11" s="349">
        <f>VLOOKUP($E$3,'Raw - Business Births'!$A:$Q,16,FALSE)</f>
        <v>52.727096610296499</v>
      </c>
      <c r="F11" s="344">
        <f>VLOOKUP(F$3,'Business Births'!$C:$L,5,FALSE)</f>
        <v>54.562598509778908</v>
      </c>
      <c r="G11" s="344">
        <f>VLOOKUP(G$3,'Business Births'!$C:$L,5,FALSE)</f>
        <v>79.887987758341055</v>
      </c>
      <c r="H11" s="346">
        <f>IF(IF($H$2="Scotland",F11-C11,IF($H$2="United Kingdom",G11-C11,IF($H$2="Top Performing Scottish Local Authority",D11-C11,E11-C11)))&lt;0,"",IF($H$2="Scotland",F11-C11,IF($H$2="United Kingdom",G11-C11,IF($H$2="Top Performing Scottish Local Authority",D11-C11,E11-C11))))</f>
        <v>0</v>
      </c>
      <c r="I11" s="347">
        <f>IF($H11="","",IF($H$2="Scotland",SUM(MROUND(SUM(VLOOKUP(F$3,'Raw - Business Births'!$A:$Q,16,FALSE)*(VLOOKUP(C$3,'Raw - Business Births'!$A:$Q,15,FALSE))),100)-MROUND(SUM(VLOOKUP(C$3,'Raw - Business Births'!$A:$Q,16,FALSE)*(VLOOKUP(C$3,'Raw - Business Births'!$A:$Q,15,FALSE))),100)),IF($H$2="United Kingdom",SUM(MROUND(SUM(VLOOKUP(G$3,'Raw - Business Births'!$A:$Q,16,FALSE)*(VLOOKUP(C$3,'Raw - Business Births'!$A:$Q,15,FALSE))),100)-MROUND(SUM(VLOOKUP(C$3,'Raw - Business Births'!$A:$Q,16,FALSE)*(VLOOKUP(C$3,'Raw - Business Births'!$A:$Q,15,FALSE))),100)),IF($H$2="LGBF Family Group",SUM(MROUND(SUM(VLOOKUP(E$3,'Raw - Business Births'!$A:$Q,16,FALSE)*(VLOOKUP(C$3,'Raw - Business Births'!$A:$Q,15,FALSE))),100)-MROUND(SUM(VLOOKUP(C$3,'Raw - Business Births'!$A:$Q,16,FALSE)*(VLOOKUP(C$3,'Raw - Business Births'!$A:$Q,15,FALSE))),100)),SUM(MROUND(SUM(D11*(VLOOKUP(C$3,'Raw - Business Births'!$A:$Q,15,FALSE))),100)-MROUND(SUM(VLOOKUP(C$3,'Raw - Business Births'!$A:$Q,16,FALSE)*(VLOOKUP(C$3,'Raw - Business Births'!$A:$Q,15,FALSE))),100))))))</f>
        <v>0</v>
      </c>
    </row>
    <row r="12" spans="1:131">
      <c r="B12" s="343" t="str">
        <f>'Business Deaths'!$C$2</f>
        <v>Business Death Rate (per 10,000 16-64 Population)</v>
      </c>
      <c r="C12" s="344">
        <f>VLOOKUP(C$3,'Business Deaths'!$C:$L,5,FALSE)</f>
        <v>61.481289194321867</v>
      </c>
      <c r="D12" s="344">
        <f>VLOOKUP(D$3,'Business Deaths'!$B:$L,6,FALSE)</f>
        <v>34.562211981566819</v>
      </c>
      <c r="E12" s="349">
        <f>VLOOKUP($E$3,'Raw - Business Deaths'!$A:$Q,16,FALSE)</f>
        <v>61.134190003965955</v>
      </c>
      <c r="F12" s="344">
        <f>VLOOKUP(F$3,'Business Deaths'!$C:$L,5,FALSE)</f>
        <v>56.789053244942117</v>
      </c>
      <c r="G12" s="344">
        <f>VLOOKUP(G$3,'Business Deaths'!$C:$L,5,FALSE)</f>
        <v>81.918827307647845</v>
      </c>
      <c r="H12" s="346">
        <f>IF(IF($H$2="Scotland",F12-C12,IF($H$2="United Kingdom",G12-C12,IF($H$2="Top Performing Scottish Local Authority",D12-C12,E12-C12)))&gt;0,"",IF($H$2="Scotland",F12-C12,IF($H$2="United Kingdom",G12-C12,IF($H$2="Top Performing Scottish Local Authority",D12-C12,E12-C12))))</f>
        <v>-26.919077212755049</v>
      </c>
      <c r="I12" s="347">
        <f>IF($H12="","",IF($H$2="Scotland",SUM(MROUND(SUM(VLOOKUP(F$3,'Raw - Business Deaths'!$A:$Q,16,FALSE)*(VLOOKUP(C$3,'Raw - Business Deaths'!$A:$Q,15,FALSE))),100)-MROUND(SUM(VLOOKUP(C$3,'Raw - Business Deaths'!$A:$Q,16,FALSE)*(VLOOKUP(C$3,'Raw - Business Deaths'!$A:$Q,15,FALSE))),100)),IF($H$2="United Kingdom",SUM(MROUND(SUM(VLOOKUP(G$3,'Raw - Business Deaths'!$A:$Q,16,FALSE)*(VLOOKUP(C$3,'Raw - Business Deaths'!$A:$Q,15,FALSE))),100)-MROUND(SUM(VLOOKUP(C$3,'Raw - Business Deaths'!$A:$Q,16,FALSE)*(VLOOKUP(C$3,'Raw - Business Deaths'!$A:$Q,15,FALSE))),100)),IF($H$2="LGBF Family Group",SUM(MROUND(SUM(VLOOKUP(E$3,'Raw - Business Deaths'!$A:$Q,16,FALSE)*(VLOOKUP(C$3,'Raw - Business Deaths'!$A:$Q,15,FALSE))),100)-MROUND(SUM(VLOOKUP(C$3,'Raw - Business Deaths'!$A:$Q,16,FALSE)*(VLOOKUP(C$3,'Raw - Business Deaths'!$A:$Q,15,FALSE))),100)),SUM(MROUND(SUM(D12*(VLOOKUP(C$3,'Raw - Business Deaths'!$A:$Q,15,FALSE))),100)-MROUND(SUM(VLOOKUP(C$3,'Raw - Business Deaths'!$A:$Q,16,FALSE)*(VLOOKUP(C$3,'Raw - Business Deaths'!$A:$Q,15,FALSE))),100))))))</f>
        <v>-1200</v>
      </c>
    </row>
    <row r="13" spans="1:131">
      <c r="B13" s="343" t="str">
        <f>'GVA phw'!$C$2</f>
        <v>GVA per hour worked (£)</v>
      </c>
      <c r="C13" s="344">
        <f>VLOOKUP(C$3,'GVA phw'!$C:$L,5,FALSE)</f>
        <v>36</v>
      </c>
      <c r="D13" s="344">
        <f>VLOOKUP(D$3,'GVA phw'!$B:$L,6,FALSE)</f>
        <v>49.6</v>
      </c>
      <c r="E13" s="349">
        <f>VLOOKUP($E$3,'Raw - GVA phw'!$B:$Q,5,FALSE)</f>
        <v>36.287500000000001</v>
      </c>
      <c r="F13" s="344">
        <f>VLOOKUP(F$3,'GVA phw'!$C:$L,5,FALSE)</f>
        <v>38</v>
      </c>
      <c r="G13" s="344">
        <f>VLOOKUP(G$3,'GVA phw'!$C:$L,5,FALSE)</f>
        <v>39.1</v>
      </c>
      <c r="H13" s="354">
        <f>IF(IF($H$2="Scotland",SUM(F13-C13)/C13,IF($H$2="United Kingdom",SUM(G13-C13)/C13,IF($H$2="Top Performing Scottish Local Authority",SUM(D13-C13)/C13,SUM(E13-C13)/C13)))&lt;0,"",IF($H$2="Scotland",SUM(F13-C13)/C13,IF($H$2="United Kingdom",SUM(G13-C13)/C13,IF($H$2="Top Performing Scottish Local Authority",SUM(D13-C13)/C13,SUM(E13-C13)/C13))))</f>
        <v>0.37777777777777782</v>
      </c>
      <c r="I13" s="353">
        <f>IF(IF($H$2="Scotland",F13-C13,IF($H$2="United Kingdom",G13-C13,IF($H$2="Top Performing Scottish Local Authority",D13-C13,E13-C13)))&lt;0,"",IF($H$2="Scotland",F13-C13,IF($H$2="United Kingdom",G13-C13,IF($H$2="Top Performing Scottish Local Authority",D13-C13,E13-C13))))</f>
        <v>13.600000000000001</v>
      </c>
    </row>
    <row r="14" spans="1:131">
      <c r="B14" s="350"/>
      <c r="C14" s="351"/>
      <c r="D14" s="351"/>
      <c r="E14" s="351"/>
      <c r="F14" s="351"/>
      <c r="G14" s="351"/>
      <c r="H14" s="351"/>
      <c r="I14" s="352"/>
    </row>
    <row r="15" spans="1:131">
      <c r="B15" s="343" t="str">
        <f>'Child Poverty'!$C$2</f>
        <v>% Children in Child Poverty after Housing Costs</v>
      </c>
      <c r="C15" s="344">
        <f>VLOOKUP(C$3,'Child Poverty'!$C:$L,5,FALSE)</f>
        <v>32.9</v>
      </c>
      <c r="D15" s="353">
        <f>VLOOKUP(D$3,'Child Poverty'!$B:$L,6,FALSE)</f>
        <v>14.000000000000002</v>
      </c>
      <c r="E15" s="349">
        <f>VLOOKUP($E$3,'Raw - Child Poverty'!$A:$Q,16,FALSE)</f>
        <v>18.885248057145489</v>
      </c>
      <c r="F15" s="344">
        <f>VLOOKUP(F$3,'Child Poverty'!$C:$L,5,FALSE)</f>
        <v>24.473927977812586</v>
      </c>
      <c r="G15" s="344">
        <f>VLOOKUP(G$3,'Child Poverty'!$C:$L,5,FALSE)</f>
        <v>28.936021126269207</v>
      </c>
      <c r="H15" s="346">
        <f>IF(IF($H$2="Scotland",F15-C15,IF($H$2="United Kingdom",G15-C15,IF($H$2="Top Performing Scottish Local Authority",D15-C15,E15-C15)))&gt;0,"",IF($H$2="Scotland",F15-C15,IF($H$2="United Kingdom",G15-C15,IF($H$2="Top Performing Scottish Local Authority",D15-C15,E15-C15))))</f>
        <v>-18.899999999999999</v>
      </c>
      <c r="I15" s="347">
        <f>IF($H15="","",IF($H$2="Scotland",SUM(MROUND(SUM(VLOOKUP(F$3,'Raw - Child Poverty'!$A:$Q,16,FALSE)*(VLOOKUP(C$3,'Raw - Child Poverty'!$A:$Q,15,FALSE)))/100,100)-MROUND(SUM(VLOOKUP(C$3,'Raw - Child Poverty'!$A:$Q,16,FALSE)*(VLOOKUP(C$3,'Raw - Child Poverty'!$A:$Q,15,FALSE)))/100,100)),IF($H$2="United Kingdom",SUM(MROUND(SUM(VLOOKUP(G$3,'Raw - Child Poverty'!$A:$Q,16,FALSE)*(VLOOKUP(C$3,'Raw - Child Poverty'!$A:$Q,15,FALSE)))/100,100)-MROUND(SUM(VLOOKUP(C$3,'Raw - Child Poverty'!$A:$Q,16,FALSE)*(VLOOKUP(C$3,'Raw - Child Poverty'!$A:$Q,15,FALSE)))/100,100)),IF($H$2="LGBF Family Group",SUM(MROUND(SUM(VLOOKUP(E$3,'Raw - Child Poverty'!$A:$Q,16,FALSE)*(VLOOKUP(C$3,'Raw - Child Poverty'!$A:$Q,15,FALSE)))/100,100)-MROUND(SUM(VLOOKUP(C$3,'Raw - Child Poverty'!$A:$Q,16,FALSE)*(VLOOKUP(C$3,'Raw - Child Poverty'!$A:$Q,15,FALSE)))/100,100)),SUM(MROUND(SUM(D15*(VLOOKUP(C$3,'Raw - Child Poverty'!$A:$Q,15,FALSE)))/100,100)-MROUND(SUM(VLOOKUP(C$3,'Raw - Child Poverty'!$A:$Q,16,FALSE)*(VLOOKUP(C$3,'Raw - Child Poverty'!$A:$Q,15,FALSE)))/100,100))))))</f>
        <v>-20800</v>
      </c>
    </row>
    <row r="16" spans="1:131">
      <c r="B16" s="343" t="s">
        <v>798</v>
      </c>
      <c r="C16" s="344">
        <f>VLOOKUP(C$3,'10 Mb'!$C:$M,4,FALSE)</f>
        <v>0.2</v>
      </c>
      <c r="D16" s="353">
        <f>VLOOKUP(D$3,'10 Mb'!$B:$M,5,FALSE)</f>
        <v>0.1</v>
      </c>
      <c r="E16" s="345">
        <f>VLOOKUP($E$3,'Raw - 10Mb'!$A:$Q,16,FALSE)</f>
        <v>6.4160197883557686</v>
      </c>
      <c r="F16" s="348">
        <f>VLOOKUP("Scotland",'10 Mb'!$C:$M,4,FALSE)</f>
        <v>2.2195342268003229</v>
      </c>
      <c r="G16" s="344">
        <f>VLOOKUP("United Kingdom",'10 Mb'!$C:$M,4,FALSE)</f>
        <v>1.075487902752376</v>
      </c>
      <c r="H16" s="346">
        <f>IF(IF($H$2="Scotland",F16-C16,IF($H$2="United Kingdom",G16-C16,IF($H$2="Top Performing Scottish Local Authority",D16-C16,E16-C16)))&gt;0,"",IF($H$2="Scotland",F16-C16,IF($H$2="United Kingdom",G16-C16,IF($H$2="Top Performing Scottish Local Authority",D16-C16,E16-C16))))</f>
        <v>-0.1</v>
      </c>
      <c r="I16" s="347">
        <f>IF($H16="","",IF($H$2="Scotland",SUM(MROUND(SUM(VLOOKUP(F$3,'Raw - 10Mb'!$A:$Q,16,FALSE)*(VLOOKUP(C$3,'Raw - 10Mb'!$A:$Q,15,FALSE)))/100,100)-MROUND(SUM(VLOOKUP(C$3,'Raw - 10Mb'!$A:$Q,16,FALSE)*(VLOOKUP(C$3,'Raw - 10Mb'!$A:$Q,15,FALSE)))/100,100)),IF($H$2="United Kingdom",SUM(MROUND(SUM(VLOOKUP(G$3,'Raw - 10Mb'!$A:$Q,16,FALSE)*(VLOOKUP(C$3,'Raw - 10Mb'!$A:$Q,15,FALSE)))/100,100)-MROUND(SUM(VLOOKUP(C$3,'Raw - 10Mb'!$A:$Q,16,FALSE)*(VLOOKUP(C$3,'Raw - 10Mb'!$A:$Q,15,FALSE)))/100,100)),IF($H$2="LGBF Family Group",SUM(MROUND(SUM(VLOOKUP(E$3,'Raw - 10Mb'!$A:$Q,16,FALSE)*(VLOOKUP(C$3,'Raw - 10Mb'!$A:$Q,15,FALSE)))/100,100)-MROUND(SUM(VLOOKUP(C$3,'Raw - 10Mb'!$A:$Q,16,FALSE)*(VLOOKUP(C$3,'Raw - 10Mb'!$A:$Q,15,FALSE)))/100,100)),SUM(MROUND(SUM(D16*(VLOOKUP(C$3,'Raw - 10Mb'!$A:$Q,15,FALSE)))/100,100)-MROUND(SUM(VLOOKUP(C$3,'Raw - 10Mb'!$A:$Q,16,FALSE)*(VLOOKUP(C$3,'Raw - 10Mb'!$A:$Q,15,FALSE)))/100,100))))))</f>
        <v>-400</v>
      </c>
    </row>
    <row r="17" spans="2:9">
      <c r="B17" s="343" t="s">
        <v>799</v>
      </c>
      <c r="C17" s="344">
        <f>VLOOKUP(C$3,UFBB!$C:$M,4,FALSE)</f>
        <v>77.099999999999994</v>
      </c>
      <c r="D17" s="353">
        <f>VLOOKUP(D$3,UFBB!$B:$M,5,FALSE)</f>
        <v>92.5</v>
      </c>
      <c r="E17" s="345">
        <f>VLOOKUP($E$3,'Raw - UFBB'!$A:$Q,16,FALSE)</f>
        <v>28.323350513070526</v>
      </c>
      <c r="F17" s="348">
        <f>VLOOKUP("Scotland",UFBB!$C:$M,4,FALSE)</f>
        <v>65.033756716246472</v>
      </c>
      <c r="G17" s="344">
        <f>VLOOKUP("United Kingdom",UFBB!$C:$M,4,FALSE)</f>
        <v>70.433383736034443</v>
      </c>
      <c r="H17" s="346">
        <f>IF(IF($H$2="Scotland",F17-C17,IF($H$2="United Kingdom",G17-C17,IF($H$2="Top Performing Scottish Local Authority",D17-C17,E17-C17)))&lt;0,"",IF($H$2="Scotland",F17-C17,IF($H$2="United Kingdom",G17-C17,IF($H$2="Top Performing Scottish Local Authority",D17-C17,E17-C17))))</f>
        <v>15.400000000000006</v>
      </c>
      <c r="I17" s="347">
        <f>IF($H17="","",IF($H$2="Scotland",SUM(MROUND(SUM(VLOOKUP(F$3,'Raw - UFBB'!$A:$Q,16,FALSE)*(VLOOKUP(C$3,'Raw - UFBB'!$A:$Q,15,FALSE)))/100,100)-MROUND(SUM(VLOOKUP(C$3,'Raw - UFBB'!$A:$Q,16,FALSE)*(VLOOKUP(C$3,'Raw - UFBB'!$A:$Q,15,FALSE)))/100,100)),IF($H$2="United Kingdom",SUM(MROUND(SUM(VLOOKUP(G$3,'Raw - UFBB'!$A:$Q,16,FALSE)*(VLOOKUP(C$3,'Raw - UFBB'!$A:$Q,15,FALSE)))/100,100)-MROUND(SUM(VLOOKUP(C$3,'Raw - UFBB'!$A:$Q,16,FALSE)*(VLOOKUP(C$3,'Raw - UFBB'!$A:$Q,15,FALSE)))/100,100)),IF($H$2="LGBF Family Group",SUM(MROUND(SUM(VLOOKUP(E$3,'Raw - UFBB'!$A:$Q,16,FALSE)*(VLOOKUP(C$3,'Raw - UFBB'!$A:$Q,15,FALSE)))/100,100)-MROUND(SUM(VLOOKUP(C$3,'Raw - UFBB'!$A:$Q,16,FALSE)*(VLOOKUP(C$3,'Raw - UFBB'!$A:$Q,15,FALSE)))/100,100)),SUM(MROUND(SUM(D17*(VLOOKUP(C$3,'Raw - UFBB'!$A:$Q,15,FALSE)))/100,100)-MROUND(SUM(VLOOKUP(C$3,'Raw - UFBB'!$A:$Q,16,FALSE)*(VLOOKUP(C$3,'Raw - UFBB'!$A:$Q,15,FALSE)))/100,100))))))</f>
        <v>23400</v>
      </c>
    </row>
    <row r="18" spans="2:9">
      <c r="B18" s="343" t="s">
        <v>800</v>
      </c>
      <c r="C18" s="344">
        <f>VLOOKUP(C$3,Fibre!$C:$M,4,FALSE)</f>
        <v>41.9</v>
      </c>
      <c r="D18" s="353">
        <f>VLOOKUP(D$3,Fibre!$B:$M,5,FALSE)</f>
        <v>74.400000000000006</v>
      </c>
      <c r="E18" s="345">
        <f>VLOOKUP($E$3,'Raw - Fibre'!$A:$Q,16,FALSE)</f>
        <v>28.142899956523028</v>
      </c>
      <c r="F18" s="348">
        <f>VLOOKUP("Scotland",Fibre!$C:$M,4,FALSE)</f>
        <v>39.720757296229543</v>
      </c>
      <c r="G18" s="344">
        <f>VLOOKUP("United Kingdom",Fibre!$C:$M,4,FALSE)</f>
        <v>41.171057455483137</v>
      </c>
      <c r="H18" s="346">
        <f>IF(IF($H$2="Scotland",F18-C18,IF($H$2="United Kingdom",G18-C18,IF($H$2="Top Performing Scottish Local Authority",D18-C18,E18-C18)))&lt;0,"",IF($H$2="Scotland",F18-C18,IF($H$2="United Kingdom",G18-C18,IF($H$2="Top Performing Scottish Local Authority",D18-C18,E18-C18))))</f>
        <v>32.500000000000007</v>
      </c>
      <c r="I18" s="347">
        <f>IF($H18="","",IF($H$2="Scotland",SUM(MROUND(SUM(VLOOKUP(F$3,'Raw - Fibre'!$A:$Q,16,FALSE)*(VLOOKUP(C$3,'Raw - Fibre'!$A:$Q,15,FALSE)))/100,100)-MROUND(SUM(VLOOKUP(C$3,'Raw - Fibre'!$A:$Q,16,FALSE)*(VLOOKUP(C$3,'Raw - Fibre'!$A:$Q,15,FALSE)))/100,100)),IF($H$2="United Kingdom",SUM(MROUND(SUM(VLOOKUP(G$3,'Raw - Fibre'!$A:$Q,16,FALSE)*(VLOOKUP(C$3,'Raw - Fibre'!$A:$Q,15,FALSE)))/100,100)-MROUND(SUM(VLOOKUP(C$3,'Raw - Fibre'!$A:$Q,16,FALSE)*(VLOOKUP(C$3,'Raw - Fibre'!$A:$Q,15,FALSE)))/100,100)),IF($H$2="LGBF Family Group",SUM(MROUND(SUM(VLOOKUP(E$3,'Raw - Fibre'!$A:$Q,16,FALSE)*(VLOOKUP(C$3,'Raw - Fibre'!$A:$Q,15,FALSE)))/100,100)-MROUND(SUM(VLOOKUP(C$3,'Raw - Fibre'!$A:$Q,16,FALSE)*(VLOOKUP(C$3,'Raw - Fibre'!$A:$Q,15,FALSE)))/100,100)),SUM(MROUND(SUM(D18*(VLOOKUP(C$3,'Raw - Fibre'!$A:$Q,15,FALSE)))/100,100)-MROUND(SUM(VLOOKUP(C$3,'Raw - Fibre'!$A:$Q,16,FALSE)*(VLOOKUP(C$3,'Raw - Fibre'!$A:$Q,15,FALSE)))/100,100))))))</f>
        <v>11000</v>
      </c>
    </row>
    <row r="19" spans="2:9">
      <c r="B19" s="350"/>
      <c r="C19" s="351"/>
      <c r="D19" s="351"/>
      <c r="E19" s="351"/>
      <c r="F19" s="351"/>
      <c r="G19" s="351"/>
      <c r="H19" s="351"/>
      <c r="I19" s="352"/>
    </row>
    <row r="20" spans="2:9">
      <c r="B20" s="343" t="str">
        <f>'New Builds'!$C$2</f>
        <v>Rate of Housing New Builds (per 10,000 total population)</v>
      </c>
      <c r="C20" s="344">
        <f>VLOOKUP(C$3,'New Builds'!$C:$L,5,FALSE)</f>
        <v>34.263511126810315</v>
      </c>
      <c r="D20" s="353">
        <f>VLOOKUP(D$3,'New Builds'!$B:$L,6,FALSE)</f>
        <v>120.58126352674431</v>
      </c>
      <c r="E20" s="349">
        <f>VLOOKUP($E$3,'Raw - New Builds'!$A:$Q,16,FALSE)</f>
        <v>37.146943916654216</v>
      </c>
      <c r="F20" s="344">
        <f>VLOOKUP(F$3,'New Builds'!$C:$L,5,FALSE)</f>
        <v>38.533693118196673</v>
      </c>
      <c r="G20" s="348" t="str">
        <f>VLOOKUP(G$3,'New Builds'!$C:$L,5,FALSE)</f>
        <v>-</v>
      </c>
      <c r="H20" s="346">
        <f>IF(IF($H$2="Scotland",F20-C20,IF($H$2="United Kingdom","-",IF($H$2="Top Performing Scottish Local Authority",D20-C20,E20-C20)))&lt;0,"",IF($H$2="Scotland",F20-C20,IF($H$2="United Kingdom","-",IF($H$2="Top Performing Scottish Local Authority",D20-C20,E20-C20))))</f>
        <v>86.317752399933994</v>
      </c>
      <c r="I20" s="347">
        <f>IF($H20="","",IF($H$2="Scotland",SUM(MROUND(SUM(VLOOKUP(F$3,'Raw - New Builds'!$A:$Q,16,FALSE)*(VLOOKUP(C$3,'Raw - New Builds'!$A:$Q,15,FALSE))),100)-MROUND(SUM(VLOOKUP(C$3,'Raw - New Builds'!$A:$Q,16,FALSE)*(VLOOKUP(C$3,'Raw - New Builds'!$A:$Q,15,FALSE))),100)),IF($H$2="United Kingdom","-",IF($H$2="LGBF Family Group",SUM(MROUND(SUM(VLOOKUP(E$3,'Raw - New Builds'!$A:$Q,16,FALSE)*(VLOOKUP(C$3,'Raw - New Builds'!$A:$Q,15,FALSE))),100)-MROUND(SUM(VLOOKUP(C$3,'Raw - New Builds'!$A:$Q,16,FALSE)*(VLOOKUP(C$3,'Raw - New Builds'!$A:$Q,15,FALSE))),100)),SUM(MROUND(SUM(D20*(VLOOKUP(C$3,'Raw - New Builds'!$A:$Q,15,FALSE))),100)-MROUND(SUM(VLOOKUP(C$3,'Raw - New Builds'!$A:$Q,16,FALSE)*(VLOOKUP(C$3,'Raw - New Builds'!$A:$Q,15,FALSE))),100))))))</f>
        <v>5400</v>
      </c>
    </row>
    <row r="21" spans="2:9">
      <c r="B21" s="343" t="str">
        <f>'Social Builds'!$C$2</f>
        <v>Rate of Social Housing New Builds (per 10,000 total population)</v>
      </c>
      <c r="C21" s="344">
        <f>VLOOKUP(C$3,'Social Builds'!$C:$L,5,FALSE)</f>
        <v>10.243730130695868</v>
      </c>
      <c r="D21" s="353">
        <f>VLOOKUP(D$3,'Social Builds'!$B:$L,6,FALSE)</f>
        <v>40.399876326909208</v>
      </c>
      <c r="E21" s="349">
        <f>VLOOKUP($E$3,'Raw - Social Builds'!$A:$Q,16,FALSE)</f>
        <v>6.4971570490240032</v>
      </c>
      <c r="F21" s="344">
        <f>VLOOKUP(F$3,'Social Builds'!$C:$L,5,FALSE)</f>
        <v>10.565926904932358</v>
      </c>
      <c r="G21" s="348" t="str">
        <f>VLOOKUP(G$3,'Social Builds'!$C:$L,5,FALSE)</f>
        <v>-</v>
      </c>
      <c r="H21" s="346">
        <f>IF(IF($H$2="Scotland",F21-C21,IF($H$2="United Kingdom","-",IF($H$2="Top Performing Scottish Local Authority",D21-C21,E21-C21)))&lt;0,"",IF($H$2="Scotland",F21-C21,IF($H$2="United Kingdom","-",IF($H$2="Top Performing Scottish Local Authority",D21-C21,E21-C21))))</f>
        <v>30.156146196213342</v>
      </c>
      <c r="I21" s="347">
        <f>IF($H21="","",IF($H$2="Scotland",SUM(MROUND(SUM(VLOOKUP(F$3,'Raw - Social Builds'!$A:$Q,16,FALSE)*(VLOOKUP(C$3,'Raw - Social Builds'!$A:$Q,15,FALSE))),100)-MROUND(SUM(VLOOKUP(C$3,'Raw - Social Builds'!$A:$Q,16,FALSE)*(VLOOKUP(C$3,'Raw - Social Builds'!$A:$Q,15,FALSE))),100)),IF($H$2="United Kingdom","-",IF($H$2="LGBF Family Group",SUM(MROUND(SUM(VLOOKUP(E$3,'Raw - Social Builds'!$A:$Q,16,FALSE)*(VLOOKUP(C$3,'Raw - Social Builds'!$A:$Q,15,FALSE))),100)-MROUND(SUM(VLOOKUP(C$3,'Raw - Social Builds'!$A:$Q,16,FALSE)*(VLOOKUP(C$3,'Raw - Social Builds'!$A:$Q,15,FALSE))),100)),SUM(MROUND(SUM(D21*(VLOOKUP(C$3,'Raw - Social Builds'!$A:$Q,15,FALSE))),100)-MROUND(SUM(VLOOKUP(C$3,'Raw - Social Builds'!$A:$Q,16,FALSE)*(VLOOKUP(C$3,'Raw - Social Builds'!$A:$Q,15,FALSE))),100))))))</f>
        <v>1900</v>
      </c>
    </row>
    <row r="22" spans="2:9">
      <c r="B22" s="350"/>
      <c r="C22" s="351"/>
      <c r="D22" s="351"/>
      <c r="E22" s="351"/>
      <c r="F22" s="351"/>
      <c r="G22" s="351"/>
      <c r="H22" s="351"/>
      <c r="I22" s="352"/>
    </row>
    <row r="23" spans="2:9">
      <c r="B23" s="343" t="str">
        <f>'Emissions Population'!$C$2</f>
        <v>Emissions per Capita (CO2 Equivalent tonnes)</v>
      </c>
      <c r="C23" s="344">
        <f>VLOOKUP(C$3,'Emissions Population'!$C:$M,5,FALSE)</f>
        <v>4.1855885634069478</v>
      </c>
      <c r="D23" s="344">
        <f>VLOOKUP(D$3,'Emissions Population'!$B:$M,6,FALSE)</f>
        <v>3.7875091049515337</v>
      </c>
      <c r="E23" s="345">
        <f>VLOOKUP($E$3,'Raw - Emissions Pop'!$A:$R,16,FALSE)</f>
        <v>11.876457375514565</v>
      </c>
      <c r="F23" s="344">
        <f>VLOOKUP(F$3,'Emissions Population'!$C:$M,5,FALSE)</f>
        <v>7.1326611664670097</v>
      </c>
      <c r="G23" s="344">
        <f>VLOOKUP(G$3,'Emissions Population'!$C:$M,5,FALSE)</f>
        <v>5.5613900067266604</v>
      </c>
      <c r="H23" s="346">
        <f>IF(IF($H$2="Scotland",F23-C23,IF($H$2="United Kingdom",G23-C23,IF($H$2="Top Performing Scottish Local Authority",D23-C23,E23-C23)))&gt;0,"",IF($H$2="Scotland",F23-C23,IF($H$2="United Kingdom",G23-C23,IF($H$2="Top Performing Scottish Local Authority",D23-C23,E23-C23))))</f>
        <v>-0.39807945845541415</v>
      </c>
      <c r="I23" s="347">
        <f>IF($H23="","",IF($H$2="Scotland",SUM(MROUND(SUM(VLOOKUP(F$3,'Raw - Emissions Pop'!$A:$R,16,FALSE)*(VLOOKUP(C$3,'Raw - Emissions Pop'!$A:$R,15,FALSE))),100)-MROUND(SUM(VLOOKUP(C$3,'Raw - Emissions Pop'!$A:$R,16,FALSE)*(VLOOKUP(C$3,'Raw - Emissions Pop'!$A:$R,15,FALSE))),100)),IF($H$2="United Kingdom",SUM(MROUND(SUM(VLOOKUP(G$3,'Raw - Emissions Pop'!$A:$R,16,FALSE)*(VLOOKUP(C$3,'Raw - Emissions Pop'!$A:$R,15,FALSE))),100)-MROUND(SUM(VLOOKUP(C$3,'Raw - Emissions Pop'!$A:$R,16,FALSE)*(VLOOKUP(C$3,'Raw - Emissions Pop'!$A:$R,15,FALSE))),100)),IF($H$2="LGBF Family Group",SUM(MROUND(SUM(VLOOKUP(E$3,'Raw - Emissions Pop'!$A:$R,16,FALSE)*(VLOOKUP(C$3,'Raw - Emissions Pop'!$A:$R,15,FALSE))),100)-MROUND(SUM(VLOOKUP(C$3,'Raw - Emissions Pop'!$A:$R,16,FALSE)*(VLOOKUP(C$3,'Raw - Emissions Pop'!$A:$R,15,FALSE))),100)),SUM(MROUND(SUM(D23*(VLOOKUP(C$3,'Raw - Emissions Pop'!$A:$R,15,FALSE))),100)-MROUND(SUM(VLOOKUP(C$3,'Raw - Emissions Pop'!$A:$R,16,FALSE)*(VLOOKUP(C$3,'Raw - Emissions Pop'!$A:$R,15,FALSE))),100))))))</f>
        <v>-200</v>
      </c>
    </row>
    <row r="24" spans="2:9">
      <c r="B24" s="343" t="str">
        <f>'Emissions KM'!$C$2</f>
        <v>Emissions per square kilometers (CO2 Equivalent tonnes)</v>
      </c>
      <c r="C24" s="344">
        <f>VLOOKUP(C$3,'Emissions KM'!$C:$M,5,FALSE)</f>
        <v>14.781860255659808</v>
      </c>
      <c r="D24" s="344">
        <f>VLOOKUP(D$3,'Emissions KM'!$B:$M,6,FALSE)</f>
        <v>4.6474505251875527E-2</v>
      </c>
      <c r="E24" s="345">
        <f>VLOOKUP($E$3,'Raw - Emissions KM'!$A:$Q,16,FALSE)</f>
        <v>0.19056012471898942</v>
      </c>
      <c r="F24" s="344">
        <f>VLOOKUP(F$3,'Emissions KM'!$C:$M,5,FALSE)</f>
        <v>0.48429795056531649</v>
      </c>
      <c r="G24" s="344">
        <f>VLOOKUP(G$3,'Emissions KM'!$C:$M,5,FALSE)</f>
        <v>1.5114705436306914</v>
      </c>
      <c r="H24" s="346">
        <f>IF(IF($H$2="Scotland",F24-C24,IF($H$2="United Kingdom",G24-C24,IF($H$2="Top Performing Scottish Local Authority",D24-C24,E24-C24)))&gt;0,"",IF($H$2="Scotland",F24-C24,IF($H$2="United Kingdom",G24-C24,IF($H$2="Top Performing Scottish Local Authority",D24-C24,E24-C24))))</f>
        <v>-14.735385750407932</v>
      </c>
      <c r="I24" s="347">
        <f>IF($H24="","",IF($H$2="Scotland",SUM(MROUND(SUM(VLOOKUP(F$3,'Raw - Emissions KM'!$A:$Q,16,FALSE)*(VLOOKUP(C$3,'Raw - Emissions KM'!$A:$Q,15,FALSE))),100)-MROUND(SUM(VLOOKUP(C$3,'Raw - Emissions KM'!$A:$Q,16,FALSE)*(VLOOKUP(C$3,'Raw - Emissions KM'!$A:$Q,15,FALSE))),100)),IF($H$2="United Kingdom",SUM(MROUND(SUM(VLOOKUP(G$3,'Raw - Emissions KM'!$A:$Q,16,FALSE)*(VLOOKUP(C$3,'Raw - Emissions KM'!$A:$Q,15,FALSE))),100)-MROUND(SUM(VLOOKUP(C$3,'Raw - Emissions KM'!$A:$Q,16,FALSE)*(VLOOKUP(C$3,'Raw - Emissions KM'!$A:$Q,15,FALSE))),100)),IF($H$2="LGBF Family Group",SUM(MROUND(SUM(VLOOKUP(E$3,'Raw - Emissions KM'!$A:$Q,16,FALSE)*(VLOOKUP(C$3,'Raw - Emissions KM'!$A:$Q,15,FALSE))),100)-MROUND(SUM(VLOOKUP(C$3,'Raw - Emissions KM'!$A:$Q,16,FALSE)*(VLOOKUP(C$3,'Raw - Emissions KM'!$A:$Q,15,FALSE))),100)),SUM(MROUND(SUM(D24*(VLOOKUP(C$3,'Raw - Emissions KM'!$A:$Q,15,FALSE))),100)-MROUND(SUM(VLOOKUP(C$3,'Raw - Emissions KM'!$A:$Q,16,FALSE)*(VLOOKUP(C$3,'Raw - Emissions KM'!$A:$Q,15,FALSE))),100))))))</f>
        <v>-2600</v>
      </c>
    </row>
    <row r="25" spans="2:9" s="251" customFormat="1"/>
    <row r="26" spans="2:9" s="251" customFormat="1">
      <c r="B26" s="355" t="s">
        <v>594</v>
      </c>
    </row>
    <row r="27" spans="2:9" s="251" customFormat="1">
      <c r="B27" s="251" t="s">
        <v>797</v>
      </c>
    </row>
    <row r="28" spans="2:9" s="251" customFormat="1"/>
    <row r="29" spans="2:9" s="251" customFormat="1"/>
    <row r="30" spans="2:9" s="251" customFormat="1"/>
    <row r="31" spans="2:9" s="251" customFormat="1"/>
    <row r="32" spans="2:9" s="251" customFormat="1"/>
    <row r="33" s="251" customFormat="1"/>
    <row r="34" s="251" customFormat="1"/>
    <row r="35" s="251" customFormat="1"/>
    <row r="36" s="251" customFormat="1"/>
    <row r="37" s="251" customFormat="1"/>
    <row r="38" s="251" customFormat="1"/>
    <row r="39" s="251" customFormat="1"/>
    <row r="40" s="251" customFormat="1"/>
    <row r="41" s="251" customFormat="1"/>
    <row r="42" s="251" customFormat="1"/>
    <row r="43" s="251" customFormat="1"/>
    <row r="44" s="251" customFormat="1"/>
    <row r="45" s="251" customFormat="1"/>
    <row r="46" s="251" customFormat="1"/>
    <row r="47" s="251" customFormat="1"/>
    <row r="48" s="251" customFormat="1"/>
    <row r="49" s="251" customFormat="1"/>
    <row r="50" s="251" customFormat="1"/>
    <row r="51" s="251" customFormat="1"/>
    <row r="52" s="251" customFormat="1"/>
    <row r="53" s="251" customFormat="1"/>
    <row r="54" s="251" customFormat="1"/>
    <row r="55" s="251" customFormat="1"/>
    <row r="56" s="251" customFormat="1"/>
    <row r="57" s="251" customFormat="1"/>
    <row r="58" s="251" customFormat="1"/>
    <row r="59" s="251" customFormat="1"/>
    <row r="60" s="251" customFormat="1"/>
    <row r="61" s="251" customFormat="1"/>
  </sheetData>
  <sheetProtection algorithmName="SHA-512" hashValue="xrZNWb+IYGuhKx3k4ZzOsXoFL2HRTQyhkXo/FknCTsDRpNjSABOmUANKOlX8FVk8jR7FW1idhgCOkfGiE0wkEA==" saltValue="bPvLtjlfoXkuXJoFbsuPgg==" spinCount="100000" sheet="1" objects="1" scenarios="1"/>
  <mergeCells count="1">
    <mergeCell ref="H2:I2"/>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ignoredErrors>
    <ignoredError sqref="D4:D6 H12"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Lookups!$B$15:$B$18</xm:f>
          </x14:formula1>
          <xm:sqref>H2:I2</xm:sqref>
        </x14:dataValidation>
        <x14:dataValidation type="list" allowBlank="1" showInputMessage="1" showErrorMessage="1" xr:uid="{00000000-0002-0000-0300-000001000000}">
          <x14:formula1>
            <xm:f>Lookups!$F$3:$F$10</xm:f>
          </x14:formula1>
          <xm:sqref>C3</xm:sqref>
        </x14:dataValidation>
        <x14:dataValidation type="list" allowBlank="1" showInputMessage="1" showErrorMessage="1" xr:uid="{00000000-0002-0000-0300-000002000000}">
          <x14:formula1>
            <xm:f>Lookups!$R$9:$U$9</xm:f>
          </x14:formula1>
          <xm:sqref>E3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B2:L24"/>
  <sheetViews>
    <sheetView zoomScale="90" zoomScaleNormal="90" workbookViewId="0">
      <selection activeCell="G2" sqref="G2:H2"/>
    </sheetView>
  </sheetViews>
  <sheetFormatPr defaultColWidth="9.1796875" defaultRowHeight="12"/>
  <cols>
    <col min="1" max="1" width="9.1796875" style="251"/>
    <col min="2" max="2" width="31.81640625" style="251" customWidth="1"/>
    <col min="3" max="3" width="24" style="251" customWidth="1" collapsed="1"/>
    <col min="4" max="4" width="14" style="251" customWidth="1" collapsed="1"/>
    <col min="5" max="5" width="14" style="251" customWidth="1"/>
    <col min="6" max="7" width="14" style="251" customWidth="1" collapsed="1"/>
    <col min="8" max="12" width="14" style="251" customWidth="1"/>
    <col min="13" max="16384" width="9.1796875" style="251"/>
  </cols>
  <sheetData>
    <row r="2" spans="2:12" ht="13">
      <c r="B2" s="286" t="s">
        <v>48</v>
      </c>
      <c r="C2" s="287" t="s">
        <v>517</v>
      </c>
      <c r="G2" s="595" t="s">
        <v>507</v>
      </c>
      <c r="H2" s="596"/>
    </row>
    <row r="3" spans="2:12" ht="13">
      <c r="B3" s="286" t="s">
        <v>49</v>
      </c>
      <c r="C3" s="418" t="s">
        <v>516</v>
      </c>
    </row>
    <row r="4" spans="2:12" ht="13">
      <c r="B4" s="287"/>
      <c r="C4" s="289" t="s">
        <v>478</v>
      </c>
      <c r="D4" s="290"/>
      <c r="E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2016</v>
      </c>
      <c r="E6" s="294">
        <v>2017</v>
      </c>
      <c r="F6" s="294">
        <v>2018</v>
      </c>
      <c r="G6" s="294">
        <v>2019</v>
      </c>
      <c r="H6" s="294" t="s">
        <v>738</v>
      </c>
      <c r="I6" s="295" t="s">
        <v>53</v>
      </c>
      <c r="J6" s="295" t="s">
        <v>54</v>
      </c>
      <c r="K6" s="295" t="s">
        <v>56</v>
      </c>
      <c r="L6" s="295" t="s">
        <v>57</v>
      </c>
    </row>
    <row r="7" spans="2:12" ht="19.5" customHeight="1">
      <c r="B7" s="296" t="s">
        <v>249</v>
      </c>
      <c r="C7" s="296" t="s">
        <v>22</v>
      </c>
      <c r="D7" s="297">
        <f>VLOOKUP($C7,'Raw - Business Survival'!$A:$Q,4,FALSE)</f>
        <v>61.842105263157897</v>
      </c>
      <c r="E7" s="297">
        <f>VLOOKUP($C7,'Raw - Business Survival'!$A:$Q,8,FALSE)</f>
        <v>60.273972602739725</v>
      </c>
      <c r="F7" s="297">
        <f>VLOOKUP($C7,'Raw - Business Survival'!$A:$Q,12,FALSE)</f>
        <v>60.563380281690137</v>
      </c>
      <c r="G7" s="297">
        <f>VLOOKUP($C7,'Raw - Business Survival'!$A:$Q,16,FALSE)</f>
        <v>56.92307692307692</v>
      </c>
      <c r="H7" s="318">
        <f>VLOOKUP(C7,'Raw - Business Survival'!A:Q,14,FALSE)</f>
        <v>185</v>
      </c>
      <c r="I7" s="299">
        <f>SUM(G7-D7)</f>
        <v>-4.9190283400809776</v>
      </c>
      <c r="J7" s="300">
        <f>SUM(VLOOKUP(C7,'Raw - Business Survival'!A:Q,14,FALSE)-VLOOKUP(C7,'Raw - Business Survival'!A:Q,2,FALSE))</f>
        <v>-50</v>
      </c>
      <c r="K7" s="301">
        <f>IF(IF($K$5="lgbf family group",SUM(G$17-G7),IF($K$5="Glasgow City Region",SUM(G$18-G7),IF($K$5="Scotland",SUM(G$19-G7),IF($K$5="United Kingdom",SUM(G$20-G7),SUM(G$16-G7)))))&lt;0,"",IF($K$5="lgbf family group",SUM(G$17-G7),IF($K$5="Glasgow City Region",SUM(G$18-G7),IF($K$5="Scotland",SUM(G$19-G7),IF($K$5="United Kingdom",SUM(G$20-G7),SUM(G$16-G7))))))</f>
        <v>24.895104895104907</v>
      </c>
      <c r="L7" s="302">
        <f>IF(K7="","",IF($K$5="lgbf family group",SUM(MROUND(SUM(SUM(VLOOKUP(C$17,'Raw - Business Survival'!A:Q,16,FALSE)*VLOOKUP(C7,'Raw - Business Survival'!A:Q,15,FALSE))/100),100)-MROUND(SUM(SUM(VLOOKUP(C7,'Raw - Business Survival'!A:Q,16,FALSE)*VLOOKUP(C7,'Raw - Business Survival'!A:Q,15,FALSE))/100),100)),IF($K$5="Glasgow City Region",SUM(MROUND(SUM(SUM(VLOOKUP(C$18,'Raw - Business Survival'!A:Q,16,FALSE)*VLOOKUP(C7,'Raw - Business Survival'!A:Q,15,FALSE))/100),100)-MROUND(SUM(SUM(VLOOKUP(C7,'Raw - Business Survival'!A:Q,16,FALSE)*VLOOKUP(C7,'Raw - Business Survival'!A:Q,15,FALSE))/100),100)),IF($K$5="Scotland",SUM(MROUND(SUM(SUM(VLOOKUP(C$19,'Raw - Business Survival'!A:Q,16,FALSE)*VLOOKUP(C7,'Raw - Business Survival'!A:Q,15,FALSE))/100),100)-MROUND(SUM(SUM(VLOOKUP(C7,'Raw - Business Survival'!A:Q,16,FALSE)*VLOOKUP(C7,'Raw - Business Survival'!A:Q,15,FALSE))/100),100)),IF($K$5="United Kingdom",SUM(MROUND(SUM(SUM(VLOOKUP(C$20,'Raw - Business Survival'!A:Q,16,FALSE)*VLOOKUP(C7,'Raw - Business Survival'!A:Q,15,FALSE))/100),100)-MROUND(SUM(SUM(VLOOKUP(C7,'Raw - Business Survival'!A:Q,16,FALSE)*VLOOKUP(C7,'Raw - Business Survival'!A:Q,15,FALSE))/100),100)),SUM(MROUND(SUM(SUM(VLOOKUP(C$16,'Raw - Business Survival'!A:Q,16,FALSE)*VLOOKUP(C7,'Raw - Business Survival'!A:Q,15,FALSE))/100),100)-MROUND(SUM(SUM(VLOOKUP(C7,'Raw - Business Survival'!A:Q,16,FALSE)*VLOOKUP(C7,'Raw - Business Survival'!A:Q,15,FALSE))/100),100)))))))</f>
        <v>100</v>
      </c>
    </row>
    <row r="8" spans="2:12" ht="19.5" customHeight="1">
      <c r="B8" s="296" t="s">
        <v>249</v>
      </c>
      <c r="C8" s="296" t="s">
        <v>24</v>
      </c>
      <c r="D8" s="297">
        <f>VLOOKUP($C8,'Raw - Business Survival'!$A:$Q,4,FALSE)</f>
        <v>53.424657534246577</v>
      </c>
      <c r="E8" s="297">
        <f>VLOOKUP($C8,'Raw - Business Survival'!$A:$Q,8,FALSE)</f>
        <v>59.375</v>
      </c>
      <c r="F8" s="297">
        <f>VLOOKUP($C8,'Raw - Business Survival'!$A:$Q,12,FALSE)</f>
        <v>59.420289855072461</v>
      </c>
      <c r="G8" s="297">
        <f>VLOOKUP($C8,'Raw - Business Survival'!$A:$Q,16,FALSE)</f>
        <v>61.194029850746269</v>
      </c>
      <c r="H8" s="318">
        <f>VLOOKUP(C8,'Raw - Business Survival'!A:Q,14,FALSE)</f>
        <v>205</v>
      </c>
      <c r="I8" s="299">
        <f t="shared" ref="I8:I14" si="0">SUM(G8-D8)</f>
        <v>7.7693723164996911</v>
      </c>
      <c r="J8" s="300">
        <f>SUM(VLOOKUP(C8,'Raw - Business Survival'!A:Q,14,FALSE)-VLOOKUP(C8,'Raw - Business Survival'!A:Q,2,FALSE))</f>
        <v>10</v>
      </c>
      <c r="K8" s="301">
        <f t="shared" ref="K8:K14" si="1">IF(IF($K$5="lgbf family group",SUM(G$17-G8),IF($K$5="Glasgow City Region",SUM(G$18-G8),IF($K$5="Scotland",SUM(G$19-G8),IF($K$5="United Kingdom",SUM(G$20-G8),SUM(G$16-G8)))))&lt;0,"",IF($K$5="lgbf family group",SUM(G$17-G8),IF($K$5="Glasgow City Region",SUM(G$18-G8),IF($K$5="Scotland",SUM(G$19-G8),IF($K$5="United Kingdom",SUM(G$20-G8),SUM(G$16-G8))))))</f>
        <v>20.624151967435559</v>
      </c>
      <c r="L8" s="302">
        <f>IF(K8="","",IF($K$5="lgbf family group",SUM(MROUND(SUM(SUM(VLOOKUP(C$17,'Raw - Business Survival'!A:Q,16,FALSE)*VLOOKUP(C8,'Raw - Business Survival'!A:Q,15,FALSE))/100),100)-MROUND(SUM(SUM(VLOOKUP(C8,'Raw - Business Survival'!A:Q,16,FALSE)*VLOOKUP(C8,'Raw - Business Survival'!A:Q,15,FALSE))/100),100)),IF($K$5="Glasgow City Region",SUM(MROUND(SUM(SUM(VLOOKUP(C$18,'Raw - Business Survival'!A:Q,16,FALSE)*VLOOKUP(C8,'Raw - Business Survival'!A:Q,15,FALSE))/100),100)-MROUND(SUM(SUM(VLOOKUP(C8,'Raw - Business Survival'!A:Q,16,FALSE)*VLOOKUP(C8,'Raw - Business Survival'!A:Q,15,FALSE))/100),100)),IF($K$5="Scotland",SUM(MROUND(SUM(SUM(VLOOKUP(C$19,'Raw - Business Survival'!A:Q,16,FALSE)*VLOOKUP(C8,'Raw - Business Survival'!A:Q,15,FALSE))/100),100)-MROUND(SUM(SUM(VLOOKUP(C8,'Raw - Business Survival'!A:Q,16,FALSE)*VLOOKUP(C8,'Raw - Business Survival'!A:Q,15,FALSE))/100),100)),IF($K$5="United Kingdom",SUM(MROUND(SUM(SUM(VLOOKUP(C$20,'Raw - Business Survival'!A:Q,16,FALSE)*VLOOKUP(C8,'Raw - Business Survival'!A:Q,15,FALSE))/100),100)-MROUND(SUM(SUM(VLOOKUP(C8,'Raw - Business Survival'!A:Q,16,FALSE)*VLOOKUP(C8,'Raw - Business Survival'!A:Q,15,FALSE))/100),100)),SUM(MROUND(SUM(SUM(VLOOKUP(C$16,'Raw - Business Survival'!A:Q,16,FALSE)*VLOOKUP(C8,'Raw - Business Survival'!A:Q,15,FALSE))/100),100)-MROUND(SUM(SUM(VLOOKUP(C8,'Raw - Business Survival'!A:Q,16,FALSE)*VLOOKUP(C8,'Raw - Business Survival'!A:Q,15,FALSE))/100),100)))))))</f>
        <v>100</v>
      </c>
    </row>
    <row r="9" spans="2:12" ht="19.5" customHeight="1">
      <c r="B9" s="296" t="s">
        <v>249</v>
      </c>
      <c r="C9" s="296" t="s">
        <v>27</v>
      </c>
      <c r="D9" s="297">
        <f>VLOOKUP($C9,'Raw - Business Survival'!$A:$Q,4,FALSE)</f>
        <v>54.823151125401928</v>
      </c>
      <c r="E9" s="297">
        <f>VLOOKUP($C9,'Raw - Business Survival'!$A:$Q,8,FALSE)</f>
        <v>54.794520547945204</v>
      </c>
      <c r="F9" s="297">
        <f>VLOOKUP($C9,'Raw - Business Survival'!$A:$Q,12,FALSE)</f>
        <v>55.052264808362374</v>
      </c>
      <c r="G9" s="297">
        <f>VLOOKUP($C9,'Raw - Business Survival'!$A:$Q,16,FALSE)</f>
        <v>57.557251908396942</v>
      </c>
      <c r="H9" s="318">
        <f>VLOOKUP(C9,'Raw - Business Survival'!A:Q,14,FALSE)</f>
        <v>1885</v>
      </c>
      <c r="I9" s="299">
        <f t="shared" si="0"/>
        <v>2.7341007829950144</v>
      </c>
      <c r="J9" s="300">
        <f>SUM(VLOOKUP(C9,'Raw - Business Survival'!A:Q,14,FALSE)-VLOOKUP(C9,'Raw - Business Survival'!A:Q,2,FALSE))</f>
        <v>180</v>
      </c>
      <c r="K9" s="301">
        <f t="shared" si="1"/>
        <v>24.260929909784885</v>
      </c>
      <c r="L9" s="302">
        <f>IF(K9="","",IF($K$5="lgbf family group",SUM(MROUND(SUM(SUM(VLOOKUP(C$17,'Raw - Business Survival'!A:Q,16,FALSE)*VLOOKUP(C9,'Raw - Business Survival'!A:Q,15,FALSE))/100),100)-MROUND(SUM(SUM(VLOOKUP(C9,'Raw - Business Survival'!A:Q,16,FALSE)*VLOOKUP(C9,'Raw - Business Survival'!A:Q,15,FALSE))/100),100)),IF($K$5="Glasgow City Region",SUM(MROUND(SUM(SUM(VLOOKUP(C$18,'Raw - Business Survival'!A:Q,16,FALSE)*VLOOKUP(C9,'Raw - Business Survival'!A:Q,15,FALSE))/100),100)-MROUND(SUM(SUM(VLOOKUP(C9,'Raw - Business Survival'!A:Q,16,FALSE)*VLOOKUP(C9,'Raw - Business Survival'!A:Q,15,FALSE))/100),100)),IF($K$5="Scotland",SUM(MROUND(SUM(SUM(VLOOKUP(C$19,'Raw - Business Survival'!A:Q,16,FALSE)*VLOOKUP(C9,'Raw - Business Survival'!A:Q,15,FALSE))/100),100)-MROUND(SUM(SUM(VLOOKUP(C9,'Raw - Business Survival'!A:Q,16,FALSE)*VLOOKUP(C9,'Raw - Business Survival'!A:Q,15,FALSE))/100),100)),IF($K$5="United Kingdom",SUM(MROUND(SUM(SUM(VLOOKUP(C$20,'Raw - Business Survival'!A:Q,16,FALSE)*VLOOKUP(C9,'Raw - Business Survival'!A:Q,15,FALSE))/100),100)-MROUND(SUM(SUM(VLOOKUP(C9,'Raw - Business Survival'!A:Q,16,FALSE)*VLOOKUP(C9,'Raw - Business Survival'!A:Q,15,FALSE))/100),100)),SUM(MROUND(SUM(SUM(VLOOKUP(C$16,'Raw - Business Survival'!A:Q,16,FALSE)*VLOOKUP(C9,'Raw - Business Survival'!A:Q,15,FALSE))/100),100)-MROUND(SUM(SUM(VLOOKUP(C9,'Raw - Business Survival'!A:Q,16,FALSE)*VLOOKUP(C9,'Raw - Business Survival'!A:Q,15,FALSE))/100),100)))))))</f>
        <v>800</v>
      </c>
    </row>
    <row r="10" spans="2:12" ht="19.5" customHeight="1">
      <c r="B10" s="296" t="s">
        <v>249</v>
      </c>
      <c r="C10" s="296" t="s">
        <v>29</v>
      </c>
      <c r="D10" s="297">
        <f>VLOOKUP($C10,'Raw - Business Survival'!$A:$Q,4,FALSE)</f>
        <v>60</v>
      </c>
      <c r="E10" s="297">
        <f>VLOOKUP($C10,'Raw - Business Survival'!$A:$Q,8,FALSE)</f>
        <v>59.523809523809526</v>
      </c>
      <c r="F10" s="297">
        <f>VLOOKUP($C10,'Raw - Business Survival'!$A:$Q,12,FALSE)</f>
        <v>58.974358974358978</v>
      </c>
      <c r="G10" s="297">
        <f>VLOOKUP($C10,'Raw - Business Survival'!$A:$Q,16,FALSE)</f>
        <v>52.380952380952387</v>
      </c>
      <c r="H10" s="318">
        <f>VLOOKUP(C10,'Raw - Business Survival'!A:Q,14,FALSE)</f>
        <v>110</v>
      </c>
      <c r="I10" s="299">
        <f t="shared" si="0"/>
        <v>-7.6190476190476133</v>
      </c>
      <c r="J10" s="300">
        <f>SUM(VLOOKUP(C10,'Raw - Business Survival'!A:Q,14,FALSE)-VLOOKUP(C10,'Raw - Business Survival'!A:Q,2,FALSE))</f>
        <v>-25</v>
      </c>
      <c r="K10" s="301">
        <f t="shared" si="1"/>
        <v>29.437229437229441</v>
      </c>
      <c r="L10" s="302">
        <f>IF(K10="","",IF($K$5="lgbf family group",SUM(MROUND(SUM(SUM(VLOOKUP(C$17,'Raw - Business Survival'!A:Q,16,FALSE)*VLOOKUP(C10,'Raw - Business Survival'!A:Q,15,FALSE))/100),100)-MROUND(SUM(SUM(VLOOKUP(C10,'Raw - Business Survival'!A:Q,16,FALSE)*VLOOKUP(C10,'Raw - Business Survival'!A:Q,15,FALSE))/100),100)),IF($K$5="Glasgow City Region",SUM(MROUND(SUM(SUM(VLOOKUP(C$18,'Raw - Business Survival'!A:Q,16,FALSE)*VLOOKUP(C10,'Raw - Business Survival'!A:Q,15,FALSE))/100),100)-MROUND(SUM(SUM(VLOOKUP(C10,'Raw - Business Survival'!A:Q,16,FALSE)*VLOOKUP(C10,'Raw - Business Survival'!A:Q,15,FALSE))/100),100)),IF($K$5="Scotland",SUM(MROUND(SUM(SUM(VLOOKUP(C$19,'Raw - Business Survival'!A:Q,16,FALSE)*VLOOKUP(C10,'Raw - Business Survival'!A:Q,15,FALSE))/100),100)-MROUND(SUM(SUM(VLOOKUP(C10,'Raw - Business Survival'!A:Q,16,FALSE)*VLOOKUP(C10,'Raw - Business Survival'!A:Q,15,FALSE))/100),100)),IF($K$5="United Kingdom",SUM(MROUND(SUM(SUM(VLOOKUP(C$20,'Raw - Business Survival'!A:Q,16,FALSE)*VLOOKUP(C10,'Raw - Business Survival'!A:Q,15,FALSE))/100),100)-MROUND(SUM(SUM(VLOOKUP(C10,'Raw - Business Survival'!A:Q,16,FALSE)*VLOOKUP(C10,'Raw - Business Survival'!A:Q,15,FALSE))/100),100)),SUM(MROUND(SUM(SUM(VLOOKUP(C$16,'Raw - Business Survival'!A:Q,16,FALSE)*VLOOKUP(C10,'Raw - Business Survival'!A:Q,15,FALSE))/100),100)-MROUND(SUM(SUM(VLOOKUP(C10,'Raw - Business Survival'!A:Q,16,FALSE)*VLOOKUP(C10,'Raw - Business Survival'!A:Q,15,FALSE))/100),100)))))))</f>
        <v>100</v>
      </c>
    </row>
    <row r="11" spans="2:12" ht="19.5" customHeight="1">
      <c r="B11" s="296" t="s">
        <v>249</v>
      </c>
      <c r="C11" s="296" t="s">
        <v>34</v>
      </c>
      <c r="D11" s="297">
        <f>VLOOKUP($C11,'Raw - Business Survival'!$A:$Q,4,FALSE)</f>
        <v>56.626506024096393</v>
      </c>
      <c r="E11" s="297">
        <f>VLOOKUP($C11,'Raw - Business Survival'!$A:$Q,8,FALSE)</f>
        <v>51.81818181818182</v>
      </c>
      <c r="F11" s="297">
        <f>VLOOKUP($C11,'Raw - Business Survival'!$A:$Q,12,FALSE)</f>
        <v>58.139534883720934</v>
      </c>
      <c r="G11" s="297">
        <f>VLOOKUP($C11,'Raw - Business Survival'!$A:$Q,16,FALSE)</f>
        <v>54.112554112554115</v>
      </c>
      <c r="H11" s="318">
        <f>VLOOKUP(C11,'Raw - Business Survival'!A:Q,14,FALSE)</f>
        <v>625</v>
      </c>
      <c r="I11" s="299">
        <f>SUM(G11-D11)</f>
        <v>-2.5139519115422786</v>
      </c>
      <c r="J11" s="300">
        <f>SUM(VLOOKUP(C11,'Raw - Business Survival'!A:Q,14,FALSE)-VLOOKUP(C11,'Raw - Business Survival'!A:Q,2,FALSE))</f>
        <v>-80</v>
      </c>
      <c r="K11" s="301">
        <f t="shared" si="1"/>
        <v>27.705627705627712</v>
      </c>
      <c r="L11" s="302">
        <f>IF(K11="","",IF($K$5="lgbf family group",SUM(MROUND(SUM(SUM(VLOOKUP(C$17,'Raw - Business Survival'!A:Q,16,FALSE)*VLOOKUP(C11,'Raw - Business Survival'!A:Q,15,FALSE))/100),100)-MROUND(SUM(SUM(VLOOKUP(C11,'Raw - Business Survival'!A:Q,16,FALSE)*VLOOKUP(C11,'Raw - Business Survival'!A:Q,15,FALSE))/100),100)),IF($K$5="Glasgow City Region",SUM(MROUND(SUM(SUM(VLOOKUP(C$18,'Raw - Business Survival'!A:Q,16,FALSE)*VLOOKUP(C11,'Raw - Business Survival'!A:Q,15,FALSE))/100),100)-MROUND(SUM(SUM(VLOOKUP(C11,'Raw - Business Survival'!A:Q,16,FALSE)*VLOOKUP(C11,'Raw - Business Survival'!A:Q,15,FALSE))/100),100)),IF($K$5="Scotland",SUM(MROUND(SUM(SUM(VLOOKUP(C$19,'Raw - Business Survival'!A:Q,16,FALSE)*VLOOKUP(C11,'Raw - Business Survival'!A:Q,15,FALSE))/100),100)-MROUND(SUM(SUM(VLOOKUP(C11,'Raw - Business Survival'!A:Q,16,FALSE)*VLOOKUP(C11,'Raw - Business Survival'!A:Q,15,FALSE))/100),100)),IF($K$5="United Kingdom",SUM(MROUND(SUM(SUM(VLOOKUP(C$20,'Raw - Business Survival'!A:Q,16,FALSE)*VLOOKUP(C11,'Raw - Business Survival'!A:Q,15,FALSE))/100),100)-MROUND(SUM(SUM(VLOOKUP(C11,'Raw - Business Survival'!A:Q,16,FALSE)*VLOOKUP(C11,'Raw - Business Survival'!A:Q,15,FALSE))/100),100)),SUM(MROUND(SUM(SUM(VLOOKUP(C$16,'Raw - Business Survival'!A:Q,16,FALSE)*VLOOKUP(C11,'Raw - Business Survival'!A:Q,15,FALSE))/100),100)-MROUND(SUM(SUM(VLOOKUP(C11,'Raw - Business Survival'!A:Q,16,FALSE)*VLOOKUP(C11,'Raw - Business Survival'!A:Q,15,FALSE))/100),100)))))))</f>
        <v>300</v>
      </c>
    </row>
    <row r="12" spans="2:12" ht="19.5" customHeight="1">
      <c r="B12" s="296" t="s">
        <v>249</v>
      </c>
      <c r="C12" s="296" t="s">
        <v>37</v>
      </c>
      <c r="D12" s="297">
        <f>VLOOKUP($C12,'Raw - Business Survival'!$A:$Q,4,FALSE)</f>
        <v>55.797101449275367</v>
      </c>
      <c r="E12" s="297">
        <f>VLOOKUP($C12,'Raw - Business Survival'!$A:$Q,8,FALSE)</f>
        <v>54.838709677419352</v>
      </c>
      <c r="F12" s="297">
        <f>VLOOKUP($C12,'Raw - Business Survival'!$A:$Q,12,FALSE)</f>
        <v>57.142857142857139</v>
      </c>
      <c r="G12" s="297">
        <f>VLOOKUP($C12,'Raw - Business Survival'!$A:$Q,16,FALSE)</f>
        <v>57.575757575757578</v>
      </c>
      <c r="H12" s="318">
        <f>VLOOKUP(C12,'Raw - Business Survival'!A:Q,14,FALSE)</f>
        <v>380</v>
      </c>
      <c r="I12" s="299">
        <f t="shared" si="0"/>
        <v>1.7786561264822112</v>
      </c>
      <c r="J12" s="300">
        <f>SUM(VLOOKUP(C12,'Raw - Business Survival'!A:Q,14,FALSE)-VLOOKUP(C12,'Raw - Business Survival'!A:Q,2,FALSE))</f>
        <v>-5</v>
      </c>
      <c r="K12" s="301">
        <f t="shared" si="1"/>
        <v>24.242424242424249</v>
      </c>
      <c r="L12" s="302">
        <f>IF(K12="","",IF($K$5="lgbf family group",SUM(MROUND(SUM(SUM(VLOOKUP(C$17,'Raw - Business Survival'!A:Q,16,FALSE)*VLOOKUP(C12,'Raw - Business Survival'!A:Q,15,FALSE))/100),100)-MROUND(SUM(SUM(VLOOKUP(C12,'Raw - Business Survival'!A:Q,16,FALSE)*VLOOKUP(C12,'Raw - Business Survival'!A:Q,15,FALSE))/100),100)),IF($K$5="Glasgow City Region",SUM(MROUND(SUM(SUM(VLOOKUP(C$18,'Raw - Business Survival'!A:Q,16,FALSE)*VLOOKUP(C12,'Raw - Business Survival'!A:Q,15,FALSE))/100),100)-MROUND(SUM(SUM(VLOOKUP(C12,'Raw - Business Survival'!A:Q,16,FALSE)*VLOOKUP(C12,'Raw - Business Survival'!A:Q,15,FALSE))/100),100)),IF($K$5="Scotland",SUM(MROUND(SUM(SUM(VLOOKUP(C$19,'Raw - Business Survival'!A:Q,16,FALSE)*VLOOKUP(C12,'Raw - Business Survival'!A:Q,15,FALSE))/100),100)-MROUND(SUM(SUM(VLOOKUP(C12,'Raw - Business Survival'!A:Q,16,FALSE)*VLOOKUP(C12,'Raw - Business Survival'!A:Q,15,FALSE))/100),100)),IF($K$5="United Kingdom",SUM(MROUND(SUM(SUM(VLOOKUP(C$20,'Raw - Business Survival'!A:Q,16,FALSE)*VLOOKUP(C12,'Raw - Business Survival'!A:Q,15,FALSE))/100),100)-MROUND(SUM(SUM(VLOOKUP(C12,'Raw - Business Survival'!A:Q,16,FALSE)*VLOOKUP(C12,'Raw - Business Survival'!A:Q,15,FALSE))/100),100)),SUM(MROUND(SUM(SUM(VLOOKUP(C$16,'Raw - Business Survival'!A:Q,16,FALSE)*VLOOKUP(C12,'Raw - Business Survival'!A:Q,15,FALSE))/100),100)-MROUND(SUM(SUM(VLOOKUP(C12,'Raw - Business Survival'!A:Q,16,FALSE)*VLOOKUP(C12,'Raw - Business Survival'!A:Q,15,FALSE))/100),100)))))))</f>
        <v>100</v>
      </c>
    </row>
    <row r="13" spans="2:12" ht="19.5" customHeight="1">
      <c r="B13" s="296" t="s">
        <v>249</v>
      </c>
      <c r="C13" s="296" t="s">
        <v>41</v>
      </c>
      <c r="D13" s="297">
        <f>VLOOKUP($C13,'Raw - Business Survival'!$A:$Q,4,FALSE)</f>
        <v>56.25</v>
      </c>
      <c r="E13" s="297">
        <f>VLOOKUP($C13,'Raw - Business Survival'!$A:$Q,8,FALSE)</f>
        <v>54.424778761061944</v>
      </c>
      <c r="F13" s="297">
        <f>VLOOKUP($C13,'Raw - Business Survival'!$A:$Q,12,FALSE)</f>
        <v>59.030837004405292</v>
      </c>
      <c r="G13" s="297">
        <f>VLOOKUP($C13,'Raw - Business Survival'!$A:$Q,16,FALSE)</f>
        <v>56.277056277056282</v>
      </c>
      <c r="H13" s="318">
        <f>VLOOKUP(C13,'Raw - Business Survival'!A:Q,14,FALSE)</f>
        <v>650</v>
      </c>
      <c r="I13" s="299">
        <f t="shared" si="0"/>
        <v>2.7056277056281886E-2</v>
      </c>
      <c r="J13" s="300">
        <f>SUM(VLOOKUP(C13,'Raw - Business Survival'!A:Q,14,FALSE)-VLOOKUP(C13,'Raw - Business Survival'!A:Q,2,FALSE))</f>
        <v>-25</v>
      </c>
      <c r="K13" s="301">
        <f t="shared" si="1"/>
        <v>25.541125541125545</v>
      </c>
      <c r="L13" s="302">
        <f>IF(K13="","",IF($K$5="lgbf family group",SUM(MROUND(SUM(SUM(VLOOKUP(C$17,'Raw - Business Survival'!A:Q,16,FALSE)*VLOOKUP(C13,'Raw - Business Survival'!A:Q,15,FALSE))/100),100)-MROUND(SUM(SUM(VLOOKUP(C13,'Raw - Business Survival'!A:Q,16,FALSE)*VLOOKUP(C13,'Raw - Business Survival'!A:Q,15,FALSE))/100),100)),IF($K$5="Glasgow City Region",SUM(MROUND(SUM(SUM(VLOOKUP(C$18,'Raw - Business Survival'!A:Q,16,FALSE)*VLOOKUP(C13,'Raw - Business Survival'!A:Q,15,FALSE))/100),100)-MROUND(SUM(SUM(VLOOKUP(C13,'Raw - Business Survival'!A:Q,16,FALSE)*VLOOKUP(C13,'Raw - Business Survival'!A:Q,15,FALSE))/100),100)),IF($K$5="Scotland",SUM(MROUND(SUM(SUM(VLOOKUP(C$19,'Raw - Business Survival'!A:Q,16,FALSE)*VLOOKUP(C13,'Raw - Business Survival'!A:Q,15,FALSE))/100),100)-MROUND(SUM(SUM(VLOOKUP(C13,'Raw - Business Survival'!A:Q,16,FALSE)*VLOOKUP(C13,'Raw - Business Survival'!A:Q,15,FALSE))/100),100)),IF($K$5="United Kingdom",SUM(MROUND(SUM(SUM(VLOOKUP(C$20,'Raw - Business Survival'!A:Q,16,FALSE)*VLOOKUP(C13,'Raw - Business Survival'!A:Q,15,FALSE))/100),100)-MROUND(SUM(SUM(VLOOKUP(C13,'Raw - Business Survival'!A:Q,16,FALSE)*VLOOKUP(C13,'Raw - Business Survival'!A:Q,15,FALSE))/100),100)),SUM(MROUND(SUM(SUM(VLOOKUP(C$16,'Raw - Business Survival'!A:Q,16,FALSE)*VLOOKUP(C13,'Raw - Business Survival'!A:Q,15,FALSE))/100),100)-MROUND(SUM(SUM(VLOOKUP(C13,'Raw - Business Survival'!A:Q,16,FALSE)*VLOOKUP(C13,'Raw - Business Survival'!A:Q,15,FALSE))/100),100)))))))</f>
        <v>200</v>
      </c>
    </row>
    <row r="14" spans="2:12" ht="19.5" customHeight="1">
      <c r="B14" s="296" t="s">
        <v>249</v>
      </c>
      <c r="C14" s="296" t="s">
        <v>43</v>
      </c>
      <c r="D14" s="297">
        <f>VLOOKUP($C14,'Raw - Business Survival'!$A:$Q,4,FALSE)</f>
        <v>55.172413793103445</v>
      </c>
      <c r="E14" s="297">
        <f>VLOOKUP($C14,'Raw - Business Survival'!$A:$Q,8,FALSE)</f>
        <v>52.941176470588239</v>
      </c>
      <c r="F14" s="297">
        <f>VLOOKUP($C14,'Raw - Business Survival'!$A:$Q,12,FALSE)</f>
        <v>54.716981132075468</v>
      </c>
      <c r="G14" s="297">
        <f>VLOOKUP($C14,'Raw - Business Survival'!$A:$Q,16,FALSE)</f>
        <v>43.75</v>
      </c>
      <c r="H14" s="318">
        <f>VLOOKUP(C14,'Raw - Business Survival'!A:Q,14,FALSE)</f>
        <v>140</v>
      </c>
      <c r="I14" s="299">
        <f t="shared" si="0"/>
        <v>-11.422413793103445</v>
      </c>
      <c r="J14" s="300">
        <f>SUM(VLOOKUP(C14,'Raw - Business Survival'!A:Q,14,FALSE)-VLOOKUP(C14,'Raw - Business Survival'!A:Q,2,FALSE))</f>
        <v>-20</v>
      </c>
      <c r="K14" s="301">
        <f t="shared" si="1"/>
        <v>38.068181818181827</v>
      </c>
      <c r="L14" s="302">
        <f>IF(K14="","",IF($K$5="lgbf family group",SUM(MROUND(SUM(SUM(VLOOKUP(C$17,'Raw - Business Survival'!A:Q,16,FALSE)*VLOOKUP(C14,'Raw - Business Survival'!A:Q,15,FALSE))/100),100)-MROUND(SUM(SUM(VLOOKUP(C14,'Raw - Business Survival'!A:Q,16,FALSE)*VLOOKUP(C14,'Raw - Business Survival'!A:Q,15,FALSE))/100),100)),IF($K$5="Glasgow City Region",SUM(MROUND(SUM(SUM(VLOOKUP(C$18,'Raw - Business Survival'!A:Q,16,FALSE)*VLOOKUP(C14,'Raw - Business Survival'!A:Q,15,FALSE))/100),100)-MROUND(SUM(SUM(VLOOKUP(C14,'Raw - Business Survival'!A:Q,16,FALSE)*VLOOKUP(C14,'Raw - Business Survival'!A:Q,15,FALSE))/100),100)),IF($K$5="Scotland",SUM(MROUND(SUM(SUM(VLOOKUP(C$19,'Raw - Business Survival'!A:Q,16,FALSE)*VLOOKUP(C14,'Raw - Business Survival'!A:Q,15,FALSE))/100),100)-MROUND(SUM(SUM(VLOOKUP(C14,'Raw - Business Survival'!A:Q,16,FALSE)*VLOOKUP(C14,'Raw - Business Survival'!A:Q,15,FALSE))/100),100)),IF($K$5="United Kingdom",SUM(MROUND(SUM(SUM(VLOOKUP(C$20,'Raw - Business Survival'!A:Q,16,FALSE)*VLOOKUP(C14,'Raw - Business Survival'!A:Q,15,FALSE))/100),100)-MROUND(SUM(SUM(VLOOKUP(C14,'Raw - Business Survival'!A:Q,16,FALSE)*VLOOKUP(C14,'Raw - Business Survival'!A:Q,15,FALSE))/100),100)),SUM(MROUND(SUM(SUM(VLOOKUP(C$16,'Raw - Business Survival'!A:Q,16,FALSE)*VLOOKUP(C14,'Raw - Business Survival'!A:Q,15,FALSE))/100),100)-MROUND(SUM(SUM(VLOOKUP(C14,'Raw - Business Survival'!A:Q,16,FALSE)*VLOOKUP(C14,'Raw - Business Survival'!A:Q,15,FALSE))/100),100)))))))</f>
        <v>200</v>
      </c>
    </row>
    <row r="15" spans="2:12" ht="19.5" customHeight="1">
      <c r="B15" s="303"/>
      <c r="C15" s="303"/>
      <c r="D15" s="304"/>
      <c r="E15" s="304"/>
      <c r="F15" s="304"/>
      <c r="G15" s="304"/>
      <c r="H15" s="304"/>
      <c r="I15" s="306"/>
      <c r="J15" s="306"/>
      <c r="K15" s="306"/>
      <c r="L15" s="306"/>
    </row>
    <row r="16" spans="2:12" ht="19.5" customHeight="1">
      <c r="B16" s="307" t="s">
        <v>51</v>
      </c>
      <c r="C16" s="296" t="str">
        <f>INDEX('Raw - Business Survival'!$A$9:$A$41,MATCH(MAX('Raw - Business Survival'!P9:P41),'Raw - Business Survival'!P9:P41,0))</f>
        <v>Shetland Islands</v>
      </c>
      <c r="D16" s="297">
        <f>VLOOKUP($C16,'Raw - Business Survival'!$A:$Q,4,FALSE)</f>
        <v>64.705882352941174</v>
      </c>
      <c r="E16" s="297">
        <f>VLOOKUP($C16,'Raw - Business Survival'!$A:$Q,8,FALSE)</f>
        <v>62.5</v>
      </c>
      <c r="F16" s="297">
        <f>VLOOKUP($C16,'Raw - Business Survival'!$A:$Q,12,FALSE)</f>
        <v>71.428571428571431</v>
      </c>
      <c r="G16" s="297">
        <f>VLOOKUP($C16,'Raw - Business Survival'!$A:$Q,16,FALSE)</f>
        <v>81.818181818181827</v>
      </c>
      <c r="H16" s="318">
        <f>VLOOKUP(C16,'Raw - Business Survival'!A:Q,14,FALSE)</f>
        <v>45</v>
      </c>
      <c r="I16" s="299">
        <f>SUM(G16-D16)</f>
        <v>17.112299465240653</v>
      </c>
      <c r="J16" s="300">
        <f>SUM(VLOOKUP(C16,'Raw - Business Survival'!A:Q,14,FALSE)-VLOOKUP(C16,'Raw - Business Survival'!A:Q,2,FALSE))</f>
        <v>-10</v>
      </c>
    </row>
    <row r="17" spans="2:12" ht="19.5" customHeight="1">
      <c r="B17" s="307" t="s">
        <v>542</v>
      </c>
      <c r="C17" s="308" t="s">
        <v>546</v>
      </c>
      <c r="D17" s="297">
        <f>VLOOKUP($C17,'Raw - Business Survival'!$A:$Q,4,FALSE)</f>
        <v>56.975560081466391</v>
      </c>
      <c r="E17" s="297">
        <f>VLOOKUP($C17,'Raw - Business Survival'!$A:$Q,8,FALSE)</f>
        <v>56.755260243632335</v>
      </c>
      <c r="F17" s="297">
        <f>VLOOKUP($C17,'Raw - Business Survival'!$A:$Q,12,FALSE)</f>
        <v>57.454942654287279</v>
      </c>
      <c r="G17" s="297">
        <f>VLOOKUP($C17,'Raw - Business Survival'!$A:$Q,16,FALSE)</f>
        <v>56.907216494845358</v>
      </c>
      <c r="H17" s="318">
        <f>VLOOKUP(C17,'Raw - Business Survival'!A:Q,14,FALSE)</f>
        <v>5520</v>
      </c>
      <c r="I17" s="299">
        <f>SUM(G17-D17)</f>
        <v>-6.8343586621033126E-2</v>
      </c>
      <c r="J17" s="300">
        <f>SUM(VLOOKUP(C17,'Raw - Business Survival'!A:Q,14,FALSE)-VLOOKUP(C17,'Raw - Business Survival'!A:Q,2,FALSE))</f>
        <v>-75</v>
      </c>
    </row>
    <row r="18" spans="2:12" ht="19.5" customHeight="1">
      <c r="B18" s="307" t="s">
        <v>250</v>
      </c>
      <c r="C18" s="296" t="s">
        <v>47</v>
      </c>
      <c r="D18" s="297">
        <f>VLOOKUP($C18,'Raw - Business Survival'!$A:$Q,4,FALSE)</f>
        <v>55.896069287141906</v>
      </c>
      <c r="E18" s="297">
        <f>VLOOKUP($C18,'Raw - Business Survival'!$A:$Q,8,FALSE)</f>
        <v>54.841040462427749</v>
      </c>
      <c r="F18" s="297">
        <f>VLOOKUP($C18,'Raw - Business Survival'!$A:$Q,12,FALSE)</f>
        <v>56.986100950987563</v>
      </c>
      <c r="G18" s="297">
        <f>VLOOKUP($C18,'Raw - Business Survival'!$A:$Q,16,FALSE)</f>
        <v>56.22057834566241</v>
      </c>
      <c r="H18" s="318">
        <f>VLOOKUP(C18,'Raw - Business Survival'!A:Q,14,FALSE)</f>
        <v>4180</v>
      </c>
      <c r="I18" s="299">
        <f>SUM(G18-D18)</f>
        <v>0.32450905852050482</v>
      </c>
      <c r="J18" s="300">
        <f>SUM(VLOOKUP(C18,'Raw - Business Survival'!A:Q,14,FALSE)-VLOOKUP(C18,'Raw - Business Survival'!A:Q,2,FALSE))</f>
        <v>-15</v>
      </c>
    </row>
    <row r="19" spans="2:12" ht="19.5" customHeight="1">
      <c r="B19" s="307" t="s">
        <v>251</v>
      </c>
      <c r="C19" s="296" t="s">
        <v>45</v>
      </c>
      <c r="D19" s="297">
        <f>VLOOKUP($C19,'Raw - Business Survival'!$A:$Q,4,FALSE)</f>
        <v>58.722014925373131</v>
      </c>
      <c r="E19" s="297">
        <f>VLOOKUP($C19,'Raw - Business Survival'!$A:$Q,8,FALSE)</f>
        <v>58.453010833963212</v>
      </c>
      <c r="F19" s="297">
        <f>VLOOKUP($C19,'Raw - Business Survival'!$A:$Q,12,FALSE)</f>
        <v>58.970438328236497</v>
      </c>
      <c r="G19" s="297">
        <f>VLOOKUP($C19,'Raw - Business Survival'!$A:$Q,16,FALSE)</f>
        <v>57.398452611218566</v>
      </c>
      <c r="H19" s="318">
        <f>VLOOKUP(C19,'Raw - Business Survival'!A:Q,14,FALSE)</f>
        <v>11870</v>
      </c>
      <c r="I19" s="299">
        <f>SUM(G19-D19)</f>
        <v>-1.3235623141545645</v>
      </c>
      <c r="J19" s="300">
        <f>SUM(VLOOKUP(C19,'Raw - Business Survival'!A:Q,14,FALSE)-VLOOKUP(C19,'Raw - Business Survival'!A:Q,2,FALSE))</f>
        <v>-720</v>
      </c>
    </row>
    <row r="20" spans="2:12" ht="19.5" customHeight="1">
      <c r="B20" s="307" t="s">
        <v>251</v>
      </c>
      <c r="C20" s="296" t="s">
        <v>46</v>
      </c>
      <c r="D20" s="297">
        <f>VLOOKUP($C20,'Raw - Business Survival'!$A:$Q,4,FALSE)</f>
        <v>54.103989535644217</v>
      </c>
      <c r="E20" s="297">
        <f>VLOOKUP($C20,'Raw - Business Survival'!$A:$Q,8,FALSE)</f>
        <v>56.139760994129929</v>
      </c>
      <c r="F20" s="297">
        <f>VLOOKUP($C20,'Raw - Business Survival'!$A:$Q,12,FALSE)</f>
        <v>57.553853655738173</v>
      </c>
      <c r="G20" s="297">
        <f>VLOOKUP($C20,'Raw - Business Survival'!$A:$Q,16,FALSE)</f>
        <v>55.925238782381633</v>
      </c>
      <c r="H20" s="318">
        <f>VLOOKUP(C20,'Raw - Business Survival'!A:Q,14,FALSE)</f>
        <v>203470</v>
      </c>
      <c r="I20" s="299">
        <f>SUM(G20-D20)</f>
        <v>1.8212492467374162</v>
      </c>
      <c r="J20" s="300">
        <f>SUM(VLOOKUP(C20,'Raw - Business Survival'!A:Q,14,FALSE)-VLOOKUP(C20,'Raw - Business Survival'!A:Q,2,FALSE))</f>
        <v>-11615</v>
      </c>
    </row>
    <row r="21" spans="2:12" ht="19.5" customHeight="1">
      <c r="C21" s="309"/>
      <c r="D21" s="310"/>
      <c r="E21" s="310"/>
      <c r="F21" s="310"/>
      <c r="G21" s="310"/>
      <c r="H21" s="310"/>
      <c r="I21" s="310"/>
      <c r="J21" s="310"/>
      <c r="K21" s="310"/>
      <c r="L21" s="310"/>
    </row>
    <row r="22" spans="2:12">
      <c r="D22" s="311"/>
      <c r="E22" s="311"/>
      <c r="F22" s="311"/>
      <c r="G22" s="312" t="str">
        <f>CONCATENATE(H22,I22)</f>
        <v>Volume Change Required to match Geographic Area - Top Performing Scottish Local Authority</v>
      </c>
      <c r="H22" s="312" t="s">
        <v>519</v>
      </c>
      <c r="I22" s="312" t="str">
        <f>K5</f>
        <v>Top Performing Scottish Local Authority</v>
      </c>
    </row>
    <row r="23" spans="2:12">
      <c r="B23" s="313" t="s">
        <v>467</v>
      </c>
    </row>
    <row r="24" spans="2:12">
      <c r="I24" s="314"/>
      <c r="J24" s="314"/>
      <c r="K24" s="314"/>
      <c r="L24" s="311"/>
    </row>
  </sheetData>
  <sheetProtection algorithmName="SHA-512" hashValue="re0NIdBB29i77SwZ76Q02OGgKwh2vK1dvxJy0OGcKHyZf29vpvQS03VYA19RgQ1RF/u27BIycm7Kj7+j0MNCgA==" saltValue="ezWt3/tAiH4NrT4o7x3kWA==" spinCount="100000" sheet="1" objects="1" scenarios="1"/>
  <autoFilter ref="C6:L14" xr:uid="{00000000-0009-0000-0000-000031000000}">
    <sortState xmlns:xlrd2="http://schemas.microsoft.com/office/spreadsheetml/2017/richdata2" ref="B7:I14">
      <sortCondition descending="1" ref="H6"/>
    </sortState>
  </autoFilter>
  <mergeCells count="4">
    <mergeCell ref="K4:L4"/>
    <mergeCell ref="I5:J5"/>
    <mergeCell ref="K5:L5"/>
    <mergeCell ref="G2:H2"/>
  </mergeCells>
  <dataValidations count="1">
    <dataValidation type="list" allowBlank="1" showInputMessage="1" showErrorMessage="1" sqref="C17" xr:uid="{00000000-0002-0000-3100-000000000000}">
      <formula1>IF(B17="LGBF Family Group 1",LGBF_5,IF(B17="LGBF Family Group 3",LGBF_7,IF(B17="LGBF Family Group 4",LGBF_8,LGBF_6)))</formula1>
    </dataValidation>
  </dataValidations>
  <hyperlinks>
    <hyperlink ref="G2:H2" location="'Index RAG'!A1" display="Return to Index RAG" xr:uid="{00000000-0004-0000-3100-000001000000}"/>
    <hyperlink ref="C3" r:id="rId1" xr:uid="{A6EA02BA-E0A2-4795-AD43-F554EED3B3F9}"/>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100-000001000000}">
          <x14:formula1>
            <xm:f>Lookups!$L$8:$O$8</xm:f>
          </x14:formula1>
          <xm:sqref>B17</xm:sqref>
        </x14:dataValidation>
        <x14:dataValidation type="list" allowBlank="1" showInputMessage="1" showErrorMessage="1" xr:uid="{00000000-0002-0000-3100-000002000000}">
          <x14:formula1>
            <xm:f>Lookups!$B$3:$B$7</xm:f>
          </x14:formula1>
          <xm:sqref>K5:L5</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82544-5227-432A-8111-831ACDD9DD40}">
  <sheetPr>
    <pageSetUpPr autoPageBreaks="0"/>
  </sheetPr>
  <dimension ref="B2:M24"/>
  <sheetViews>
    <sheetView zoomScale="90" zoomScaleNormal="90" workbookViewId="0">
      <selection activeCell="H9" sqref="H9"/>
    </sheetView>
  </sheetViews>
  <sheetFormatPr defaultColWidth="9.1796875" defaultRowHeight="12"/>
  <cols>
    <col min="1" max="1" width="9.1796875" style="251"/>
    <col min="2" max="2" width="31.81640625" style="251" customWidth="1"/>
    <col min="3" max="3" width="24" style="251" customWidth="1" collapsed="1"/>
    <col min="4" max="8" width="14" style="251" customWidth="1" collapsed="1"/>
    <col min="9" max="13" width="14" style="251" customWidth="1"/>
    <col min="14" max="16384" width="9.1796875" style="251"/>
  </cols>
  <sheetData>
    <row r="2" spans="2:12" ht="13">
      <c r="B2" s="286" t="s">
        <v>48</v>
      </c>
      <c r="C2" s="287" t="s">
        <v>614</v>
      </c>
      <c r="G2" s="595" t="s">
        <v>507</v>
      </c>
      <c r="H2" s="596"/>
    </row>
    <row r="3" spans="2:12" ht="13">
      <c r="B3" s="286" t="s">
        <v>49</v>
      </c>
      <c r="C3" s="288" t="s">
        <v>288</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2019</v>
      </c>
      <c r="E6" s="294">
        <v>2020</v>
      </c>
      <c r="F6" s="294">
        <v>2021</v>
      </c>
      <c r="G6" s="294">
        <v>2022</v>
      </c>
      <c r="H6" s="294" t="s">
        <v>613</v>
      </c>
      <c r="I6" s="295" t="s">
        <v>53</v>
      </c>
      <c r="J6" s="295" t="s">
        <v>54</v>
      </c>
      <c r="K6" s="295" t="s">
        <v>56</v>
      </c>
      <c r="L6" s="295" t="s">
        <v>57</v>
      </c>
    </row>
    <row r="7" spans="2:12" ht="19.5" customHeight="1">
      <c r="B7" s="296" t="s">
        <v>249</v>
      </c>
      <c r="C7" s="296" t="s">
        <v>22</v>
      </c>
      <c r="D7" s="297">
        <f>VLOOKUP($C7,'Raw - Emissions Pop'!$A:$R,4,FALSE)</f>
        <v>4.4069616601155381</v>
      </c>
      <c r="E7" s="297">
        <f>VLOOKUP($C7,'Raw - Emissions Pop'!$A:$R,8,FALSE)</f>
        <v>4.0062160895247994</v>
      </c>
      <c r="F7" s="297">
        <f>VLOOKUP($C7,'Raw - Emissions Pop'!$A:$R,12,FALSE)</f>
        <v>4.3465444828364612</v>
      </c>
      <c r="G7" s="297">
        <f>VLOOKUP($C7,'Raw - Emissions Pop'!$A:$R,16,FALSE)</f>
        <v>3.9715435147380318</v>
      </c>
      <c r="H7" s="298">
        <f>VLOOKUP(C7,'Raw - Emissions Pop'!A:R,14,FALSE)</f>
        <v>432.81881223615073</v>
      </c>
      <c r="I7" s="299">
        <f t="shared" ref="I7:I14" si="0">SUM(G7-D7)</f>
        <v>-0.43541814537750634</v>
      </c>
      <c r="J7" s="321">
        <f>SUM(VLOOKUP(C7,'Raw - Emissions Pop'!A:R,14,FALSE)-VLOOKUP(C7,'Raw - Emissions Pop'!A:R,2,FALSE))</f>
        <v>-43.773621875792685</v>
      </c>
      <c r="K7" s="301">
        <f t="shared" ref="K7:K14" si="1">IF(IF($K$5="LGBF FAMILY GROUP",SUM(G$17-G7),IF($K$5="Glasgow City Region",SUM(G$18-G7),IF($K$5="Scotland",SUM(G$19-G7),IF($K$5="United Kingdom",SUM(G$20-G7),SUM(G$16-G7)))))&gt;0,"",IF($K$5="LGBF FAMILY GROUP",SUM(G$17-G7),IF($K$5="Glasgow City Region",SUM(G$18-G7),IF($K$5="Scotland",SUM(G$19-G7),IF($K$5="United Kingdom",SUM(G$20-G7),SUM(G$16-G7))))))</f>
        <v>-0.1840344097864981</v>
      </c>
      <c r="L7" s="302">
        <f>IF(K7="","",IF($K$5="LGBF FAMILY GROUP",SUM(MROUND(SUM(SUM(VLOOKUP(C$17,'Raw - Emissions Pop'!A:R,16,FALSE)*VLOOKUP(C7,'Raw - Emissions Pop'!A:R,15,FALSE))),100)-MROUND(SUM(SUM(VLOOKUP(C7,'Raw - Emissions Pop'!A:R,16,FALSE)*VLOOKUP(C7,'Raw - Emissions Pop'!A:R,15,FALSE))),100)),IF($K$5="Glasgow City Region",SUM(MROUND(SUM(SUM(VLOOKUP(C$18,'Raw - Emissions Pop'!A:R,16,FALSE)*VLOOKUP(C7,'Raw - Emissions Pop'!A:R,15,FALSE))),100)-MROUND(SUM(SUM(VLOOKUP(C7,'Raw - Emissions Pop'!A:R,16,FALSE)*VLOOKUP(C7,'Raw - Emissions Pop'!A:R,15,FALSE))),100)),IF($K$5="Scotland",SUM(MROUND(SUM(SUM(VLOOKUP(C$19,'Raw - Emissions Pop'!A:R,16,FALSE)*VLOOKUP(C7,'Raw - Emissions Pop'!A:R,15,FALSE))),100)-MROUND(SUM(SUM(VLOOKUP(C7,'Raw - Emissions Pop'!A:R,16,FALSE)*VLOOKUP(C7,'Raw - Emissions Pop'!A:R,15,FALSE))),100)),IF($K$5="United Kingdom",SUM(MROUND(SUM(SUM(VLOOKUP(C$20,'Raw - Emissions Pop'!A:R,16,FALSE)*VLOOKUP(C7,'Raw - Emissions Pop'!A:R,15,FALSE))),100)-MROUND(SUM(SUM(VLOOKUP(C7,'Raw - Emissions Pop'!A:R,16,FALSE)*VLOOKUP(C7,'Raw - Emissions Pop'!A:R,15,FALSE))),100)),SUM(MROUND(SUM(SUM(VLOOKUP(C$16,'Raw - Emissions Pop'!A:R,16,FALSE)*VLOOKUP(C7,'Raw - Emissions Pop'!A:R,15,FALSE))),100)-MROUND(SUM(SUM(VLOOKUP(C7,'Raw - Emissions Pop'!A:R,16,FALSE)*VLOOKUP(C7,'Raw - Emissions Pop'!A:R,15,FALSE))),100)))))))</f>
        <v>0</v>
      </c>
    </row>
    <row r="8" spans="2:12" ht="19.5" customHeight="1">
      <c r="B8" s="296" t="s">
        <v>249</v>
      </c>
      <c r="C8" s="296" t="s">
        <v>24</v>
      </c>
      <c r="D8" s="297">
        <f>VLOOKUP($C8,'Raw - Emissions Pop'!$A:$R,4,FALSE)</f>
        <v>4.62652881820331</v>
      </c>
      <c r="E8" s="297">
        <f>VLOOKUP($C8,'Raw - Emissions Pop'!$A:$R,8,FALSE)</f>
        <v>4.1485722931503224</v>
      </c>
      <c r="F8" s="297">
        <f>VLOOKUP($C8,'Raw - Emissions Pop'!$A:$R,12,FALSE)</f>
        <v>4.5100887213577305</v>
      </c>
      <c r="G8" s="297">
        <f>VLOOKUP($C8,'Raw - Emissions Pop'!$A:$R,16,FALSE)</f>
        <v>4.2135421318530453</v>
      </c>
      <c r="H8" s="298">
        <f>VLOOKUP(C8,'Raw - Emissions Pop'!A:R,14,FALSE)</f>
        <v>409.38775353084191</v>
      </c>
      <c r="I8" s="299">
        <f t="shared" si="0"/>
        <v>-0.4129866863502647</v>
      </c>
      <c r="J8" s="321">
        <f>SUM(VLOOKUP(C8,'Raw - Emissions Pop'!A:R,14,FALSE)-VLOOKUP(C8,'Raw - Emissions Pop'!A:R,2,FALSE))</f>
        <v>-31.419322939156871</v>
      </c>
      <c r="K8" s="301">
        <f t="shared" si="1"/>
        <v>-0.42603302690151157</v>
      </c>
      <c r="L8" s="302">
        <f>IF(K8="","",IF($K$5="LGBF FAMILY GROUP",SUM(MROUND(SUM(SUM(VLOOKUP(C$17,'Raw - Emissions Pop'!A:R,16,FALSE)*VLOOKUP(C8,'Raw - Emissions Pop'!A:R,15,FALSE))),100)-MROUND(SUM(SUM(VLOOKUP(C8,'Raw - Emissions Pop'!A:R,16,FALSE)*VLOOKUP(C8,'Raw - Emissions Pop'!A:R,15,FALSE))),100)),IF($K$5="Glasgow City Region",SUM(MROUND(SUM(SUM(VLOOKUP(C$18,'Raw - Emissions Pop'!A:R,16,FALSE)*VLOOKUP(C8,'Raw - Emissions Pop'!A:R,15,FALSE))),100)-MROUND(SUM(SUM(VLOOKUP(C8,'Raw - Emissions Pop'!A:R,16,FALSE)*VLOOKUP(C8,'Raw - Emissions Pop'!A:R,15,FALSE))),100)),IF($K$5="Scotland",SUM(MROUND(SUM(SUM(VLOOKUP(C$19,'Raw - Emissions Pop'!A:R,16,FALSE)*VLOOKUP(C8,'Raw - Emissions Pop'!A:R,15,FALSE))),100)-MROUND(SUM(SUM(VLOOKUP(C8,'Raw - Emissions Pop'!A:R,16,FALSE)*VLOOKUP(C8,'Raw - Emissions Pop'!A:R,15,FALSE))),100)),IF($K$5="United Kingdom",SUM(MROUND(SUM(SUM(VLOOKUP(C$20,'Raw - Emissions Pop'!A:R,16,FALSE)*VLOOKUP(C8,'Raw - Emissions Pop'!A:R,15,FALSE))),100)-MROUND(SUM(SUM(VLOOKUP(C8,'Raw - Emissions Pop'!A:R,16,FALSE)*VLOOKUP(C8,'Raw - Emissions Pop'!A:R,15,FALSE))),100)),SUM(MROUND(SUM(SUM(VLOOKUP(C$16,'Raw - Emissions Pop'!A:R,16,FALSE)*VLOOKUP(C8,'Raw - Emissions Pop'!A:R,15,FALSE))),100)-MROUND(SUM(SUM(VLOOKUP(C8,'Raw - Emissions Pop'!A:R,16,FALSE)*VLOOKUP(C8,'Raw - Emissions Pop'!A:R,15,FALSE))),100)))))))</f>
        <v>0</v>
      </c>
    </row>
    <row r="9" spans="2:12" ht="19.5" customHeight="1">
      <c r="B9" s="296" t="s">
        <v>249</v>
      </c>
      <c r="C9" s="296" t="s">
        <v>27</v>
      </c>
      <c r="D9" s="297">
        <f>VLOOKUP($C9,'Raw - Emissions Pop'!$A:$R,4,FALSE)</f>
        <v>4.5747480878186533</v>
      </c>
      <c r="E9" s="297">
        <f>VLOOKUP($C9,'Raw - Emissions Pop'!$A:$R,8,FALSE)</f>
        <v>3.9140106873898879</v>
      </c>
      <c r="F9" s="297">
        <f>VLOOKUP($C9,'Raw - Emissions Pop'!$A:$R,12,FALSE)</f>
        <v>4.3509086740333558</v>
      </c>
      <c r="G9" s="297">
        <f>VLOOKUP($C9,'Raw - Emissions Pop'!$A:$R,16,FALSE)</f>
        <v>4.1855885634069478</v>
      </c>
      <c r="H9" s="298">
        <f>VLOOKUP(C9,'Raw - Emissions Pop'!A:R,14,FALSE)</f>
        <v>2606.8682690611154</v>
      </c>
      <c r="I9" s="299">
        <f>SUM(G9-D9)</f>
        <v>-0.38915952441170543</v>
      </c>
      <c r="J9" s="321">
        <f>SUM(VLOOKUP(C9,'Raw - Emissions Pop'!A:R,14,FALSE)-VLOOKUP(C9,'Raw - Emissions Pop'!A:R,2,FALSE))</f>
        <v>-267.37508540002409</v>
      </c>
      <c r="K9" s="301">
        <f t="shared" si="1"/>
        <v>-0.39807945845541415</v>
      </c>
      <c r="L9" s="302">
        <f>IF(K9="","",IF($K$5="LGBF FAMILY GROUP",SUM(MROUND(SUM(SUM(VLOOKUP(C$17,'Raw - Emissions Pop'!A:R,16,FALSE)*VLOOKUP(C9,'Raw - Emissions Pop'!A:R,15,FALSE))),100)-MROUND(SUM(SUM(VLOOKUP(C9,'Raw - Emissions Pop'!A:R,16,FALSE)*VLOOKUP(C9,'Raw - Emissions Pop'!A:R,15,FALSE))),100)),IF($K$5="Glasgow City Region",SUM(MROUND(SUM(SUM(VLOOKUP(C$18,'Raw - Emissions Pop'!A:R,16,FALSE)*VLOOKUP(C9,'Raw - Emissions Pop'!A:R,15,FALSE))),100)-MROUND(SUM(SUM(VLOOKUP(C9,'Raw - Emissions Pop'!A:R,16,FALSE)*VLOOKUP(C9,'Raw - Emissions Pop'!A:R,15,FALSE))),100)),IF($K$5="Scotland",SUM(MROUND(SUM(SUM(VLOOKUP(C$19,'Raw - Emissions Pop'!A:R,16,FALSE)*VLOOKUP(C9,'Raw - Emissions Pop'!A:R,15,FALSE))),100)-MROUND(SUM(SUM(VLOOKUP(C9,'Raw - Emissions Pop'!A:R,16,FALSE)*VLOOKUP(C9,'Raw - Emissions Pop'!A:R,15,FALSE))),100)),IF($K$5="United Kingdom",SUM(MROUND(SUM(SUM(VLOOKUP(C$20,'Raw - Emissions Pop'!A:R,16,FALSE)*VLOOKUP(C9,'Raw - Emissions Pop'!A:R,15,FALSE))),100)-MROUND(SUM(SUM(VLOOKUP(C9,'Raw - Emissions Pop'!A:R,16,FALSE)*VLOOKUP(C9,'Raw - Emissions Pop'!A:R,15,FALSE))),100)),SUM(MROUND(SUM(SUM(VLOOKUP(C$16,'Raw - Emissions Pop'!A:R,16,FALSE)*VLOOKUP(C9,'Raw - Emissions Pop'!A:R,15,FALSE))),100)-MROUND(SUM(SUM(VLOOKUP(C9,'Raw - Emissions Pop'!A:R,16,FALSE)*VLOOKUP(C9,'Raw - Emissions Pop'!A:R,15,FALSE))),100)))))))</f>
        <v>-200</v>
      </c>
    </row>
    <row r="10" spans="2:12" ht="19.5" customHeight="1">
      <c r="B10" s="296" t="s">
        <v>249</v>
      </c>
      <c r="C10" s="296" t="s">
        <v>29</v>
      </c>
      <c r="D10" s="297">
        <f>VLOOKUP($C10,'Raw - Emissions Pop'!$A:$R,4,FALSE)</f>
        <v>4.411477715154275</v>
      </c>
      <c r="E10" s="297">
        <f>VLOOKUP($C10,'Raw - Emissions Pop'!$A:$R,8,FALSE)</f>
        <v>4.2828379537529786</v>
      </c>
      <c r="F10" s="297">
        <f>VLOOKUP($C10,'Raw - Emissions Pop'!$A:$R,12,FALSE)</f>
        <v>4.5426081393760009</v>
      </c>
      <c r="G10" s="297">
        <f>VLOOKUP($C10,'Raw - Emissions Pop'!$A:$R,16,FALSE)</f>
        <v>4.0635082609166178</v>
      </c>
      <c r="H10" s="298">
        <f>VLOOKUP(C10,'Raw - Emissions Pop'!A:R,14,FALSE)</f>
        <v>318.33523716020784</v>
      </c>
      <c r="I10" s="299">
        <f t="shared" si="0"/>
        <v>-0.34796945423765724</v>
      </c>
      <c r="J10" s="321">
        <f>SUM(VLOOKUP(C10,'Raw - Emissions Pop'!A:R,14,FALSE)-VLOOKUP(C10,'Raw - Emissions Pop'!A:R,2,FALSE))</f>
        <v>-24.358449301995677</v>
      </c>
      <c r="K10" s="301">
        <f t="shared" si="1"/>
        <v>-0.27599915596508406</v>
      </c>
      <c r="L10" s="302">
        <f>IF(K10="","",IF($K$5="LGBF FAMILY GROUP",SUM(MROUND(SUM(SUM(VLOOKUP(C$17,'Raw - Emissions Pop'!A:R,16,FALSE)*VLOOKUP(C10,'Raw - Emissions Pop'!A:R,15,FALSE))),100)-MROUND(SUM(SUM(VLOOKUP(C10,'Raw - Emissions Pop'!A:R,16,FALSE)*VLOOKUP(C10,'Raw - Emissions Pop'!A:R,15,FALSE))),100)),IF($K$5="Glasgow City Region",SUM(MROUND(SUM(SUM(VLOOKUP(C$18,'Raw - Emissions Pop'!A:R,16,FALSE)*VLOOKUP(C10,'Raw - Emissions Pop'!A:R,15,FALSE))),100)-MROUND(SUM(SUM(VLOOKUP(C10,'Raw - Emissions Pop'!A:R,16,FALSE)*VLOOKUP(C10,'Raw - Emissions Pop'!A:R,15,FALSE))),100)),IF($K$5="Scotland",SUM(MROUND(SUM(SUM(VLOOKUP(C$19,'Raw - Emissions Pop'!A:R,16,FALSE)*VLOOKUP(C10,'Raw - Emissions Pop'!A:R,15,FALSE))),100)-MROUND(SUM(SUM(VLOOKUP(C10,'Raw - Emissions Pop'!A:R,16,FALSE)*VLOOKUP(C10,'Raw - Emissions Pop'!A:R,15,FALSE))),100)),IF($K$5="United Kingdom",SUM(MROUND(SUM(SUM(VLOOKUP(C$20,'Raw - Emissions Pop'!A:R,16,FALSE)*VLOOKUP(C10,'Raw - Emissions Pop'!A:R,15,FALSE))),100)-MROUND(SUM(SUM(VLOOKUP(C10,'Raw - Emissions Pop'!A:R,16,FALSE)*VLOOKUP(C10,'Raw - Emissions Pop'!A:R,15,FALSE))),100)),SUM(MROUND(SUM(SUM(VLOOKUP(C$16,'Raw - Emissions Pop'!A:R,16,FALSE)*VLOOKUP(C10,'Raw - Emissions Pop'!A:R,15,FALSE))),100)-MROUND(SUM(SUM(VLOOKUP(C10,'Raw - Emissions Pop'!A:R,16,FALSE)*VLOOKUP(C10,'Raw - Emissions Pop'!A:R,15,FALSE))),100)))))))</f>
        <v>0</v>
      </c>
    </row>
    <row r="11" spans="2:12" ht="19.5" customHeight="1">
      <c r="B11" s="296" t="s">
        <v>249</v>
      </c>
      <c r="C11" s="296" t="s">
        <v>34</v>
      </c>
      <c r="D11" s="297">
        <f>VLOOKUP($C11,'Raw - Emissions Pop'!$A:$R,4,FALSE)</f>
        <v>6.0268211200081456</v>
      </c>
      <c r="E11" s="297">
        <f>VLOOKUP($C11,'Raw - Emissions Pop'!$A:$R,8,FALSE)</f>
        <v>5.1793026301338871</v>
      </c>
      <c r="F11" s="297">
        <f>VLOOKUP($C11,'Raw - Emissions Pop'!$A:$R,12,FALSE)</f>
        <v>5.6306935503349864</v>
      </c>
      <c r="G11" s="297">
        <f>VLOOKUP($C11,'Raw - Emissions Pop'!$A:$R,16,FALSE)</f>
        <v>5.4504275380391984</v>
      </c>
      <c r="H11" s="298">
        <f>VLOOKUP(C11,'Raw - Emissions Pop'!A:R,14,FALSE)</f>
        <v>1858.2142605437041</v>
      </c>
      <c r="I11" s="299">
        <f t="shared" si="0"/>
        <v>-0.57639358196894719</v>
      </c>
      <c r="J11" s="321">
        <f>SUM(VLOOKUP(C11,'Raw - Emissions Pop'!A:R,14,FALSE)-VLOOKUP(C11,'Raw - Emissions Pop'!A:R,2,FALSE))</f>
        <v>-198.00222053846323</v>
      </c>
      <c r="K11" s="301">
        <f t="shared" si="1"/>
        <v>-1.6629184330876647</v>
      </c>
      <c r="L11" s="302">
        <f>IF(K11="","",IF($K$5="LGBF FAMILY GROUP",SUM(MROUND(SUM(SUM(VLOOKUP(C$17,'Raw - Emissions Pop'!A:R,16,FALSE)*VLOOKUP(C11,'Raw - Emissions Pop'!A:R,15,FALSE))),100)-MROUND(SUM(SUM(VLOOKUP(C11,'Raw - Emissions Pop'!A:R,16,FALSE)*VLOOKUP(C11,'Raw - Emissions Pop'!A:R,15,FALSE))),100)),IF($K$5="Glasgow City Region",SUM(MROUND(SUM(SUM(VLOOKUP(C$18,'Raw - Emissions Pop'!A:R,16,FALSE)*VLOOKUP(C11,'Raw - Emissions Pop'!A:R,15,FALSE))),100)-MROUND(SUM(SUM(VLOOKUP(C11,'Raw - Emissions Pop'!A:R,16,FALSE)*VLOOKUP(C11,'Raw - Emissions Pop'!A:R,15,FALSE))),100)),IF($K$5="Scotland",SUM(MROUND(SUM(SUM(VLOOKUP(C$19,'Raw - Emissions Pop'!A:R,16,FALSE)*VLOOKUP(C11,'Raw - Emissions Pop'!A:R,15,FALSE))),100)-MROUND(SUM(SUM(VLOOKUP(C11,'Raw - Emissions Pop'!A:R,16,FALSE)*VLOOKUP(C11,'Raw - Emissions Pop'!A:R,15,FALSE))),100)),IF($K$5="United Kingdom",SUM(MROUND(SUM(SUM(VLOOKUP(C$20,'Raw - Emissions Pop'!A:R,16,FALSE)*VLOOKUP(C11,'Raw - Emissions Pop'!A:R,15,FALSE))),100)-MROUND(SUM(SUM(VLOOKUP(C11,'Raw - Emissions Pop'!A:R,16,FALSE)*VLOOKUP(C11,'Raw - Emissions Pop'!A:R,15,FALSE))),100)),SUM(MROUND(SUM(SUM(VLOOKUP(C$16,'Raw - Emissions Pop'!A:R,16,FALSE)*VLOOKUP(C11,'Raw - Emissions Pop'!A:R,15,FALSE))),100)-MROUND(SUM(SUM(VLOOKUP(C11,'Raw - Emissions Pop'!A:R,16,FALSE)*VLOOKUP(C11,'Raw - Emissions Pop'!A:R,15,FALSE))),100)))))))</f>
        <v>-600</v>
      </c>
    </row>
    <row r="12" spans="2:12" ht="19.5" customHeight="1">
      <c r="B12" s="296" t="s">
        <v>249</v>
      </c>
      <c r="C12" s="296" t="s">
        <v>37</v>
      </c>
      <c r="D12" s="297">
        <f>VLOOKUP($C12,'Raw - Emissions Pop'!$A:$R,4,FALSE)</f>
        <v>5.482326990652413</v>
      </c>
      <c r="E12" s="297">
        <f>VLOOKUP($C12,'Raw - Emissions Pop'!$A:$R,8,FALSE)</f>
        <v>4.5866520022963826</v>
      </c>
      <c r="F12" s="297">
        <f>VLOOKUP($C12,'Raw - Emissions Pop'!$A:$R,12,FALSE)</f>
        <v>5.0738627598842525</v>
      </c>
      <c r="G12" s="297">
        <f>VLOOKUP($C12,'Raw - Emissions Pop'!$A:$R,16,FALSE)</f>
        <v>4.8942101337797075</v>
      </c>
      <c r="H12" s="298">
        <f>VLOOKUP(C12,'Raw - Emissions Pop'!A:R,14,FALSE)</f>
        <v>902.19869606095131</v>
      </c>
      <c r="I12" s="299">
        <f t="shared" si="0"/>
        <v>-0.58811685687270554</v>
      </c>
      <c r="J12" s="321">
        <f>SUM(VLOOKUP(C12,'Raw - Emissions Pop'!A:R,14,FALSE)-VLOOKUP(C12,'Raw - Emissions Pop'!A:R,2,FALSE))</f>
        <v>-81.371807182240332</v>
      </c>
      <c r="K12" s="301">
        <f t="shared" si="1"/>
        <v>-1.1067010288281738</v>
      </c>
      <c r="L12" s="302">
        <f>IF(K12="","",IF($K$5="LGBF FAMILY GROUP",SUM(MROUND(SUM(SUM(VLOOKUP(C$17,'Raw - Emissions Pop'!A:R,16,FALSE)*VLOOKUP(C12,'Raw - Emissions Pop'!A:R,15,FALSE))),100)-MROUND(SUM(SUM(VLOOKUP(C12,'Raw - Emissions Pop'!A:R,16,FALSE)*VLOOKUP(C12,'Raw - Emissions Pop'!A:R,15,FALSE))),100)),IF($K$5="Glasgow City Region",SUM(MROUND(SUM(SUM(VLOOKUP(C$18,'Raw - Emissions Pop'!A:R,16,FALSE)*VLOOKUP(C12,'Raw - Emissions Pop'!A:R,15,FALSE))),100)-MROUND(SUM(SUM(VLOOKUP(C12,'Raw - Emissions Pop'!A:R,16,FALSE)*VLOOKUP(C12,'Raw - Emissions Pop'!A:R,15,FALSE))),100)),IF($K$5="Scotland",SUM(MROUND(SUM(SUM(VLOOKUP(C$19,'Raw - Emissions Pop'!A:R,16,FALSE)*VLOOKUP(C12,'Raw - Emissions Pop'!A:R,15,FALSE))),100)-MROUND(SUM(SUM(VLOOKUP(C12,'Raw - Emissions Pop'!A:R,16,FALSE)*VLOOKUP(C12,'Raw - Emissions Pop'!A:R,15,FALSE))),100)),IF($K$5="United Kingdom",SUM(MROUND(SUM(SUM(VLOOKUP(C$20,'Raw - Emissions Pop'!A:R,16,FALSE)*VLOOKUP(C12,'Raw - Emissions Pop'!A:R,15,FALSE))),100)-MROUND(SUM(SUM(VLOOKUP(C12,'Raw - Emissions Pop'!A:R,16,FALSE)*VLOOKUP(C12,'Raw - Emissions Pop'!A:R,15,FALSE))),100)),SUM(MROUND(SUM(SUM(VLOOKUP(C$16,'Raw - Emissions Pop'!A:R,16,FALSE)*VLOOKUP(C12,'Raw - Emissions Pop'!A:R,15,FALSE))),100)-MROUND(SUM(SUM(VLOOKUP(C12,'Raw - Emissions Pop'!A:R,16,FALSE)*VLOOKUP(C12,'Raw - Emissions Pop'!A:R,15,FALSE))),100)))))))</f>
        <v>-200</v>
      </c>
    </row>
    <row r="13" spans="2:12" ht="19.5" customHeight="1">
      <c r="B13" s="296" t="s">
        <v>249</v>
      </c>
      <c r="C13" s="296" t="s">
        <v>41</v>
      </c>
      <c r="D13" s="297">
        <f>VLOOKUP($C13,'Raw - Emissions Pop'!$A:$R,4,FALSE)</f>
        <v>5.9466922471427495</v>
      </c>
      <c r="E13" s="297">
        <f>VLOOKUP($C13,'Raw - Emissions Pop'!$A:$R,8,FALSE)</f>
        <v>5.1883386057446925</v>
      </c>
      <c r="F13" s="297">
        <f>VLOOKUP($C13,'Raw - Emissions Pop'!$A:$R,12,FALSE)</f>
        <v>5.6536683327162338</v>
      </c>
      <c r="G13" s="297">
        <f>VLOOKUP($C13,'Raw - Emissions Pop'!$A:$R,16,FALSE)</f>
        <v>5.2596616550635789</v>
      </c>
      <c r="H13" s="298">
        <f>VLOOKUP(C13,'Raw - Emissions Pop'!A:R,14,FALSE)</f>
        <v>1722.1710157174675</v>
      </c>
      <c r="I13" s="299">
        <f t="shared" si="0"/>
        <v>-0.68703059207917061</v>
      </c>
      <c r="J13" s="321">
        <f>SUM(VLOOKUP(C13,'Raw - Emissions Pop'!A:R,14,FALSE)-VLOOKUP(C13,'Raw - Emissions Pop'!A:R,2,FALSE))</f>
        <v>-188.98996985294752</v>
      </c>
      <c r="K13" s="301">
        <f t="shared" si="1"/>
        <v>-1.4721525501120452</v>
      </c>
      <c r="L13" s="302">
        <f>IF(K13="","",IF($K$5="LGBF FAMILY GROUP",SUM(MROUND(SUM(SUM(VLOOKUP(C$17,'Raw - Emissions Pop'!A:R,16,FALSE)*VLOOKUP(C13,'Raw - Emissions Pop'!A:R,15,FALSE))),100)-MROUND(SUM(SUM(VLOOKUP(C13,'Raw - Emissions Pop'!A:R,16,FALSE)*VLOOKUP(C13,'Raw - Emissions Pop'!A:R,15,FALSE))),100)),IF($K$5="Glasgow City Region",SUM(MROUND(SUM(SUM(VLOOKUP(C$18,'Raw - Emissions Pop'!A:R,16,FALSE)*VLOOKUP(C13,'Raw - Emissions Pop'!A:R,15,FALSE))),100)-MROUND(SUM(SUM(VLOOKUP(C13,'Raw - Emissions Pop'!A:R,16,FALSE)*VLOOKUP(C13,'Raw - Emissions Pop'!A:R,15,FALSE))),100)),IF($K$5="Scotland",SUM(MROUND(SUM(SUM(VLOOKUP(C$19,'Raw - Emissions Pop'!A:R,16,FALSE)*VLOOKUP(C13,'Raw - Emissions Pop'!A:R,15,FALSE))),100)-MROUND(SUM(SUM(VLOOKUP(C13,'Raw - Emissions Pop'!A:R,16,FALSE)*VLOOKUP(C13,'Raw - Emissions Pop'!A:R,15,FALSE))),100)),IF($K$5="United Kingdom",SUM(MROUND(SUM(SUM(VLOOKUP(C$20,'Raw - Emissions Pop'!A:R,16,FALSE)*VLOOKUP(C13,'Raw - Emissions Pop'!A:R,15,FALSE))),100)-MROUND(SUM(SUM(VLOOKUP(C13,'Raw - Emissions Pop'!A:R,16,FALSE)*VLOOKUP(C13,'Raw - Emissions Pop'!A:R,15,FALSE))),100)),SUM(MROUND(SUM(SUM(VLOOKUP(C$16,'Raw - Emissions Pop'!A:R,16,FALSE)*VLOOKUP(C13,'Raw - Emissions Pop'!A:R,15,FALSE))),100)-MROUND(SUM(SUM(VLOOKUP(C13,'Raw - Emissions Pop'!A:R,16,FALSE)*VLOOKUP(C13,'Raw - Emissions Pop'!A:R,15,FALSE))),100)))))))</f>
        <v>-500</v>
      </c>
    </row>
    <row r="14" spans="2:12" ht="19.5" customHeight="1">
      <c r="B14" s="296" t="s">
        <v>249</v>
      </c>
      <c r="C14" s="296" t="s">
        <v>43</v>
      </c>
      <c r="D14" s="297">
        <f>VLOOKUP($C14,'Raw - Emissions Pop'!$A:$R,4,FALSE)</f>
        <v>5.9805066539548655</v>
      </c>
      <c r="E14" s="297">
        <f>VLOOKUP($C14,'Raw - Emissions Pop'!$A:$R,8,FALSE)</f>
        <v>4.0570903158009317</v>
      </c>
      <c r="F14" s="297">
        <f>VLOOKUP($C14,'Raw - Emissions Pop'!$A:$R,12,FALSE)</f>
        <v>4.4940307022600718</v>
      </c>
      <c r="G14" s="297">
        <f>VLOOKUP($C14,'Raw - Emissions Pop'!$A:$R,16,FALSE)</f>
        <v>4.2673405465464302</v>
      </c>
      <c r="H14" s="298">
        <f>VLOOKUP(C14,'Raw - Emissions Pop'!A:R,14,FALSE)</f>
        <v>376.67815004365337</v>
      </c>
      <c r="I14" s="299">
        <f t="shared" si="0"/>
        <v>-1.7131661074084352</v>
      </c>
      <c r="J14" s="321">
        <f>SUM(VLOOKUP(C14,'Raw - Emissions Pop'!A:R,14,FALSE)-VLOOKUP(C14,'Raw - Emissions Pop'!A:R,2,FALSE))</f>
        <v>-151.90117660204049</v>
      </c>
      <c r="K14" s="301">
        <f t="shared" si="1"/>
        <v>-0.47983144159489655</v>
      </c>
      <c r="L14" s="302">
        <f>IF(K14="","",IF($K$5="LGBF FAMILY GROUP",SUM(MROUND(SUM(SUM(VLOOKUP(C$17,'Raw - Emissions Pop'!A:R,16,FALSE)*VLOOKUP(C14,'Raw - Emissions Pop'!A:R,15,FALSE))),100)-MROUND(SUM(SUM(VLOOKUP(C14,'Raw - Emissions Pop'!A:R,16,FALSE)*VLOOKUP(C14,'Raw - Emissions Pop'!A:R,15,FALSE))),100)),IF($K$5="Glasgow City Region",SUM(MROUND(SUM(SUM(VLOOKUP(C$18,'Raw - Emissions Pop'!A:R,16,FALSE)*VLOOKUP(C14,'Raw - Emissions Pop'!A:R,15,FALSE))),100)-MROUND(SUM(SUM(VLOOKUP(C14,'Raw - Emissions Pop'!A:R,16,FALSE)*VLOOKUP(C14,'Raw - Emissions Pop'!A:R,15,FALSE))),100)),IF($K$5="Scotland",SUM(MROUND(SUM(SUM(VLOOKUP(C$19,'Raw - Emissions Pop'!A:R,16,FALSE)*VLOOKUP(C14,'Raw - Emissions Pop'!A:R,15,FALSE))),100)-MROUND(SUM(SUM(VLOOKUP(C14,'Raw - Emissions Pop'!A:R,16,FALSE)*VLOOKUP(C14,'Raw - Emissions Pop'!A:R,15,FALSE))),100)),IF($K$5="United Kingdom",SUM(MROUND(SUM(SUM(VLOOKUP(C$20,'Raw - Emissions Pop'!A:R,16,FALSE)*VLOOKUP(C14,'Raw - Emissions Pop'!A:R,15,FALSE))),100)-MROUND(SUM(SUM(VLOOKUP(C14,'Raw - Emissions Pop'!A:R,16,FALSE)*VLOOKUP(C14,'Raw - Emissions Pop'!A:R,15,FALSE))),100)),SUM(MROUND(SUM(SUM(VLOOKUP(C$16,'Raw - Emissions Pop'!A:R,16,FALSE)*VLOOKUP(C14,'Raw - Emissions Pop'!A:R,15,FALSE))),100)-MROUND(SUM(SUM(VLOOKUP(C14,'Raw - Emissions Pop'!A:R,16,FALSE)*VLOOKUP(C14,'Raw - Emissions Pop'!A:R,15,FALSE))),100)))))))</f>
        <v>-100</v>
      </c>
    </row>
    <row r="15" spans="2:12" ht="19.5" customHeight="1">
      <c r="B15" s="303"/>
      <c r="C15" s="303"/>
      <c r="D15" s="304"/>
      <c r="E15" s="304"/>
      <c r="F15" s="304"/>
      <c r="G15" s="304"/>
      <c r="H15" s="305"/>
      <c r="I15" s="306"/>
      <c r="J15" s="315"/>
      <c r="K15" s="306"/>
      <c r="L15" s="306"/>
    </row>
    <row r="16" spans="2:12" ht="19.5" customHeight="1">
      <c r="B16" s="307" t="s">
        <v>51</v>
      </c>
      <c r="C16" s="296" t="str">
        <f>INDEX('Raw - Emissions Pop'!$A$9:$A$40,MATCH(MIN('Raw - Emissions Pop'!P9:P40),'Raw - Emissions Pop'!P9:P40,0))</f>
        <v>Argyll and Bute</v>
      </c>
      <c r="D16" s="297">
        <f>VLOOKUP($C16,'Raw - Emissions Pop'!$A:$R,4,FALSE)</f>
        <v>3.014001572126102</v>
      </c>
      <c r="E16" s="297">
        <f>VLOOKUP($C16,'Raw - Emissions Pop'!$A:$R,8,FALSE)</f>
        <v>2.8133145337991494</v>
      </c>
      <c r="F16" s="297">
        <f>VLOOKUP($C16,'Raw - Emissions Pop'!$A:$R,12,FALSE)</f>
        <v>3.6554400869781372</v>
      </c>
      <c r="G16" s="297">
        <f>VLOOKUP($C16,'Raw - Emissions Pop'!$A:$R,16,FALSE)</f>
        <v>3.7875091049515337</v>
      </c>
      <c r="H16" s="298">
        <f>VLOOKUP(C16,'Raw - Emissions Pop'!A:R,14,FALSE)</f>
        <v>332.99780050733887</v>
      </c>
      <c r="I16" s="299">
        <f>SUM(G16-D16)</f>
        <v>0.77350753282543172</v>
      </c>
      <c r="J16" s="321">
        <f>SUM(VLOOKUP(C16,'Raw - Emissions Pop'!A:R,14,FALSE)-VLOOKUP(C16,'Raw - Emissions Pop'!A:R,2,FALSE))</f>
        <v>72.016128364659778</v>
      </c>
    </row>
    <row r="17" spans="2:13" ht="19.5" customHeight="1">
      <c r="B17" s="307" t="s">
        <v>542</v>
      </c>
      <c r="C17" s="308" t="s">
        <v>546</v>
      </c>
      <c r="D17" s="297">
        <f>VLOOKUP($C17,'Raw - Emissions Pop'!$A:$R,4,FALSE)</f>
        <v>5.7867503580785948</v>
      </c>
      <c r="E17" s="297">
        <f>VLOOKUP($C17,'Raw - Emissions Pop'!$A:$R,8,FALSE)</f>
        <v>5.0680974606566469</v>
      </c>
      <c r="F17" s="297">
        <f>VLOOKUP($C17,'Raw - Emissions Pop'!$A:$R,12,FALSE)</f>
        <v>5.4072988296755478</v>
      </c>
      <c r="G17" s="297">
        <f>VLOOKUP($C17,'Raw - Emissions Pop'!$A:$R,16,FALSE)</f>
        <v>5.2444006455457481</v>
      </c>
      <c r="H17" s="298">
        <f>VLOOKUP(C17,'Raw - Emissions Pop'!A:R,14,FALSE)</f>
        <v>11574.287336706555</v>
      </c>
      <c r="I17" s="299">
        <f>SUM(G17-D17)</f>
        <v>-0.5423497125328467</v>
      </c>
      <c r="J17" s="321">
        <f>SUM(VLOOKUP(C17,'Raw - Emissions Pop'!A:R,14,FALSE)-VLOOKUP(C17,'Raw - Emissions Pop'!A:R,2,FALSE))</f>
        <v>-1261.0552873579127</v>
      </c>
    </row>
    <row r="18" spans="2:13" ht="19.5" customHeight="1">
      <c r="B18" s="307" t="s">
        <v>250</v>
      </c>
      <c r="C18" s="296" t="s">
        <v>47</v>
      </c>
      <c r="D18" s="297">
        <f>VLOOKUP($C18,'Raw - Emissions Pop'!$A:$R,4,FALSE)</f>
        <v>5.2256607314299526</v>
      </c>
      <c r="E18" s="297">
        <f>VLOOKUP($C18,'Raw - Emissions Pop'!$A:$R,8,FALSE)</f>
        <v>4.4765029397807732</v>
      </c>
      <c r="F18" s="297">
        <f>VLOOKUP($C18,'Raw - Emissions Pop'!$A:$R,12,FALSE)</f>
        <v>4.9076656621718753</v>
      </c>
      <c r="G18" s="297">
        <f>VLOOKUP($C18,'Raw - Emissions Pop'!$A:$R,16,FALSE)</f>
        <v>4.6674307294681459</v>
      </c>
      <c r="H18" s="298">
        <f>VLOOKUP(C18,'Raw - Emissions Pop'!A:R,14,FALSE)</f>
        <v>8626.6721943540906</v>
      </c>
      <c r="I18" s="299">
        <f>SUM(G18-D18)</f>
        <v>-0.55823000196180672</v>
      </c>
      <c r="J18" s="321">
        <f>SUM(VLOOKUP(C18,'Raw - Emissions Pop'!A:R,14,FALSE)-VLOOKUP(C18,'Raw - Emissions Pop'!A:R,2,FALSE))</f>
        <v>-987.19165369266193</v>
      </c>
    </row>
    <row r="19" spans="2:13" ht="19.5" customHeight="1">
      <c r="B19" s="307" t="s">
        <v>251</v>
      </c>
      <c r="C19" s="296" t="s">
        <v>45</v>
      </c>
      <c r="D19" s="297">
        <f>VLOOKUP($C19,'Raw - Emissions Pop'!$A:$R,4,FALSE)</f>
        <v>7.719180312137544</v>
      </c>
      <c r="E19" s="297">
        <f>VLOOKUP($C19,'Raw - Emissions Pop'!$A:$R,8,FALSE)</f>
        <v>6.9009278538749026</v>
      </c>
      <c r="F19" s="297">
        <f>VLOOKUP($C19,'Raw - Emissions Pop'!$A:$R,12,FALSE)</f>
        <v>7.3037935260668378</v>
      </c>
      <c r="G19" s="297">
        <f>VLOOKUP($C19,'Raw - Emissions Pop'!$A:$R,16,FALSE)</f>
        <v>7.1326611664670097</v>
      </c>
      <c r="H19" s="298">
        <f>VLOOKUP(C19,'Raw - Emissions Pop'!A:R,14,FALSE)</f>
        <v>38856.598236562328</v>
      </c>
      <c r="I19" s="299">
        <f>SUM(G19-D19)</f>
        <v>-0.58651914567053431</v>
      </c>
      <c r="J19" s="321">
        <f>SUM(VLOOKUP(C19,'Raw - Emissions Pop'!A:R,14,FALSE)-VLOOKUP(C19,'Raw - Emissions Pop'!A:R,2,FALSE))</f>
        <v>-3206.943770580343</v>
      </c>
    </row>
    <row r="20" spans="2:13" ht="19.5" customHeight="1">
      <c r="B20" s="307" t="s">
        <v>251</v>
      </c>
      <c r="C20" s="296" t="s">
        <v>46</v>
      </c>
      <c r="D20" s="297">
        <f>VLOOKUP($C20,'Raw - Emissions Pop'!$A:$R,4,FALSE)</f>
        <v>6.2455839946464131</v>
      </c>
      <c r="E20" s="297">
        <f>VLOOKUP($C20,'Raw - Emissions Pop'!$A:$R,8,FALSE)</f>
        <v>5.6266372090844667</v>
      </c>
      <c r="F20" s="297">
        <f>VLOOKUP($C20,'Raw - Emissions Pop'!$A:$R,12,FALSE)</f>
        <v>5.9072144457963365</v>
      </c>
      <c r="G20" s="297">
        <f>VLOOKUP($C20,'Raw - Emissions Pop'!$A:$R,16,FALSE)</f>
        <v>5.5613900067266604</v>
      </c>
      <c r="H20" s="298">
        <f>VLOOKUP(C20,'Raw - Emissions Pop'!A:R,14,FALSE)</f>
        <v>375929.28164528694</v>
      </c>
      <c r="I20" s="299">
        <f>SUM(G20-D20)</f>
        <v>-0.68419398791975272</v>
      </c>
      <c r="J20" s="321">
        <f>SUM(VLOOKUP(C20,'Raw - Emissions Pop'!A:R,14,FALSE)-VLOOKUP(C20,'Raw - Emissions Pop'!A:R,2,FALSE))</f>
        <v>-41138.810167850985</v>
      </c>
    </row>
    <row r="21" spans="2:13" ht="19.5" customHeight="1">
      <c r="C21" s="309"/>
      <c r="D21" s="310"/>
      <c r="E21" s="310"/>
      <c r="F21" s="310"/>
      <c r="G21" s="310"/>
      <c r="H21" s="310"/>
      <c r="I21" s="310"/>
      <c r="J21" s="310"/>
      <c r="K21" s="310"/>
      <c r="L21" s="310"/>
      <c r="M21" s="310"/>
    </row>
    <row r="22" spans="2:13">
      <c r="D22" s="311"/>
      <c r="E22" s="311"/>
      <c r="F22" s="311"/>
      <c r="G22" s="312" t="str">
        <f>CONCATENATE(H22,I22)</f>
        <v>Volume Change Required to match Geographic Area - Top Performing Scottish Local Authority</v>
      </c>
      <c r="H22" s="312" t="s">
        <v>519</v>
      </c>
      <c r="I22" s="312" t="str">
        <f>K5</f>
        <v>Top Performing Scottish Local Authority</v>
      </c>
    </row>
    <row r="23" spans="2:13">
      <c r="B23" s="313" t="s">
        <v>467</v>
      </c>
    </row>
    <row r="24" spans="2:13">
      <c r="J24" s="314"/>
      <c r="K24" s="314"/>
      <c r="L24" s="314"/>
      <c r="M24" s="311"/>
    </row>
  </sheetData>
  <sheetProtection algorithmName="SHA-512" hashValue="iWpblazButRuDGCbNUbZJby1t3tuzI3ot2N1PqNpnUbmb30JKYArzkq5DKQwDHudmRZrXv7nU7IPvnKQfm+Jbw==" saltValue="yCzZadpQkTKXLzfixFAkyg==" spinCount="100000" sheet="1" objects="1" scenarios="1"/>
  <autoFilter ref="C6:L6" xr:uid="{B5C82544-5227-432A-8111-831ACDD9DD40}"/>
  <mergeCells count="4">
    <mergeCell ref="G2:H2"/>
    <mergeCell ref="K4:L4"/>
    <mergeCell ref="I5:J5"/>
    <mergeCell ref="K5:L5"/>
  </mergeCells>
  <dataValidations disablePrompts="1" count="1">
    <dataValidation type="list" allowBlank="1" showInputMessage="1" showErrorMessage="1" sqref="C17" xr:uid="{1F2E1B50-B035-4053-9577-89C784DC788F}">
      <formula1>IF(B17="LGBF Family Group 1",LGBF_5,IF(B17="LGBF Family Group 3",LGBF_7,IF(B17="LGBF Family Group 4",LGBF_8,LGBF_6)))</formula1>
    </dataValidation>
  </dataValidations>
  <hyperlinks>
    <hyperlink ref="C3" r:id="rId1" xr:uid="{513667DC-1AAC-4363-BCFE-D3778A72448B}"/>
    <hyperlink ref="G2:H2" location="'Index RAG'!A1" display="Return to Index RAG" xr:uid="{415A8E14-26F8-42DB-9B8B-41C4B17B827B}"/>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001F775-90F4-491A-81AF-1D4BAC9A5811}">
          <x14:formula1>
            <xm:f>Lookups!$B$3:$B$7</xm:f>
          </x14:formula1>
          <xm:sqref>K5:L5</xm:sqref>
        </x14:dataValidation>
        <x14:dataValidation type="list" allowBlank="1" showInputMessage="1" showErrorMessage="1" xr:uid="{2D8E9CC2-31C3-4F09-AEF9-BDECAFC56BFC}">
          <x14:formula1>
            <xm:f>Lookups!$L$8:$O$8</xm:f>
          </x14:formula1>
          <xm:sqref>B17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autoPageBreaks="0"/>
  </sheetPr>
  <dimension ref="A1:M24"/>
  <sheetViews>
    <sheetView zoomScale="90" zoomScaleNormal="90" workbookViewId="0">
      <selection activeCell="D18" sqref="D18"/>
    </sheetView>
  </sheetViews>
  <sheetFormatPr defaultColWidth="9.1796875" defaultRowHeight="12"/>
  <cols>
    <col min="1" max="1" width="9.1796875" style="251"/>
    <col min="2" max="2" width="31.81640625" style="251" customWidth="1"/>
    <col min="3" max="3" width="24" style="251" customWidth="1" collapsed="1"/>
    <col min="4" max="8" width="14" style="251" customWidth="1" collapsed="1"/>
    <col min="9" max="13" width="14" style="251" customWidth="1"/>
    <col min="14" max="16384" width="9.1796875" style="251"/>
  </cols>
  <sheetData>
    <row r="1" spans="1:12">
      <c r="A1" s="251" t="s">
        <v>121</v>
      </c>
    </row>
    <row r="2" spans="1:12" ht="13">
      <c r="B2" s="286" t="s">
        <v>48</v>
      </c>
      <c r="C2" s="287" t="s">
        <v>615</v>
      </c>
      <c r="G2" s="595" t="s">
        <v>507</v>
      </c>
      <c r="H2" s="596"/>
    </row>
    <row r="3" spans="1:12" ht="13">
      <c r="B3" s="286" t="s">
        <v>49</v>
      </c>
      <c r="C3" s="288" t="s">
        <v>288</v>
      </c>
    </row>
    <row r="4" spans="1:12" ht="13">
      <c r="B4" s="287"/>
      <c r="C4" s="289" t="s">
        <v>478</v>
      </c>
      <c r="D4" s="290"/>
      <c r="K4" s="591" t="s">
        <v>52</v>
      </c>
      <c r="L4" s="591"/>
    </row>
    <row r="5" spans="1:12" ht="22" customHeight="1">
      <c r="C5" s="291"/>
      <c r="D5" s="292"/>
      <c r="E5" s="292"/>
      <c r="F5" s="292"/>
      <c r="G5" s="292"/>
      <c r="H5" s="292"/>
      <c r="I5" s="592" t="s">
        <v>50</v>
      </c>
      <c r="J5" s="593"/>
      <c r="K5" s="594" t="s">
        <v>51</v>
      </c>
      <c r="L5" s="594"/>
    </row>
    <row r="6" spans="1:12" ht="26.15" customHeight="1">
      <c r="B6" s="293" t="s">
        <v>271</v>
      </c>
      <c r="C6" s="293" t="s">
        <v>5</v>
      </c>
      <c r="D6" s="294">
        <v>2019</v>
      </c>
      <c r="E6" s="294">
        <v>2020</v>
      </c>
      <c r="F6" s="294">
        <v>2021</v>
      </c>
      <c r="G6" s="294">
        <v>2022</v>
      </c>
      <c r="H6" s="294" t="s">
        <v>613</v>
      </c>
      <c r="I6" s="295" t="s">
        <v>53</v>
      </c>
      <c r="J6" s="295" t="s">
        <v>54</v>
      </c>
      <c r="K6" s="295" t="s">
        <v>56</v>
      </c>
      <c r="L6" s="295" t="s">
        <v>57</v>
      </c>
    </row>
    <row r="7" spans="1:12" ht="19.5" customHeight="1">
      <c r="B7" s="296" t="s">
        <v>249</v>
      </c>
      <c r="C7" s="296" t="s">
        <v>22</v>
      </c>
      <c r="D7" s="297">
        <f>VLOOKUP($C7,'Raw - Emissions KM'!$A:$Q,4,FALSE)</f>
        <v>2.7313609116445359</v>
      </c>
      <c r="E7" s="297">
        <f>VLOOKUP($C7,'Raw - Emissions KM'!$A:$Q,8,FALSE)</f>
        <v>2.4840785481763854</v>
      </c>
      <c r="F7" s="297">
        <f>VLOOKUP($C7,'Raw - Emissions KM'!$A:$Q,12,FALSE)</f>
        <v>2.7127136620697616</v>
      </c>
      <c r="G7" s="297">
        <f>VLOOKUP($C7,'Raw - Emissions KM'!$A:$Q,16,FALSE)</f>
        <v>2.4804933963524962</v>
      </c>
      <c r="H7" s="298">
        <f>VLOOKUP(C7,'Raw - Emissions KM'!A:Q,14,FALSE)</f>
        <v>432.81881223615073</v>
      </c>
      <c r="I7" s="299">
        <f>SUM(G7-D7)</f>
        <v>-0.25086751529203966</v>
      </c>
      <c r="J7" s="321">
        <f>SUM(VLOOKUP(C7,'Raw - Emissions KM'!A:Q,14,FALSE)-VLOOKUP(C7,'Raw - Emissions KM'!A:Q,2,FALSE))</f>
        <v>-43.773621875792685</v>
      </c>
      <c r="K7" s="301">
        <f t="shared" ref="K7:K14" si="0">IF(IF($K$5="LGBF FAMILY GROUP",SUM(G$17-G7),IF($K$5="Glasgow City Region",SUM(G$18-G7),IF($K$5="Scotland",SUM(G$19-G7),IF($K$5="United Kingdom",SUM(G$20-G7),SUM(G$16-G7)))))&gt;0,"",IF($K$5="LGBF FAMILY GROUP",SUM(G$17-G7),IF($K$5="Glasgow City Region",SUM(G$18-G7),IF($K$5="Scotland",SUM(G$19-G7),IF($K$5="United Kingdom",SUM(G$20-G7),SUM(G$16-G7))))))</f>
        <v>-2.4340188911006209</v>
      </c>
      <c r="L7" s="302">
        <f>IF(K7="","",IF($K$5="LGBF FAMILY GROUP",SUM(MROUND(SUM(SUM(VLOOKUP(C$17,'Raw - Emissions KM'!A:Q,16,FALSE)*VLOOKUP(C7,'Raw - Emissions KM'!A:Q,15,FALSE))),100)-MROUND(SUM(SUM(VLOOKUP(C7,'Raw - Emissions KM'!A:Q,16,FALSE)*VLOOKUP(C7,'Raw - Emissions KM'!A:Q,15,FALSE))),100)),IF($K$5="Glasgow City Region",SUM(MROUND(SUM(SUM(VLOOKUP(C$18,'Raw - Emissions KM'!A:Q,16,FALSE)*VLOOKUP(C7,'Raw - Emissions KM'!A:Q,15,FALSE))),100)-MROUND(SUM(SUM(VLOOKUP(C7,'Raw - Emissions KM'!A:Q,16,FALSE)*VLOOKUP(C7,'Raw - Emissions KM'!A:Q,15,FALSE))),100)),IF($K$5="Scotland",SUM(MROUND(SUM(SUM(VLOOKUP(C$19,'Raw - Emissions KM'!A:Q,16,FALSE)*VLOOKUP(C7,'Raw - Emissions KM'!A:Q,15,FALSE))),100)-MROUND(SUM(SUM(VLOOKUP(C7,'Raw - Emissions KM'!A:Q,16,FALSE)*VLOOKUP(C7,'Raw - Emissions KM'!A:Q,15,FALSE))),100)),IF($K$5="United Kingdom",SUM(MROUND(SUM(SUM(VLOOKUP(C$20,'Raw - Emissions KM'!A:Q,16,FALSE)*VLOOKUP(C7,'Raw - Emissions KM'!A:Q,15,FALSE))),100)-MROUND(SUM(SUM(VLOOKUP(C7,'Raw - Emissions KM'!A:Q,16,FALSE)*VLOOKUP(C7,'Raw - Emissions KM'!A:Q,15,FALSE))),100)),SUM(MROUND(SUM(SUM(VLOOKUP(C$16,'Raw - Emissions KM'!A:Q,16,FALSE)*VLOOKUP(C7,'Raw - Emissions KM'!A:Q,15,FALSE))),100)-MROUND(SUM(SUM(VLOOKUP(C7,'Raw - Emissions KM'!A:Q,16,FALSE)*VLOOKUP(C7,'Raw - Emissions KM'!A:Q,15,FALSE))),100)))))))</f>
        <v>-400</v>
      </c>
    </row>
    <row r="8" spans="1:12" ht="19.5" customHeight="1">
      <c r="B8" s="296" t="s">
        <v>249</v>
      </c>
      <c r="C8" s="296" t="s">
        <v>24</v>
      </c>
      <c r="D8" s="297">
        <f>VLOOKUP($C8,'Raw - Emissions KM'!$A:$Q,4,FALSE)</f>
        <v>2.5297465787276217</v>
      </c>
      <c r="E8" s="297">
        <f>VLOOKUP($C8,'Raw - Emissions KM'!$A:$Q,8,FALSE)</f>
        <v>2.2802354233201263</v>
      </c>
      <c r="F8" s="297">
        <f>VLOOKUP($C8,'Raw - Emissions KM'!$A:$Q,12,FALSE)</f>
        <v>2.4997739948104849</v>
      </c>
      <c r="G8" s="297">
        <f>VLOOKUP($C8,'Raw - Emissions KM'!$A:$Q,16,FALSE)</f>
        <v>2.3494343084533491</v>
      </c>
      <c r="H8" s="298">
        <f>VLOOKUP(C8,'Raw - Emissions KM'!A:Q,14,FALSE)</f>
        <v>409.38775353084191</v>
      </c>
      <c r="I8" s="299">
        <f t="shared" ref="I8:I14" si="1">SUM(G8-D8)</f>
        <v>-0.18031227027427255</v>
      </c>
      <c r="J8" s="321">
        <f>SUM(VLOOKUP(C8,'Raw - Emissions KM'!A:Q,14,FALSE)-VLOOKUP(C8,'Raw - Emissions KM'!A:Q,2,FALSE))</f>
        <v>-31.419322939156871</v>
      </c>
      <c r="K8" s="301">
        <f t="shared" si="0"/>
        <v>-2.3029598032014738</v>
      </c>
      <c r="L8" s="302">
        <f>IF(K8="","",IF($K$5="LGBF FAMILY GROUP",SUM(MROUND(SUM(SUM(VLOOKUP(C$17,'Raw - Emissions KM'!A:Q,16,FALSE)*VLOOKUP(C8,'Raw - Emissions KM'!A:Q,15,FALSE))),100)-MROUND(SUM(SUM(VLOOKUP(C8,'Raw - Emissions KM'!A:Q,16,FALSE)*VLOOKUP(C8,'Raw - Emissions KM'!A:Q,15,FALSE))),100)),IF($K$5="Glasgow City Region",SUM(MROUND(SUM(SUM(VLOOKUP(C$18,'Raw - Emissions KM'!A:Q,16,FALSE)*VLOOKUP(C8,'Raw - Emissions KM'!A:Q,15,FALSE))),100)-MROUND(SUM(SUM(VLOOKUP(C8,'Raw - Emissions KM'!A:Q,16,FALSE)*VLOOKUP(C8,'Raw - Emissions KM'!A:Q,15,FALSE))),100)),IF($K$5="Scotland",SUM(MROUND(SUM(SUM(VLOOKUP(C$19,'Raw - Emissions KM'!A:Q,16,FALSE)*VLOOKUP(C8,'Raw - Emissions KM'!A:Q,15,FALSE))),100)-MROUND(SUM(SUM(VLOOKUP(C8,'Raw - Emissions KM'!A:Q,16,FALSE)*VLOOKUP(C8,'Raw - Emissions KM'!A:Q,15,FALSE))),100)),IF($K$5="United Kingdom",SUM(MROUND(SUM(SUM(VLOOKUP(C$20,'Raw - Emissions KM'!A:Q,16,FALSE)*VLOOKUP(C8,'Raw - Emissions KM'!A:Q,15,FALSE))),100)-MROUND(SUM(SUM(VLOOKUP(C8,'Raw - Emissions KM'!A:Q,16,FALSE)*VLOOKUP(C8,'Raw - Emissions KM'!A:Q,15,FALSE))),100)),SUM(MROUND(SUM(SUM(VLOOKUP(C$16,'Raw - Emissions KM'!A:Q,16,FALSE)*VLOOKUP(C8,'Raw - Emissions KM'!A:Q,15,FALSE))),100)-MROUND(SUM(SUM(VLOOKUP(C8,'Raw - Emissions KM'!A:Q,16,FALSE)*VLOOKUP(C8,'Raw - Emissions KM'!A:Q,15,FALSE))),100)))))))</f>
        <v>-400</v>
      </c>
    </row>
    <row r="9" spans="1:12" ht="19.5" customHeight="1">
      <c r="B9" s="296" t="s">
        <v>249</v>
      </c>
      <c r="C9" s="296" t="s">
        <v>27</v>
      </c>
      <c r="D9" s="297">
        <f>VLOOKUP($C9,'Raw - Emissions KM'!$A:$Q,4,FALSE)</f>
        <v>16.297971060005022</v>
      </c>
      <c r="E9" s="297">
        <f>VLOOKUP($C9,'Raw - Emissions KM'!$A:$Q,8,FALSE)</f>
        <v>13.986064939031836</v>
      </c>
      <c r="F9" s="297">
        <f>VLOOKUP($C9,'Raw - Emissions KM'!$A:$Q,12,FALSE)</f>
        <v>15.669408429991881</v>
      </c>
      <c r="G9" s="297">
        <f>VLOOKUP($C9,'Raw - Emissions KM'!$A:$Q,16,FALSE)</f>
        <v>14.781860255659808</v>
      </c>
      <c r="H9" s="298">
        <f>VLOOKUP(C9,'Raw - Emissions KM'!A:Q,14,FALSE)</f>
        <v>2606.8682690611154</v>
      </c>
      <c r="I9" s="299">
        <f t="shared" si="1"/>
        <v>-1.5161108043452138</v>
      </c>
      <c r="J9" s="321">
        <f>SUM(VLOOKUP(C9,'Raw - Emissions KM'!A:Q,14,FALSE)-VLOOKUP(C9,'Raw - Emissions KM'!A:Q,2,FALSE))</f>
        <v>-267.37508540002409</v>
      </c>
      <c r="K9" s="301">
        <f>IF(IF($K$5="LGBF FAMILY GROUP",SUM(G$17-G9),IF($K$5="Glasgow City Region",SUM(G$18-G9),IF($K$5="Scotland",SUM(G$19-G9),IF($K$5="United Kingdom",SUM(G$20-G9),SUM(G$16-G9)))))&gt;0,"",IF($K$5="LGBF FAMILY GROUP",SUM(G$17-G9),IF($K$5="Glasgow City Region",SUM(G$18-G9),IF($K$5="Scotland",SUM(G$19-G9),IF($K$5="United Kingdom",SUM(G$20-G9),SUM(G$16-G9))))))</f>
        <v>-14.735385750407932</v>
      </c>
      <c r="L9" s="302">
        <f>IF(K9="","",IF($K$5="LGBF FAMILY GROUP",SUM(MROUND(SUM(SUM(VLOOKUP(C$17,'Raw - Emissions KM'!A:Q,16,FALSE)*VLOOKUP(C9,'Raw - Emissions KM'!A:Q,15,FALSE))),100)-MROUND(SUM(SUM(VLOOKUP(C9,'Raw - Emissions KM'!A:Q,16,FALSE)*VLOOKUP(C9,'Raw - Emissions KM'!A:Q,15,FALSE))),100)),IF($K$5="Glasgow City Region",SUM(MROUND(SUM(SUM(VLOOKUP(C$18,'Raw - Emissions KM'!A:Q,16,FALSE)*VLOOKUP(C9,'Raw - Emissions KM'!A:Q,15,FALSE))),100)-MROUND(SUM(SUM(VLOOKUP(C9,'Raw - Emissions KM'!A:Q,16,FALSE)*VLOOKUP(C9,'Raw - Emissions KM'!A:Q,15,FALSE))),100)),IF($K$5="Scotland",SUM(MROUND(SUM(SUM(VLOOKUP(C$19,'Raw - Emissions KM'!A:Q,16,FALSE)*VLOOKUP(C9,'Raw - Emissions KM'!A:Q,15,FALSE))),100)-MROUND(SUM(SUM(VLOOKUP(C9,'Raw - Emissions KM'!A:Q,16,FALSE)*VLOOKUP(C9,'Raw - Emissions KM'!A:Q,15,FALSE))),100)),IF($K$5="United Kingdom",SUM(MROUND(SUM(SUM(VLOOKUP(C$20,'Raw - Emissions KM'!A:Q,16,FALSE)*VLOOKUP(C9,'Raw - Emissions KM'!A:Q,15,FALSE))),100)-MROUND(SUM(SUM(VLOOKUP(C9,'Raw - Emissions KM'!A:Q,16,FALSE)*VLOOKUP(C9,'Raw - Emissions KM'!A:Q,15,FALSE))),100)),SUM(MROUND(SUM(SUM(VLOOKUP(C$16,'Raw - Emissions KM'!A:Q,16,FALSE)*VLOOKUP(C9,'Raw - Emissions KM'!A:Q,15,FALSE))),100)-MROUND(SUM(SUM(VLOOKUP(C9,'Raw - Emissions KM'!A:Q,16,FALSE)*VLOOKUP(C9,'Raw - Emissions KM'!A:Q,15,FALSE))),100)))))))</f>
        <v>-2600</v>
      </c>
    </row>
    <row r="10" spans="1:12" ht="19.5" customHeight="1">
      <c r="B10" s="296" t="s">
        <v>249</v>
      </c>
      <c r="C10" s="296" t="s">
        <v>29</v>
      </c>
      <c r="D10" s="297">
        <f>VLOOKUP($C10,'Raw - Emissions KM'!$A:$Q,4,FALSE)</f>
        <v>1.9737611437900453</v>
      </c>
      <c r="E10" s="297">
        <f>VLOOKUP($C10,'Raw - Emissions KM'!$A:$Q,8,FALSE)</f>
        <v>1.8976201693202528</v>
      </c>
      <c r="F10" s="297">
        <f>VLOOKUP($C10,'Raw - Emissions KM'!$A:$Q,12,FALSE)</f>
        <v>2.0067308642729937</v>
      </c>
      <c r="G10" s="297">
        <f>VLOOKUP($C10,'Raw - Emissions KM'!$A:$Q,16,FALSE)</f>
        <v>1.8334674568780123</v>
      </c>
      <c r="H10" s="298">
        <f>VLOOKUP(C10,'Raw - Emissions KM'!A:Q,14,FALSE)</f>
        <v>318.33523716020784</v>
      </c>
      <c r="I10" s="299">
        <f t="shared" si="1"/>
        <v>-0.14029368691203303</v>
      </c>
      <c r="J10" s="321">
        <f>SUM(VLOOKUP(C10,'Raw - Emissions KM'!A:Q,14,FALSE)-VLOOKUP(C10,'Raw - Emissions KM'!A:Q,2,FALSE))</f>
        <v>-24.358449301995677</v>
      </c>
      <c r="K10" s="301">
        <f t="shared" si="0"/>
        <v>-1.7869929516261367</v>
      </c>
      <c r="L10" s="302">
        <f>IF(K10="","",IF($K$5="LGBF FAMILY GROUP",SUM(MROUND(SUM(SUM(VLOOKUP(C$17,'Raw - Emissions KM'!A:Q,16,FALSE)*VLOOKUP(C10,'Raw - Emissions KM'!A:Q,15,FALSE))),100)-MROUND(SUM(SUM(VLOOKUP(C10,'Raw - Emissions KM'!A:Q,16,FALSE)*VLOOKUP(C10,'Raw - Emissions KM'!A:Q,15,FALSE))),100)),IF($K$5="Glasgow City Region",SUM(MROUND(SUM(SUM(VLOOKUP(C$18,'Raw - Emissions KM'!A:Q,16,FALSE)*VLOOKUP(C10,'Raw - Emissions KM'!A:Q,15,FALSE))),100)-MROUND(SUM(SUM(VLOOKUP(C10,'Raw - Emissions KM'!A:Q,16,FALSE)*VLOOKUP(C10,'Raw - Emissions KM'!A:Q,15,FALSE))),100)),IF($K$5="Scotland",SUM(MROUND(SUM(SUM(VLOOKUP(C$19,'Raw - Emissions KM'!A:Q,16,FALSE)*VLOOKUP(C10,'Raw - Emissions KM'!A:Q,15,FALSE))),100)-MROUND(SUM(SUM(VLOOKUP(C10,'Raw - Emissions KM'!A:Q,16,FALSE)*VLOOKUP(C10,'Raw - Emissions KM'!A:Q,15,FALSE))),100)),IF($K$5="United Kingdom",SUM(MROUND(SUM(SUM(VLOOKUP(C$20,'Raw - Emissions KM'!A:Q,16,FALSE)*VLOOKUP(C10,'Raw - Emissions KM'!A:Q,15,FALSE))),100)-MROUND(SUM(SUM(VLOOKUP(C10,'Raw - Emissions KM'!A:Q,16,FALSE)*VLOOKUP(C10,'Raw - Emissions KM'!A:Q,15,FALSE))),100)),SUM(MROUND(SUM(SUM(VLOOKUP(C$16,'Raw - Emissions KM'!A:Q,16,FALSE)*VLOOKUP(C10,'Raw - Emissions KM'!A:Q,15,FALSE))),100)-MROUND(SUM(SUM(VLOOKUP(C10,'Raw - Emissions KM'!A:Q,16,FALSE)*VLOOKUP(C10,'Raw - Emissions KM'!A:Q,15,FALSE))),100)))))))</f>
        <v>-300</v>
      </c>
    </row>
    <row r="11" spans="1:12" ht="19.5" customHeight="1">
      <c r="B11" s="296" t="s">
        <v>249</v>
      </c>
      <c r="C11" s="296" t="s">
        <v>34</v>
      </c>
      <c r="D11" s="297">
        <f>VLOOKUP($C11,'Raw - Emissions KM'!$A:$Q,4,FALSE)</f>
        <v>4.3535398345747884</v>
      </c>
      <c r="E11" s="297">
        <f>VLOOKUP($C11,'Raw - Emissions KM'!$A:$Q,8,FALSE)</f>
        <v>3.738541362681457</v>
      </c>
      <c r="F11" s="297">
        <f>VLOOKUP($C11,'Raw - Emissions KM'!$A:$Q,12,FALSE)</f>
        <v>4.0700439142171181</v>
      </c>
      <c r="G11" s="297">
        <f>VLOOKUP($C11,'Raw - Emissions KM'!$A:$Q,16,FALSE)</f>
        <v>3.9343181415384625</v>
      </c>
      <c r="H11" s="298">
        <f>VLOOKUP(C11,'Raw - Emissions KM'!A:Q,14,FALSE)</f>
        <v>1858.2142605437041</v>
      </c>
      <c r="I11" s="299">
        <f t="shared" si="1"/>
        <v>-0.41922169303632595</v>
      </c>
      <c r="J11" s="321">
        <f>SUM(VLOOKUP(C11,'Raw - Emissions KM'!A:Q,14,FALSE)-VLOOKUP(C11,'Raw - Emissions KM'!A:Q,2,FALSE))</f>
        <v>-198.00222053846323</v>
      </c>
      <c r="K11" s="301">
        <f t="shared" si="0"/>
        <v>-3.8878436362865871</v>
      </c>
      <c r="L11" s="302">
        <f>IF(K11="","",IF($K$5="LGBF FAMILY GROUP",SUM(MROUND(SUM(SUM(VLOOKUP(C$17,'Raw - Emissions KM'!A:Q,16,FALSE)*VLOOKUP(C11,'Raw - Emissions KM'!A:Q,15,FALSE))),100)-MROUND(SUM(SUM(VLOOKUP(C11,'Raw - Emissions KM'!A:Q,16,FALSE)*VLOOKUP(C11,'Raw - Emissions KM'!A:Q,15,FALSE))),100)),IF($K$5="Glasgow City Region",SUM(MROUND(SUM(SUM(VLOOKUP(C$18,'Raw - Emissions KM'!A:Q,16,FALSE)*VLOOKUP(C11,'Raw - Emissions KM'!A:Q,15,FALSE))),100)-MROUND(SUM(SUM(VLOOKUP(C11,'Raw - Emissions KM'!A:Q,16,FALSE)*VLOOKUP(C11,'Raw - Emissions KM'!A:Q,15,FALSE))),100)),IF($K$5="Scotland",SUM(MROUND(SUM(SUM(VLOOKUP(C$19,'Raw - Emissions KM'!A:Q,16,FALSE)*VLOOKUP(C11,'Raw - Emissions KM'!A:Q,15,FALSE))),100)-MROUND(SUM(SUM(VLOOKUP(C11,'Raw - Emissions KM'!A:Q,16,FALSE)*VLOOKUP(C11,'Raw - Emissions KM'!A:Q,15,FALSE))),100)),IF($K$5="United Kingdom",SUM(MROUND(SUM(SUM(VLOOKUP(C$20,'Raw - Emissions KM'!A:Q,16,FALSE)*VLOOKUP(C11,'Raw - Emissions KM'!A:Q,15,FALSE))),100)-MROUND(SUM(SUM(VLOOKUP(C11,'Raw - Emissions KM'!A:Q,16,FALSE)*VLOOKUP(C11,'Raw - Emissions KM'!A:Q,15,FALSE))),100)),SUM(MROUND(SUM(SUM(VLOOKUP(C$16,'Raw - Emissions KM'!A:Q,16,FALSE)*VLOOKUP(C11,'Raw - Emissions KM'!A:Q,15,FALSE))),100)-MROUND(SUM(SUM(VLOOKUP(C11,'Raw - Emissions KM'!A:Q,16,FALSE)*VLOOKUP(C11,'Raw - Emissions KM'!A:Q,15,FALSE))),100)))))))</f>
        <v>-1900</v>
      </c>
    </row>
    <row r="12" spans="1:12" ht="19.5" customHeight="1">
      <c r="B12" s="296" t="s">
        <v>249</v>
      </c>
      <c r="C12" s="296" t="s">
        <v>37</v>
      </c>
      <c r="D12" s="297">
        <f>VLOOKUP($C12,'Raw - Emissions KM'!$A:$Q,4,FALSE)</f>
        <v>3.6531406892935609</v>
      </c>
      <c r="E12" s="297">
        <f>VLOOKUP($C12,'Raw - Emissions KM'!$A:$Q,8,FALSE)</f>
        <v>3.0619135842382939</v>
      </c>
      <c r="F12" s="297">
        <f>VLOOKUP($C12,'Raw - Emissions KM'!$A:$Q,12,FALSE)</f>
        <v>3.3909964429969737</v>
      </c>
      <c r="G12" s="297">
        <f>VLOOKUP($C12,'Raw - Emissions KM'!$A:$Q,16,FALSE)</f>
        <v>3.3509125736693037</v>
      </c>
      <c r="H12" s="298">
        <f>VLOOKUP(C12,'Raw - Emissions KM'!A:Q,14,FALSE)</f>
        <v>902.19869606095131</v>
      </c>
      <c r="I12" s="299">
        <f t="shared" si="1"/>
        <v>-0.30222811562425722</v>
      </c>
      <c r="J12" s="321">
        <f>SUM(VLOOKUP(C12,'Raw - Emissions KM'!A:Q,14,FALSE)-VLOOKUP(C12,'Raw - Emissions KM'!A:Q,2,FALSE))</f>
        <v>-81.371807182240332</v>
      </c>
      <c r="K12" s="301">
        <f t="shared" si="0"/>
        <v>-3.3044380684174284</v>
      </c>
      <c r="L12" s="302">
        <f>IF(K12="","",IF($K$5="LGBF FAMILY GROUP",SUM(MROUND(SUM(SUM(VLOOKUP(C$17,'Raw - Emissions KM'!A:Q,16,FALSE)*VLOOKUP(C12,'Raw - Emissions KM'!A:Q,15,FALSE))),100)-MROUND(SUM(SUM(VLOOKUP(C12,'Raw - Emissions KM'!A:Q,16,FALSE)*VLOOKUP(C12,'Raw - Emissions KM'!A:Q,15,FALSE))),100)),IF($K$5="Glasgow City Region",SUM(MROUND(SUM(SUM(VLOOKUP(C$18,'Raw - Emissions KM'!A:Q,16,FALSE)*VLOOKUP(C12,'Raw - Emissions KM'!A:Q,15,FALSE))),100)-MROUND(SUM(SUM(VLOOKUP(C12,'Raw - Emissions KM'!A:Q,16,FALSE)*VLOOKUP(C12,'Raw - Emissions KM'!A:Q,15,FALSE))),100)),IF($K$5="Scotland",SUM(MROUND(SUM(SUM(VLOOKUP(C$19,'Raw - Emissions KM'!A:Q,16,FALSE)*VLOOKUP(C12,'Raw - Emissions KM'!A:Q,15,FALSE))),100)-MROUND(SUM(SUM(VLOOKUP(C12,'Raw - Emissions KM'!A:Q,16,FALSE)*VLOOKUP(C12,'Raw - Emissions KM'!A:Q,15,FALSE))),100)),IF($K$5="United Kingdom",SUM(MROUND(SUM(SUM(VLOOKUP(C$20,'Raw - Emissions KM'!A:Q,16,FALSE)*VLOOKUP(C12,'Raw - Emissions KM'!A:Q,15,FALSE))),100)-MROUND(SUM(SUM(VLOOKUP(C12,'Raw - Emissions KM'!A:Q,16,FALSE)*VLOOKUP(C12,'Raw - Emissions KM'!A:Q,15,FALSE))),100)),SUM(MROUND(SUM(SUM(VLOOKUP(C$16,'Raw - Emissions KM'!A:Q,16,FALSE)*VLOOKUP(C12,'Raw - Emissions KM'!A:Q,15,FALSE))),100)-MROUND(SUM(SUM(VLOOKUP(C12,'Raw - Emissions KM'!A:Q,16,FALSE)*VLOOKUP(C12,'Raw - Emissions KM'!A:Q,15,FALSE))),100)))))))</f>
        <v>-900</v>
      </c>
    </row>
    <row r="13" spans="1:12" ht="19.5" customHeight="1">
      <c r="B13" s="296" t="s">
        <v>249</v>
      </c>
      <c r="C13" s="296" t="s">
        <v>41</v>
      </c>
      <c r="D13" s="297">
        <f>VLOOKUP($C13,'Raw - Emissions KM'!$A:$Q,4,FALSE)</f>
        <v>1.0773037508266048</v>
      </c>
      <c r="E13" s="297">
        <f>VLOOKUP($C13,'Raw - Emissions KM'!$A:$Q,8,FALSE)</f>
        <v>0.94108249771666841</v>
      </c>
      <c r="F13" s="297">
        <f>VLOOKUP($C13,'Raw - Emissions KM'!$A:$Q,12,FALSE)</f>
        <v>1.0281961570407672</v>
      </c>
      <c r="G13" s="297">
        <f>VLOOKUP($C13,'Raw - Emissions KM'!$A:$Q,16,FALSE)</f>
        <v>0.97077185480717021</v>
      </c>
      <c r="H13" s="298">
        <f>VLOOKUP(C13,'Raw - Emissions KM'!A:Q,14,FALSE)</f>
        <v>1722.1710157174675</v>
      </c>
      <c r="I13" s="299">
        <f t="shared" si="1"/>
        <v>-0.10653189601943458</v>
      </c>
      <c r="J13" s="321">
        <f>SUM(VLOOKUP(C13,'Raw - Emissions KM'!A:Q,14,FALSE)-VLOOKUP(C13,'Raw - Emissions KM'!A:Q,2,FALSE))</f>
        <v>-188.98996985294752</v>
      </c>
      <c r="K13" s="301">
        <f t="shared" si="0"/>
        <v>-0.92429734955529463</v>
      </c>
      <c r="L13" s="302">
        <f>IF(K13="","",IF($K$5="LGBF FAMILY GROUP",SUM(MROUND(SUM(SUM(VLOOKUP(C$17,'Raw - Emissions KM'!A:Q,16,FALSE)*VLOOKUP(C13,'Raw - Emissions KM'!A:Q,15,FALSE))),100)-MROUND(SUM(SUM(VLOOKUP(C13,'Raw - Emissions KM'!A:Q,16,FALSE)*VLOOKUP(C13,'Raw - Emissions KM'!A:Q,15,FALSE))),100)),IF($K$5="Glasgow City Region",SUM(MROUND(SUM(SUM(VLOOKUP(C$18,'Raw - Emissions KM'!A:Q,16,FALSE)*VLOOKUP(C13,'Raw - Emissions KM'!A:Q,15,FALSE))),100)-MROUND(SUM(SUM(VLOOKUP(C13,'Raw - Emissions KM'!A:Q,16,FALSE)*VLOOKUP(C13,'Raw - Emissions KM'!A:Q,15,FALSE))),100)),IF($K$5="Scotland",SUM(MROUND(SUM(SUM(VLOOKUP(C$19,'Raw - Emissions KM'!A:Q,16,FALSE)*VLOOKUP(C13,'Raw - Emissions KM'!A:Q,15,FALSE))),100)-MROUND(SUM(SUM(VLOOKUP(C13,'Raw - Emissions KM'!A:Q,16,FALSE)*VLOOKUP(C13,'Raw - Emissions KM'!A:Q,15,FALSE))),100)),IF($K$5="United Kingdom",SUM(MROUND(SUM(SUM(VLOOKUP(C$20,'Raw - Emissions KM'!A:Q,16,FALSE)*VLOOKUP(C13,'Raw - Emissions KM'!A:Q,15,FALSE))),100)-MROUND(SUM(SUM(VLOOKUP(C13,'Raw - Emissions KM'!A:Q,16,FALSE)*VLOOKUP(C13,'Raw - Emissions KM'!A:Q,15,FALSE))),100)),SUM(MROUND(SUM(SUM(VLOOKUP(C$16,'Raw - Emissions KM'!A:Q,16,FALSE)*VLOOKUP(C13,'Raw - Emissions KM'!A:Q,15,FALSE))),100)-MROUND(SUM(SUM(VLOOKUP(C13,'Raw - Emissions KM'!A:Q,16,FALSE)*VLOOKUP(C13,'Raw - Emissions KM'!A:Q,15,FALSE))),100)))))))</f>
        <v>-1600</v>
      </c>
    </row>
    <row r="14" spans="1:12" ht="19.5" customHeight="1">
      <c r="B14" s="296" t="s">
        <v>249</v>
      </c>
      <c r="C14" s="296" t="s">
        <v>43</v>
      </c>
      <c r="D14" s="297">
        <f>VLOOKUP($C14,'Raw - Emissions KM'!$A:$Q,4,FALSE)</f>
        <v>2.8918407436451634</v>
      </c>
      <c r="E14" s="297">
        <f>VLOOKUP($C14,'Raw - Emissions KM'!$A:$Q,8,FALSE)</f>
        <v>1.9472624901083784</v>
      </c>
      <c r="F14" s="297">
        <f>VLOOKUP($C14,'Raw - Emissions KM'!$A:$Q,12,FALSE)</f>
        <v>2.1584663527319927</v>
      </c>
      <c r="G14" s="297">
        <f>VLOOKUP($C14,'Raw - Emissions KM'!$A:$Q,16,FALSE)</f>
        <v>2.0607942207079071</v>
      </c>
      <c r="H14" s="298">
        <f>VLOOKUP(C14,'Raw - Emissions KM'!A:Q,14,FALSE)</f>
        <v>376.67815004365337</v>
      </c>
      <c r="I14" s="299">
        <f t="shared" si="1"/>
        <v>-0.83104652293725634</v>
      </c>
      <c r="J14" s="321">
        <f>SUM(VLOOKUP(C14,'Raw - Emissions KM'!A:Q,14,FALSE)-VLOOKUP(C14,'Raw - Emissions KM'!A:Q,2,FALSE))</f>
        <v>-151.90117660204049</v>
      </c>
      <c r="K14" s="301">
        <f t="shared" si="0"/>
        <v>-2.0143197154560317</v>
      </c>
      <c r="L14" s="302">
        <f>IF(K14="","",IF($K$5="LGBF FAMILY GROUP",SUM(MROUND(SUM(SUM(VLOOKUP(C$17,'Raw - Emissions KM'!A:Q,16,FALSE)*VLOOKUP(C14,'Raw - Emissions KM'!A:Q,15,FALSE))),100)-MROUND(SUM(SUM(VLOOKUP(C14,'Raw - Emissions KM'!A:Q,16,FALSE)*VLOOKUP(C14,'Raw - Emissions KM'!A:Q,15,FALSE))),100)),IF($K$5="Glasgow City Region",SUM(MROUND(SUM(SUM(VLOOKUP(C$18,'Raw - Emissions KM'!A:Q,16,FALSE)*VLOOKUP(C14,'Raw - Emissions KM'!A:Q,15,FALSE))),100)-MROUND(SUM(SUM(VLOOKUP(C14,'Raw - Emissions KM'!A:Q,16,FALSE)*VLOOKUP(C14,'Raw - Emissions KM'!A:Q,15,FALSE))),100)),IF($K$5="Scotland",SUM(MROUND(SUM(SUM(VLOOKUP(C$19,'Raw - Emissions KM'!A:Q,16,FALSE)*VLOOKUP(C14,'Raw - Emissions KM'!A:Q,15,FALSE))),100)-MROUND(SUM(SUM(VLOOKUP(C14,'Raw - Emissions KM'!A:Q,16,FALSE)*VLOOKUP(C14,'Raw - Emissions KM'!A:Q,15,FALSE))),100)),IF($K$5="United Kingdom",SUM(MROUND(SUM(SUM(VLOOKUP(C$20,'Raw - Emissions KM'!A:Q,16,FALSE)*VLOOKUP(C14,'Raw - Emissions KM'!A:Q,15,FALSE))),100)-MROUND(SUM(SUM(VLOOKUP(C14,'Raw - Emissions KM'!A:Q,16,FALSE)*VLOOKUP(C14,'Raw - Emissions KM'!A:Q,15,FALSE))),100)),SUM(MROUND(SUM(SUM(VLOOKUP(C$16,'Raw - Emissions KM'!A:Q,16,FALSE)*VLOOKUP(C14,'Raw - Emissions KM'!A:Q,15,FALSE))),100)-MROUND(SUM(SUM(VLOOKUP(C14,'Raw - Emissions KM'!A:Q,16,FALSE)*VLOOKUP(C14,'Raw - Emissions KM'!A:Q,15,FALSE))),100)))))))</f>
        <v>-400</v>
      </c>
    </row>
    <row r="15" spans="1:12" ht="19.5" customHeight="1">
      <c r="B15" s="303"/>
      <c r="C15" s="303"/>
      <c r="D15" s="304"/>
      <c r="E15" s="304"/>
      <c r="F15" s="304"/>
      <c r="G15" s="304"/>
      <c r="H15" s="305"/>
      <c r="I15" s="306"/>
      <c r="J15" s="315"/>
      <c r="K15" s="306"/>
      <c r="L15" s="306"/>
    </row>
    <row r="16" spans="1:12" ht="19.5" customHeight="1">
      <c r="B16" s="307" t="s">
        <v>51</v>
      </c>
      <c r="C16" s="296" t="str">
        <f>INDEX('Raw - Emissions KM'!$A$9:$A$40,MATCH(MIN('Raw - Emissions KM'!P9:P40),'Raw - Emissions KM'!P9:P40,0))</f>
        <v>Argyll and Bute</v>
      </c>
      <c r="D16" s="297">
        <f>VLOOKUP($C16,'Raw - Emissions KM'!$A:$Q,4,FALSE)</f>
        <v>3.6423646264807347E-2</v>
      </c>
      <c r="E16" s="297">
        <f>VLOOKUP($C16,'Raw - Emissions KM'!$A:$Q,8,FALSE)</f>
        <v>3.3859316903618035E-2</v>
      </c>
      <c r="F16" s="297">
        <f>VLOOKUP($C16,'Raw - Emissions KM'!$A:$Q,12,FALSE)</f>
        <v>4.3986671400573593E-2</v>
      </c>
      <c r="G16" s="297">
        <f>VLOOKUP($C16,'Raw - Emissions KM'!$A:$Q,16,FALSE)</f>
        <v>4.6474505251875527E-2</v>
      </c>
      <c r="H16" s="298">
        <f>VLOOKUP(C16,'Raw - Emissions KM'!A:Q,14,FALSE)</f>
        <v>332.99780050733887</v>
      </c>
      <c r="I16" s="299">
        <f>SUM(G16-D16)</f>
        <v>1.005085898706818E-2</v>
      </c>
      <c r="J16" s="321">
        <f>SUM(VLOOKUP(C16,'Raw - Emissions KM'!A:Q,14,FALSE)-VLOOKUP(C16,'Raw - Emissions KM'!A:Q,2,FALSE))</f>
        <v>72.016128364659778</v>
      </c>
    </row>
    <row r="17" spans="2:13" ht="19.5" customHeight="1">
      <c r="B17" s="307" t="s">
        <v>542</v>
      </c>
      <c r="C17" s="308" t="s">
        <v>546</v>
      </c>
      <c r="D17" s="297">
        <f>VLOOKUP($C17,'Raw - Emissions KM'!$A:$Q,4,FALSE)</f>
        <v>6.8944208591645015</v>
      </c>
      <c r="E17" s="297">
        <f>VLOOKUP($C17,'Raw - Emissions KM'!$A:$Q,8,FALSE)</f>
        <v>6.0430449396679977</v>
      </c>
      <c r="F17" s="297">
        <f>VLOOKUP($C17,'Raw - Emissions KM'!$A:$Q,12,FALSE)</f>
        <v>6.4931156872774576</v>
      </c>
      <c r="G17" s="297">
        <f>VLOOKUP($C17,'Raw - Emissions KM'!$A:$Q,16,FALSE)</f>
        <v>6.2170532085791885</v>
      </c>
      <c r="H17" s="298">
        <f>VLOOKUP(C17,'Raw - Emissions KM'!A:Q,14,FALSE)</f>
        <v>11574.287336706555</v>
      </c>
      <c r="I17" s="299">
        <f>SUM(G17-D17)</f>
        <v>-0.67736765058531301</v>
      </c>
      <c r="J17" s="321">
        <f>SUM(VLOOKUP(C17,'Raw - Emissions KM'!A:Q,14,FALSE)-VLOOKUP(C17,'Raw - Emissions KM'!A:Q,2,FALSE))</f>
        <v>-1261.0552873579127</v>
      </c>
    </row>
    <row r="18" spans="2:13" ht="19.5" customHeight="1">
      <c r="B18" s="307" t="s">
        <v>250</v>
      </c>
      <c r="C18" s="296" t="s">
        <v>47</v>
      </c>
      <c r="D18" s="297">
        <f>VLOOKUP($C18,'Raw - Emissions KM'!$A:$Q,4,FALSE)</f>
        <v>2.8300430985833462</v>
      </c>
      <c r="E18" s="297">
        <f>VLOOKUP($C18,'Raw - Emissions KM'!$A:$Q,8,FALSE)</f>
        <v>2.4263052488964685</v>
      </c>
      <c r="F18" s="297">
        <f>VLOOKUP($C18,'Raw - Emissions KM'!$A:$Q,12,FALSE)</f>
        <v>2.6713045449894035</v>
      </c>
      <c r="G18" s="297">
        <f>VLOOKUP($C18,'Raw - Emissions KM'!$A:$Q,16,FALSE)</f>
        <v>2.5394424648870815</v>
      </c>
      <c r="H18" s="298">
        <f>VLOOKUP(C18,'Raw - Emissions KM'!A:Q,14,FALSE)</f>
        <v>8626.6721943540906</v>
      </c>
      <c r="I18" s="299">
        <f>SUM(G18-D18)</f>
        <v>-0.29060063369626477</v>
      </c>
      <c r="J18" s="321">
        <f>SUM(VLOOKUP(C18,'Raw - Emissions KM'!A:Q,14,FALSE)-VLOOKUP(C18,'Raw - Emissions KM'!A:Q,2,FALSE))</f>
        <v>-987.19165369266193</v>
      </c>
    </row>
    <row r="19" spans="2:13" ht="19.5" customHeight="1">
      <c r="B19" s="307" t="s">
        <v>251</v>
      </c>
      <c r="C19" s="296" t="s">
        <v>45</v>
      </c>
      <c r="D19" s="297">
        <f>VLOOKUP($C19,'Raw - Emissions KM'!$A:$Q,4,FALSE)</f>
        <v>0.52426841545817104</v>
      </c>
      <c r="E19" s="297">
        <f>VLOOKUP($C19,'Raw - Emissions KM'!$A:$Q,8,FALSE)</f>
        <v>0.46877059954348022</v>
      </c>
      <c r="F19" s="297">
        <f>VLOOKUP($C19,'Raw - Emissions KM'!$A:$Q,12,FALSE)</f>
        <v>0.49884884966491927</v>
      </c>
      <c r="G19" s="297">
        <f>VLOOKUP($C19,'Raw - Emissions KM'!$A:$Q,16,FALSE)</f>
        <v>0.48429795056531649</v>
      </c>
      <c r="H19" s="298">
        <f>VLOOKUP(C19,'Raw - Emissions KM'!A:Q,14,FALSE)</f>
        <v>38856.598236562328</v>
      </c>
      <c r="I19" s="299">
        <f>SUM(G19-D19)</f>
        <v>-3.9970464892854551E-2</v>
      </c>
      <c r="J19" s="321">
        <f>SUM(VLOOKUP(C19,'Raw - Emissions KM'!A:Q,14,FALSE)-VLOOKUP(C19,'Raw - Emissions KM'!A:Q,2,FALSE))</f>
        <v>-3206.943770580343</v>
      </c>
    </row>
    <row r="20" spans="2:13" ht="19.5" customHeight="1">
      <c r="B20" s="307" t="s">
        <v>251</v>
      </c>
      <c r="C20" s="296" t="s">
        <v>46</v>
      </c>
      <c r="D20" s="297">
        <f>VLOOKUP($C20,'Raw - Emissions KM'!$A:$Q,4,FALSE)</f>
        <v>1.676874258650136</v>
      </c>
      <c r="E20" s="297">
        <f>VLOOKUP($C20,'Raw - Emissions KM'!$A:$Q,8,FALSE)</f>
        <v>1.5169278394105787</v>
      </c>
      <c r="F20" s="297">
        <f>VLOOKUP($C20,'Raw - Emissions KM'!$A:$Q,12,FALSE)</f>
        <v>1.5919208494302395</v>
      </c>
      <c r="G20" s="297">
        <f>VLOOKUP($C20,'Raw - Emissions KM'!$A:$Q,16,FALSE)</f>
        <v>1.5114705436306914</v>
      </c>
      <c r="H20" s="298">
        <f>VLOOKUP(C20,'Raw - Emissions KM'!A:Q,14,FALSE)</f>
        <v>375929.28164528694</v>
      </c>
      <c r="I20" s="299">
        <f>SUM(G20-D20)</f>
        <v>-0.16540371501944451</v>
      </c>
      <c r="J20" s="321">
        <f>SUM(VLOOKUP(C20,'Raw - Emissions KM'!A:Q,14,FALSE)-VLOOKUP(C20,'Raw - Emissions KM'!A:Q,2,FALSE))</f>
        <v>-41138.810167850985</v>
      </c>
    </row>
    <row r="21" spans="2:13" ht="19.5" customHeight="1">
      <c r="C21" s="309"/>
      <c r="D21" s="310"/>
      <c r="E21" s="310"/>
      <c r="F21" s="310"/>
      <c r="G21" s="310"/>
      <c r="H21" s="310"/>
      <c r="I21" s="310"/>
      <c r="J21" s="310"/>
      <c r="K21" s="310"/>
      <c r="L21" s="310"/>
      <c r="M21" s="310"/>
    </row>
    <row r="22" spans="2:13">
      <c r="D22" s="311"/>
      <c r="E22" s="311"/>
      <c r="F22" s="311"/>
      <c r="G22" s="312" t="str">
        <f>CONCATENATE(H22,I22)</f>
        <v>Volume Change Required to match Geographic Area - Top Performing Scottish Local Authority</v>
      </c>
      <c r="H22" s="312" t="s">
        <v>519</v>
      </c>
      <c r="I22" s="312" t="str">
        <f>K5</f>
        <v>Top Performing Scottish Local Authority</v>
      </c>
    </row>
    <row r="23" spans="2:13">
      <c r="B23" s="313" t="s">
        <v>467</v>
      </c>
    </row>
    <row r="24" spans="2:13">
      <c r="J24" s="314"/>
      <c r="K24" s="314"/>
      <c r="L24" s="314"/>
      <c r="M24" s="311"/>
    </row>
  </sheetData>
  <sheetProtection algorithmName="SHA-512" hashValue="HN/kFPEn5R/4fGqRqumD7tWFVV7aXCWh6TlDABj2Le03HckAqcEwYks+fO3P5Zes6kyg0dkOQZsyGoCHsQpuPg==" saltValue="8v5d3sHUEFKmQ44EAZGAbg==" spinCount="100000" sheet="1" sort="0"/>
  <autoFilter ref="C6:L6" xr:uid="{00000000-0001-0000-3400-000000000000}"/>
  <mergeCells count="4">
    <mergeCell ref="K4:L4"/>
    <mergeCell ref="I5:J5"/>
    <mergeCell ref="K5:L5"/>
    <mergeCell ref="G2:H2"/>
  </mergeCells>
  <dataValidations disablePrompts="1" count="1">
    <dataValidation type="list" allowBlank="1" showInputMessage="1" showErrorMessage="1" sqref="C17" xr:uid="{51ABC5BB-6BEB-42F4-BC1C-386679798C31}">
      <formula1>IF(B17="LGBF Family Group 1",LGBF_5,IF(B17="LGBF Family Group 3",LGBF_7,IF(B17="LGBF Family Group 4",LGBF_8,LGBF_6)))</formula1>
    </dataValidation>
  </dataValidations>
  <hyperlinks>
    <hyperlink ref="C3" r:id="rId1" xr:uid="{00000000-0004-0000-3400-000000000000}"/>
    <hyperlink ref="G2:H2" location="'Index RAG'!A1" display="Return to Index RAG" xr:uid="{00000000-0004-0000-34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3400-000001000000}">
          <x14:formula1>
            <xm:f>Lookups!$L$8:$O$8</xm:f>
          </x14:formula1>
          <xm:sqref>B17</xm:sqref>
        </x14:dataValidation>
        <x14:dataValidation type="list" allowBlank="1" showInputMessage="1" showErrorMessage="1" xr:uid="{00000000-0002-0000-3400-000002000000}">
          <x14:formula1>
            <xm:f>Lookups!$B$3:$B$7</xm:f>
          </x14:formula1>
          <xm:sqref>K5:L5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autoPageBreaks="0"/>
  </sheetPr>
  <dimension ref="A1:Q55"/>
  <sheetViews>
    <sheetView zoomScale="58" zoomScaleNormal="90" workbookViewId="0"/>
  </sheetViews>
  <sheetFormatPr defaultColWidth="8.7265625" defaultRowHeight="14.5"/>
  <cols>
    <col min="1" max="1" width="25.26953125" customWidth="1" collapsed="1"/>
    <col min="2" max="17" width="14.7265625" customWidth="1" collapsed="1"/>
  </cols>
  <sheetData>
    <row r="1" spans="1:17">
      <c r="A1" s="547" t="s">
        <v>59</v>
      </c>
    </row>
    <row r="2" spans="1:17">
      <c r="A2" s="2"/>
    </row>
    <row r="4" spans="1:17">
      <c r="A4" s="548" t="s">
        <v>1</v>
      </c>
      <c r="B4" s="6" t="s">
        <v>58</v>
      </c>
    </row>
    <row r="5" spans="1:17">
      <c r="A5" s="548" t="s">
        <v>3</v>
      </c>
      <c r="B5" s="548"/>
    </row>
    <row r="6" spans="1:17">
      <c r="N6" s="65"/>
    </row>
    <row r="7" spans="1:17" ht="22" customHeight="1">
      <c r="A7" s="12" t="s">
        <v>5</v>
      </c>
      <c r="B7" s="65" t="s">
        <v>289</v>
      </c>
      <c r="C7" s="65"/>
      <c r="D7" s="65"/>
      <c r="E7" s="65"/>
      <c r="F7" s="65" t="s">
        <v>604</v>
      </c>
      <c r="G7" s="65"/>
      <c r="H7" s="65"/>
      <c r="I7" s="65"/>
      <c r="J7" s="65" t="s">
        <v>700</v>
      </c>
      <c r="K7" s="65"/>
      <c r="L7" s="65"/>
      <c r="M7" s="65"/>
      <c r="N7" s="65" t="s">
        <v>749</v>
      </c>
      <c r="O7" s="65"/>
      <c r="P7" s="65"/>
      <c r="Q7" s="65"/>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6" t="s">
        <v>14</v>
      </c>
      <c r="B9" s="10">
        <v>7279</v>
      </c>
      <c r="C9" s="10">
        <f>B9/(D9/100)</f>
        <v>34173.708920187797</v>
      </c>
      <c r="D9" s="9">
        <v>21.3</v>
      </c>
      <c r="E9" s="9"/>
      <c r="F9" s="10">
        <v>7456</v>
      </c>
      <c r="G9" s="10">
        <f>F9/(H9/100)</f>
        <v>40743.169398907106</v>
      </c>
      <c r="H9" s="9">
        <v>18.3</v>
      </c>
      <c r="I9" s="9"/>
      <c r="J9" s="10">
        <v>7994</v>
      </c>
      <c r="K9" s="10">
        <f>J9/(L9/100)</f>
        <v>38995.121951219517</v>
      </c>
      <c r="L9" s="9">
        <v>20.5</v>
      </c>
      <c r="M9" s="9"/>
      <c r="N9" s="10">
        <v>8476</v>
      </c>
      <c r="O9" s="10">
        <f>N9/(P9/100)</f>
        <v>38880.733944954125</v>
      </c>
      <c r="P9" s="9">
        <v>21.8</v>
      </c>
      <c r="Q9" s="9"/>
    </row>
    <row r="10" spans="1:17">
      <c r="A10" s="6" t="s">
        <v>15</v>
      </c>
      <c r="B10" s="10">
        <v>9210</v>
      </c>
      <c r="C10" s="10">
        <f t="shared" ref="C10:C40" si="0">B10/(D10/100)</f>
        <v>55149.700598802403</v>
      </c>
      <c r="D10" s="9">
        <v>16.7</v>
      </c>
      <c r="E10" s="9"/>
      <c r="F10" s="10">
        <v>8074</v>
      </c>
      <c r="G10" s="10">
        <f t="shared" ref="G10:G40" si="1">F10/(H10/100)</f>
        <v>56859.154929577468</v>
      </c>
      <c r="H10" s="9">
        <v>14.2</v>
      </c>
      <c r="I10" s="9"/>
      <c r="J10" s="10">
        <v>8799</v>
      </c>
      <c r="K10" s="10">
        <f t="shared" ref="K10:K40" si="2">J10/(L10/100)</f>
        <v>54993.75</v>
      </c>
      <c r="L10" s="9">
        <v>16</v>
      </c>
      <c r="M10" s="9"/>
      <c r="N10" s="10">
        <v>8846</v>
      </c>
      <c r="O10" s="10">
        <f t="shared" ref="O10:O40" si="3">N10/(P10/100)</f>
        <v>53612.121212121208</v>
      </c>
      <c r="P10" s="9">
        <v>16.5</v>
      </c>
      <c r="Q10" s="9"/>
    </row>
    <row r="11" spans="1:17">
      <c r="A11" s="6" t="s">
        <v>16</v>
      </c>
      <c r="B11" s="10">
        <v>5019</v>
      </c>
      <c r="C11" s="10">
        <f t="shared" si="0"/>
        <v>20912.5</v>
      </c>
      <c r="D11" s="9">
        <v>24</v>
      </c>
      <c r="E11" s="9"/>
      <c r="F11" s="10">
        <v>4600</v>
      </c>
      <c r="G11" s="10">
        <f t="shared" si="1"/>
        <v>22330.097087378643</v>
      </c>
      <c r="H11" s="9">
        <v>20.599999999999998</v>
      </c>
      <c r="I11" s="9"/>
      <c r="J11" s="10">
        <v>5067</v>
      </c>
      <c r="K11" s="10">
        <f t="shared" si="2"/>
        <v>20938.016528925622</v>
      </c>
      <c r="L11" s="9">
        <v>24.2</v>
      </c>
      <c r="M11" s="9"/>
      <c r="N11" s="10">
        <v>5147</v>
      </c>
      <c r="O11" s="10">
        <f t="shared" si="3"/>
        <v>20670.682730923694</v>
      </c>
      <c r="P11" s="9">
        <v>24.9</v>
      </c>
      <c r="Q11" s="9"/>
    </row>
    <row r="12" spans="1:17">
      <c r="A12" s="6" t="s">
        <v>17</v>
      </c>
      <c r="B12" s="10">
        <v>3684</v>
      </c>
      <c r="C12" s="10">
        <f t="shared" si="0"/>
        <v>15811.158798283261</v>
      </c>
      <c r="D12" s="9">
        <v>23.3</v>
      </c>
      <c r="E12" s="9"/>
      <c r="F12" s="10">
        <v>2813</v>
      </c>
      <c r="G12" s="10">
        <f t="shared" si="1"/>
        <v>14883.597883597886</v>
      </c>
      <c r="H12" s="9">
        <v>18.899999999999999</v>
      </c>
      <c r="I12" s="9"/>
      <c r="J12" s="10">
        <v>3062</v>
      </c>
      <c r="K12" s="10">
        <f t="shared" si="2"/>
        <v>14110.599078341014</v>
      </c>
      <c r="L12" s="9">
        <v>21.7</v>
      </c>
      <c r="M12" s="9"/>
      <c r="N12" s="10">
        <v>3258</v>
      </c>
      <c r="O12" s="10">
        <f t="shared" si="3"/>
        <v>13863.829787234043</v>
      </c>
      <c r="P12" s="9">
        <v>23.5</v>
      </c>
      <c r="Q12" s="9"/>
    </row>
    <row r="13" spans="1:17">
      <c r="A13" s="6" t="s">
        <v>189</v>
      </c>
      <c r="B13" s="10">
        <v>17980</v>
      </c>
      <c r="C13" s="10">
        <f t="shared" si="0"/>
        <v>88571.428571428565</v>
      </c>
      <c r="D13" s="9">
        <v>20.3</v>
      </c>
      <c r="E13" s="9"/>
      <c r="F13" s="10">
        <v>16142</v>
      </c>
      <c r="G13" s="10">
        <f t="shared" si="1"/>
        <v>93848.837209302335</v>
      </c>
      <c r="H13" s="9">
        <v>17.2</v>
      </c>
      <c r="I13" s="9"/>
      <c r="J13" s="10">
        <v>17339</v>
      </c>
      <c r="K13" s="10">
        <f t="shared" si="2"/>
        <v>88917.948717948719</v>
      </c>
      <c r="L13" s="9">
        <v>19.5</v>
      </c>
      <c r="M13" s="9"/>
      <c r="N13" s="10">
        <v>17907</v>
      </c>
      <c r="O13" s="10">
        <f t="shared" si="3"/>
        <v>87779.411764705888</v>
      </c>
      <c r="P13" s="9">
        <v>20.399999999999999</v>
      </c>
      <c r="Q13" s="9"/>
    </row>
    <row r="14" spans="1:17">
      <c r="A14" s="6" t="s">
        <v>18</v>
      </c>
      <c r="B14" s="10">
        <v>2640</v>
      </c>
      <c r="C14" s="10">
        <f t="shared" si="0"/>
        <v>9670.3296703296692</v>
      </c>
      <c r="D14" s="9">
        <v>27.3</v>
      </c>
      <c r="E14" s="9"/>
      <c r="F14" s="10">
        <v>2480</v>
      </c>
      <c r="G14" s="10">
        <f t="shared" si="1"/>
        <v>10376.569037656904</v>
      </c>
      <c r="H14" s="9">
        <v>23.9</v>
      </c>
      <c r="I14" s="9"/>
      <c r="J14" s="10">
        <v>2764</v>
      </c>
      <c r="K14" s="10">
        <f t="shared" si="2"/>
        <v>9766.7844522968207</v>
      </c>
      <c r="L14" s="9">
        <v>28.299999999999997</v>
      </c>
      <c r="M14" s="9"/>
      <c r="N14" s="10">
        <v>2813</v>
      </c>
      <c r="O14" s="10">
        <f t="shared" si="3"/>
        <v>9633.5616438356174</v>
      </c>
      <c r="P14" s="9">
        <v>29.2</v>
      </c>
      <c r="Q14" s="9"/>
    </row>
    <row r="15" spans="1:17">
      <c r="A15" s="6" t="s">
        <v>19</v>
      </c>
      <c r="B15" s="10">
        <v>6926</v>
      </c>
      <c r="C15" s="10">
        <f t="shared" si="0"/>
        <v>25940.074906367041</v>
      </c>
      <c r="D15" s="9">
        <v>26.700000000000003</v>
      </c>
      <c r="E15" s="9"/>
      <c r="F15" s="10">
        <v>6243</v>
      </c>
      <c r="G15" s="10">
        <f t="shared" si="1"/>
        <v>27262.008733624454</v>
      </c>
      <c r="H15" s="9">
        <v>22.900000000000002</v>
      </c>
      <c r="I15" s="9"/>
      <c r="J15" s="10">
        <v>6751</v>
      </c>
      <c r="K15" s="10">
        <f t="shared" si="2"/>
        <v>25965.384615384613</v>
      </c>
      <c r="L15" s="9">
        <v>26</v>
      </c>
      <c r="M15" s="9"/>
      <c r="N15" s="10">
        <v>6841</v>
      </c>
      <c r="O15" s="10">
        <f t="shared" si="3"/>
        <v>25431.226765799256</v>
      </c>
      <c r="P15" s="9">
        <v>26.900000000000002</v>
      </c>
      <c r="Q15" s="9"/>
    </row>
    <row r="16" spans="1:17">
      <c r="A16" s="6" t="s">
        <v>20</v>
      </c>
      <c r="B16" s="10">
        <v>7082</v>
      </c>
      <c r="C16" s="10">
        <f t="shared" si="0"/>
        <v>26425.373134328358</v>
      </c>
      <c r="D16" s="9">
        <v>26.8</v>
      </c>
      <c r="E16" s="9"/>
      <c r="F16" s="10">
        <v>6392</v>
      </c>
      <c r="G16" s="10">
        <f t="shared" si="1"/>
        <v>28408.888888888887</v>
      </c>
      <c r="H16" s="9">
        <v>22.5</v>
      </c>
      <c r="I16" s="9"/>
      <c r="J16" s="10">
        <v>7208</v>
      </c>
      <c r="K16" s="10">
        <f t="shared" si="2"/>
        <v>26597.785977859778</v>
      </c>
      <c r="L16" s="9">
        <v>27.1</v>
      </c>
      <c r="M16" s="9"/>
      <c r="N16" s="10">
        <v>7391</v>
      </c>
      <c r="O16" s="10">
        <f t="shared" si="3"/>
        <v>26209.21985815603</v>
      </c>
      <c r="P16" s="9">
        <v>28.199999999999996</v>
      </c>
      <c r="Q16" s="9"/>
    </row>
    <row r="17" spans="1:17">
      <c r="A17" s="6" t="s">
        <v>21</v>
      </c>
      <c r="B17" s="10">
        <v>6582</v>
      </c>
      <c r="C17" s="10">
        <f t="shared" si="0"/>
        <v>24109.890109890108</v>
      </c>
      <c r="D17" s="9">
        <v>27.3</v>
      </c>
      <c r="E17" s="9"/>
      <c r="F17" s="10">
        <v>5882</v>
      </c>
      <c r="G17" s="10">
        <f t="shared" si="1"/>
        <v>24508.333333333336</v>
      </c>
      <c r="H17" s="9">
        <v>24</v>
      </c>
      <c r="I17" s="9"/>
      <c r="J17" s="10">
        <v>6314</v>
      </c>
      <c r="K17" s="10">
        <f t="shared" si="2"/>
        <v>23213.235294117647</v>
      </c>
      <c r="L17" s="9">
        <v>27.200000000000003</v>
      </c>
      <c r="M17" s="9"/>
      <c r="N17" s="10">
        <v>6342</v>
      </c>
      <c r="O17" s="10">
        <f t="shared" si="3"/>
        <v>22731.182795698922</v>
      </c>
      <c r="P17" s="9">
        <v>27.900000000000002</v>
      </c>
      <c r="Q17" s="9"/>
    </row>
    <row r="18" spans="1:17">
      <c r="A18" s="6" t="s">
        <v>22</v>
      </c>
      <c r="B18" s="10">
        <v>3784</v>
      </c>
      <c r="C18" s="10">
        <f t="shared" si="0"/>
        <v>23214.723926380368</v>
      </c>
      <c r="D18" s="9">
        <v>16.3</v>
      </c>
      <c r="E18" s="9"/>
      <c r="F18" s="10">
        <v>2963</v>
      </c>
      <c r="G18" s="10">
        <f t="shared" si="1"/>
        <v>23704</v>
      </c>
      <c r="H18" s="9">
        <v>12.5</v>
      </c>
      <c r="I18" s="9"/>
      <c r="J18" s="10">
        <v>3367</v>
      </c>
      <c r="K18" s="10">
        <f t="shared" si="2"/>
        <v>22597.315436241613</v>
      </c>
      <c r="L18" s="9">
        <v>14.899999999999999</v>
      </c>
      <c r="M18" s="9"/>
      <c r="N18" s="10">
        <v>3440</v>
      </c>
      <c r="O18" s="10">
        <f t="shared" si="3"/>
        <v>21910.828025477706</v>
      </c>
      <c r="P18" s="9">
        <v>15.7</v>
      </c>
      <c r="Q18" s="9"/>
    </row>
    <row r="19" spans="1:17">
      <c r="A19" s="6" t="s">
        <v>23</v>
      </c>
      <c r="B19" s="10">
        <v>5589</v>
      </c>
      <c r="C19" s="10">
        <f t="shared" si="0"/>
        <v>22812.244897959183</v>
      </c>
      <c r="D19" s="9">
        <v>24.5</v>
      </c>
      <c r="E19" s="9"/>
      <c r="F19" s="10">
        <v>4390</v>
      </c>
      <c r="G19" s="10">
        <f t="shared" si="1"/>
        <v>23227.513227513231</v>
      </c>
      <c r="H19" s="9">
        <v>18.899999999999999</v>
      </c>
      <c r="I19" s="9"/>
      <c r="J19" s="10">
        <v>4765</v>
      </c>
      <c r="K19" s="10">
        <f t="shared" si="2"/>
        <v>22582.938388625596</v>
      </c>
      <c r="L19" s="9">
        <v>21.099999999999998</v>
      </c>
      <c r="M19" s="9"/>
      <c r="N19" s="10">
        <v>4679</v>
      </c>
      <c r="O19" s="10">
        <f t="shared" si="3"/>
        <v>21967.136150234743</v>
      </c>
      <c r="P19" s="9">
        <v>21.3</v>
      </c>
      <c r="Q19" s="9"/>
    </row>
    <row r="20" spans="1:17">
      <c r="A20" s="6" t="s">
        <v>24</v>
      </c>
      <c r="B20" s="10">
        <v>3649</v>
      </c>
      <c r="C20" s="10">
        <f t="shared" si="0"/>
        <v>23094.936708860758</v>
      </c>
      <c r="D20" s="9">
        <v>15.8</v>
      </c>
      <c r="E20" s="9"/>
      <c r="F20" s="10">
        <v>3064</v>
      </c>
      <c r="G20" s="10">
        <f t="shared" si="1"/>
        <v>23937.5</v>
      </c>
      <c r="H20" s="9">
        <v>12.8</v>
      </c>
      <c r="I20" s="9"/>
      <c r="J20" s="10">
        <v>3288</v>
      </c>
      <c r="K20" s="10">
        <f t="shared" si="2"/>
        <v>22833.333333333336</v>
      </c>
      <c r="L20" s="9">
        <v>14.399999999999999</v>
      </c>
      <c r="M20" s="9"/>
      <c r="N20" s="10">
        <v>3247</v>
      </c>
      <c r="O20" s="10">
        <f t="shared" si="3"/>
        <v>23192.857142857141</v>
      </c>
      <c r="P20" s="9">
        <v>14.000000000000002</v>
      </c>
      <c r="Q20" s="9"/>
    </row>
    <row r="21" spans="1:17">
      <c r="A21" s="6" t="s">
        <v>25</v>
      </c>
      <c r="B21" s="10">
        <v>7686</v>
      </c>
      <c r="C21" s="10">
        <f t="shared" si="0"/>
        <v>30991.93548387097</v>
      </c>
      <c r="D21" s="9">
        <v>24.8</v>
      </c>
      <c r="E21" s="9"/>
      <c r="F21" s="10">
        <v>7009</v>
      </c>
      <c r="G21" s="10">
        <f t="shared" si="1"/>
        <v>32600</v>
      </c>
      <c r="H21" s="9">
        <v>21.5</v>
      </c>
      <c r="I21" s="9"/>
      <c r="J21" s="10">
        <v>7771</v>
      </c>
      <c r="K21" s="10">
        <f t="shared" si="2"/>
        <v>30715.415019762844</v>
      </c>
      <c r="L21" s="9">
        <v>25.3</v>
      </c>
      <c r="M21" s="9"/>
      <c r="N21" s="10">
        <v>7882</v>
      </c>
      <c r="O21" s="10">
        <f t="shared" si="3"/>
        <v>30083.969465648854</v>
      </c>
      <c r="P21" s="9">
        <v>26.200000000000003</v>
      </c>
      <c r="Q21" s="9"/>
    </row>
    <row r="22" spans="1:17">
      <c r="A22" s="6" t="s">
        <v>26</v>
      </c>
      <c r="B22" s="10">
        <v>18902</v>
      </c>
      <c r="C22" s="10">
        <f t="shared" si="0"/>
        <v>71598.484848484848</v>
      </c>
      <c r="D22" s="9">
        <v>26.400000000000002</v>
      </c>
      <c r="E22" s="9"/>
      <c r="F22" s="10">
        <v>16646</v>
      </c>
      <c r="G22" s="10">
        <f t="shared" si="1"/>
        <v>75321.266968325785</v>
      </c>
      <c r="H22" s="9">
        <v>22.1</v>
      </c>
      <c r="I22" s="9"/>
      <c r="J22" s="10">
        <v>18602</v>
      </c>
      <c r="K22" s="10">
        <f t="shared" si="2"/>
        <v>71272.030651340989</v>
      </c>
      <c r="L22" s="9">
        <v>26.1</v>
      </c>
      <c r="M22" s="9"/>
      <c r="N22" s="10">
        <v>18711</v>
      </c>
      <c r="O22" s="10">
        <f t="shared" si="3"/>
        <v>70342.105263157893</v>
      </c>
      <c r="P22" s="9">
        <v>26.6</v>
      </c>
      <c r="Q22" s="9"/>
    </row>
    <row r="23" spans="1:17">
      <c r="A23" s="6" t="s">
        <v>27</v>
      </c>
      <c r="B23" s="10">
        <v>33734</v>
      </c>
      <c r="C23" s="10">
        <f t="shared" si="0"/>
        <v>104763.97515527951</v>
      </c>
      <c r="D23" s="9">
        <v>32.200000000000003</v>
      </c>
      <c r="E23" s="9"/>
      <c r="F23" s="10">
        <v>34829</v>
      </c>
      <c r="G23" s="10">
        <f t="shared" si="1"/>
        <v>118465.98639455783</v>
      </c>
      <c r="H23" s="9">
        <v>29.4</v>
      </c>
      <c r="I23" s="9"/>
      <c r="J23" s="10">
        <v>35891</v>
      </c>
      <c r="K23" s="10">
        <f t="shared" si="2"/>
        <v>112159.375</v>
      </c>
      <c r="L23" s="9">
        <v>32</v>
      </c>
      <c r="M23" s="9"/>
      <c r="N23" s="10">
        <v>36348</v>
      </c>
      <c r="O23" s="10">
        <f t="shared" si="3"/>
        <v>110480.24316109424</v>
      </c>
      <c r="P23" s="9">
        <v>32.9</v>
      </c>
      <c r="Q23" s="9"/>
    </row>
    <row r="24" spans="1:17">
      <c r="A24" s="6" t="s">
        <v>28</v>
      </c>
      <c r="B24" s="10">
        <v>11136</v>
      </c>
      <c r="C24" s="10">
        <f t="shared" si="0"/>
        <v>47186.440677966108</v>
      </c>
      <c r="D24" s="9">
        <v>23.599999999999998</v>
      </c>
      <c r="E24" s="9"/>
      <c r="F24" s="10">
        <v>9404</v>
      </c>
      <c r="G24" s="10">
        <f t="shared" si="1"/>
        <v>45873.170731707323</v>
      </c>
      <c r="H24" s="9">
        <v>20.5</v>
      </c>
      <c r="I24" s="9"/>
      <c r="J24" s="10">
        <v>9799</v>
      </c>
      <c r="K24" s="10">
        <f t="shared" si="2"/>
        <v>42978.070175438595</v>
      </c>
      <c r="L24" s="9">
        <v>22.8</v>
      </c>
      <c r="M24" s="9"/>
      <c r="N24" s="10">
        <v>9776</v>
      </c>
      <c r="O24" s="10">
        <f t="shared" si="3"/>
        <v>41957.081545064379</v>
      </c>
      <c r="P24" s="9">
        <v>23.3</v>
      </c>
      <c r="Q24" s="9"/>
    </row>
    <row r="25" spans="1:17">
      <c r="A25" s="6" t="s">
        <v>29</v>
      </c>
      <c r="B25" s="10">
        <v>3942</v>
      </c>
      <c r="C25" s="10">
        <f t="shared" si="0"/>
        <v>16563.025210084037</v>
      </c>
      <c r="D25" s="9">
        <v>23.799999999999997</v>
      </c>
      <c r="E25" s="9"/>
      <c r="F25" s="10">
        <v>2821</v>
      </c>
      <c r="G25" s="10">
        <f t="shared" si="1"/>
        <v>15500</v>
      </c>
      <c r="H25" s="9">
        <v>18.2</v>
      </c>
      <c r="I25" s="9"/>
      <c r="J25" s="10">
        <v>3427</v>
      </c>
      <c r="K25" s="10">
        <f t="shared" si="2"/>
        <v>14045.081967213115</v>
      </c>
      <c r="L25" s="9">
        <v>24.4</v>
      </c>
      <c r="M25" s="9"/>
      <c r="N25" s="10">
        <v>3600</v>
      </c>
      <c r="O25" s="10">
        <f t="shared" si="3"/>
        <v>13793.103448275862</v>
      </c>
      <c r="P25" s="9">
        <v>26.1</v>
      </c>
      <c r="Q25" s="9"/>
    </row>
    <row r="26" spans="1:17">
      <c r="A26" s="6" t="s">
        <v>30</v>
      </c>
      <c r="B26" s="10">
        <v>4583</v>
      </c>
      <c r="C26" s="10">
        <f t="shared" si="0"/>
        <v>19175.732217573222</v>
      </c>
      <c r="D26" s="9">
        <v>23.9</v>
      </c>
      <c r="E26" s="9"/>
      <c r="F26" s="10">
        <v>4180</v>
      </c>
      <c r="G26" s="10">
        <f t="shared" si="1"/>
        <v>20900</v>
      </c>
      <c r="H26" s="9">
        <v>20</v>
      </c>
      <c r="I26" s="9"/>
      <c r="J26" s="10">
        <v>4590</v>
      </c>
      <c r="K26" s="10">
        <f t="shared" si="2"/>
        <v>20220.264317180619</v>
      </c>
      <c r="L26" s="9">
        <v>22.7</v>
      </c>
      <c r="M26" s="9"/>
      <c r="N26" s="10">
        <v>4592</v>
      </c>
      <c r="O26" s="10">
        <f t="shared" si="3"/>
        <v>19793.103448275859</v>
      </c>
      <c r="P26" s="9">
        <v>23.200000000000003</v>
      </c>
      <c r="Q26" s="9"/>
    </row>
    <row r="27" spans="1:17">
      <c r="A27" s="6" t="s">
        <v>31</v>
      </c>
      <c r="B27" s="10">
        <v>4248</v>
      </c>
      <c r="C27" s="10">
        <f t="shared" si="0"/>
        <v>18153.846153846152</v>
      </c>
      <c r="D27" s="9">
        <v>23.400000000000002</v>
      </c>
      <c r="E27" s="9"/>
      <c r="F27" s="10">
        <v>3973</v>
      </c>
      <c r="G27" s="10">
        <f t="shared" si="1"/>
        <v>18652.582159624413</v>
      </c>
      <c r="H27" s="9">
        <v>21.3</v>
      </c>
      <c r="I27" s="9"/>
      <c r="J27" s="10">
        <v>4228</v>
      </c>
      <c r="K27" s="10">
        <f t="shared" si="2"/>
        <v>17543.568464730291</v>
      </c>
      <c r="L27" s="9">
        <v>24.099999999999998</v>
      </c>
      <c r="M27" s="9"/>
      <c r="N27" s="10">
        <v>4182</v>
      </c>
      <c r="O27" s="10">
        <f t="shared" si="3"/>
        <v>17497.907949790795</v>
      </c>
      <c r="P27" s="9">
        <v>23.9</v>
      </c>
      <c r="Q27" s="9"/>
    </row>
    <row r="28" spans="1:17">
      <c r="A28" s="6" t="s">
        <v>32</v>
      </c>
      <c r="B28" s="10">
        <v>1143</v>
      </c>
      <c r="C28" s="10">
        <f t="shared" si="0"/>
        <v>5521.739130434783</v>
      </c>
      <c r="D28" s="9">
        <v>20.7</v>
      </c>
      <c r="E28" s="9"/>
      <c r="F28" s="10">
        <v>836</v>
      </c>
      <c r="G28" s="10">
        <f t="shared" si="1"/>
        <v>5005.9880239520962</v>
      </c>
      <c r="H28" s="9">
        <v>16.7</v>
      </c>
      <c r="I28" s="9"/>
      <c r="J28" s="10">
        <v>913</v>
      </c>
      <c r="K28" s="10">
        <f t="shared" si="2"/>
        <v>4611.1111111111113</v>
      </c>
      <c r="L28" s="9">
        <v>19.8</v>
      </c>
      <c r="M28" s="9"/>
      <c r="N28" s="10">
        <v>860</v>
      </c>
      <c r="O28" s="10">
        <f t="shared" si="3"/>
        <v>4648.6486486486483</v>
      </c>
      <c r="P28" s="9">
        <v>18.5</v>
      </c>
      <c r="Q28" s="9"/>
    </row>
    <row r="29" spans="1:17">
      <c r="A29" s="6" t="s">
        <v>33</v>
      </c>
      <c r="B29" s="10">
        <v>6932</v>
      </c>
      <c r="C29" s="10">
        <f t="shared" si="0"/>
        <v>24845.878136200714</v>
      </c>
      <c r="D29" s="9">
        <v>27.900000000000002</v>
      </c>
      <c r="E29" s="9"/>
      <c r="F29" s="10">
        <v>6585</v>
      </c>
      <c r="G29" s="10">
        <f t="shared" si="1"/>
        <v>26659.919028340082</v>
      </c>
      <c r="H29" s="9">
        <v>24.7</v>
      </c>
      <c r="I29" s="9"/>
      <c r="J29" s="10">
        <v>7141</v>
      </c>
      <c r="K29" s="10">
        <f t="shared" si="2"/>
        <v>24624.137931034486</v>
      </c>
      <c r="L29" s="9">
        <v>28.999999999999996</v>
      </c>
      <c r="M29" s="9"/>
      <c r="N29" s="10">
        <v>7181</v>
      </c>
      <c r="O29" s="10">
        <f t="shared" si="3"/>
        <v>24592.465753424658</v>
      </c>
      <c r="P29" s="9">
        <v>29.2</v>
      </c>
      <c r="Q29" s="9"/>
    </row>
    <row r="30" spans="1:17">
      <c r="A30" s="6" t="s">
        <v>34</v>
      </c>
      <c r="B30" s="10">
        <v>19372</v>
      </c>
      <c r="C30" s="10">
        <f t="shared" si="0"/>
        <v>73101.886792452831</v>
      </c>
      <c r="D30" s="9">
        <v>26.5</v>
      </c>
      <c r="E30" s="9"/>
      <c r="F30" s="10">
        <v>17043</v>
      </c>
      <c r="G30" s="10">
        <f t="shared" si="1"/>
        <v>73461.20689655171</v>
      </c>
      <c r="H30" s="9">
        <v>23.200000000000003</v>
      </c>
      <c r="I30" s="9"/>
      <c r="J30" s="10">
        <v>18252</v>
      </c>
      <c r="K30" s="10">
        <f t="shared" si="2"/>
        <v>68616.541353383451</v>
      </c>
      <c r="L30" s="9">
        <v>26.6</v>
      </c>
      <c r="M30" s="9"/>
      <c r="N30" s="10">
        <v>18264</v>
      </c>
      <c r="O30" s="10">
        <f t="shared" si="3"/>
        <v>67895.910780669146</v>
      </c>
      <c r="P30" s="9">
        <v>26.900000000000002</v>
      </c>
      <c r="Q30" s="9"/>
    </row>
    <row r="31" spans="1:17">
      <c r="A31" s="6" t="s">
        <v>35</v>
      </c>
      <c r="B31" s="10">
        <v>879</v>
      </c>
      <c r="C31" s="10">
        <f t="shared" si="0"/>
        <v>3872.2466960352426</v>
      </c>
      <c r="D31" s="9">
        <v>22.7</v>
      </c>
      <c r="E31" s="9"/>
      <c r="F31" s="10">
        <v>779</v>
      </c>
      <c r="G31" s="10">
        <f t="shared" si="1"/>
        <v>4280.2197802197807</v>
      </c>
      <c r="H31" s="9">
        <v>18.2</v>
      </c>
      <c r="I31" s="9"/>
      <c r="J31" s="10">
        <v>824</v>
      </c>
      <c r="K31" s="10">
        <f t="shared" si="2"/>
        <v>4099.5024875621884</v>
      </c>
      <c r="L31" s="9">
        <v>20.100000000000001</v>
      </c>
      <c r="M31" s="9"/>
      <c r="N31" s="10">
        <v>786</v>
      </c>
      <c r="O31" s="10">
        <f t="shared" si="3"/>
        <v>4072.538860103627</v>
      </c>
      <c r="P31" s="9">
        <v>19.3</v>
      </c>
      <c r="Q31" s="9"/>
    </row>
    <row r="32" spans="1:17">
      <c r="A32" s="6" t="s">
        <v>36</v>
      </c>
      <c r="B32" s="10">
        <v>6089</v>
      </c>
      <c r="C32" s="10">
        <f t="shared" si="0"/>
        <v>26942.477876106193</v>
      </c>
      <c r="D32" s="9">
        <v>22.6</v>
      </c>
      <c r="E32" s="9"/>
      <c r="F32" s="10">
        <v>5285</v>
      </c>
      <c r="G32" s="10">
        <f t="shared" si="1"/>
        <v>28262.032085561499</v>
      </c>
      <c r="H32" s="9">
        <v>18.7</v>
      </c>
      <c r="I32" s="9"/>
      <c r="J32" s="10">
        <v>5914</v>
      </c>
      <c r="K32" s="10">
        <f t="shared" si="2"/>
        <v>27004.566210045665</v>
      </c>
      <c r="L32" s="9">
        <v>21.9</v>
      </c>
      <c r="M32" s="9"/>
      <c r="N32" s="10">
        <v>5750</v>
      </c>
      <c r="O32" s="10">
        <f t="shared" si="3"/>
        <v>26497.695852534562</v>
      </c>
      <c r="P32" s="9">
        <v>21.7</v>
      </c>
      <c r="Q32" s="9"/>
    </row>
    <row r="33" spans="1:17">
      <c r="A33" s="6" t="s">
        <v>37</v>
      </c>
      <c r="B33" s="10">
        <v>7038</v>
      </c>
      <c r="C33" s="10">
        <f t="shared" si="0"/>
        <v>30467.532467532466</v>
      </c>
      <c r="D33" s="9">
        <v>23.1</v>
      </c>
      <c r="E33" s="9"/>
      <c r="F33" s="10">
        <v>6919</v>
      </c>
      <c r="G33" s="10">
        <f t="shared" si="1"/>
        <v>35482.051282051281</v>
      </c>
      <c r="H33" s="9">
        <v>19.5</v>
      </c>
      <c r="I33" s="9"/>
      <c r="J33" s="10">
        <v>7840</v>
      </c>
      <c r="K33" s="10">
        <f t="shared" si="2"/>
        <v>33648.068669527893</v>
      </c>
      <c r="L33" s="9">
        <v>23.3</v>
      </c>
      <c r="M33" s="9"/>
      <c r="N33" s="10">
        <v>7944</v>
      </c>
      <c r="O33" s="10">
        <f t="shared" si="3"/>
        <v>33100</v>
      </c>
      <c r="P33" s="9">
        <v>24</v>
      </c>
      <c r="Q33" s="9"/>
    </row>
    <row r="34" spans="1:17">
      <c r="A34" s="6" t="s">
        <v>38</v>
      </c>
      <c r="B34" s="10">
        <v>5292</v>
      </c>
      <c r="C34" s="10">
        <f t="shared" si="0"/>
        <v>21867.768595041322</v>
      </c>
      <c r="D34" s="9">
        <v>24.2</v>
      </c>
      <c r="E34" s="9"/>
      <c r="F34" s="10">
        <v>4445</v>
      </c>
      <c r="G34" s="10">
        <f t="shared" si="1"/>
        <v>22794.871794871793</v>
      </c>
      <c r="H34" s="9">
        <v>19.5</v>
      </c>
      <c r="I34" s="9"/>
      <c r="J34" s="10">
        <v>4963</v>
      </c>
      <c r="K34" s="10">
        <f t="shared" si="2"/>
        <v>21209.401709401707</v>
      </c>
      <c r="L34" s="9">
        <v>23.400000000000002</v>
      </c>
      <c r="M34" s="9"/>
      <c r="N34" s="10">
        <v>4937</v>
      </c>
      <c r="O34" s="10">
        <f t="shared" si="3"/>
        <v>20919.491525423731</v>
      </c>
      <c r="P34" s="9">
        <v>23.599999999999998</v>
      </c>
      <c r="Q34" s="9"/>
    </row>
    <row r="35" spans="1:17">
      <c r="A35" s="6" t="s">
        <v>39</v>
      </c>
      <c r="B35" s="10">
        <v>743</v>
      </c>
      <c r="C35" s="10">
        <f t="shared" si="0"/>
        <v>4702.5316455696202</v>
      </c>
      <c r="D35" s="9">
        <v>15.8</v>
      </c>
      <c r="E35" s="9"/>
      <c r="F35" s="10">
        <v>906</v>
      </c>
      <c r="G35" s="10">
        <f t="shared" si="1"/>
        <v>4844.9197860962568</v>
      </c>
      <c r="H35" s="9">
        <v>18.7</v>
      </c>
      <c r="I35" s="9"/>
      <c r="J35" s="10">
        <v>700</v>
      </c>
      <c r="K35" s="10">
        <f t="shared" si="2"/>
        <v>4545.454545454546</v>
      </c>
      <c r="L35" s="9">
        <v>15.4</v>
      </c>
      <c r="M35" s="9"/>
      <c r="N35" s="10">
        <v>765</v>
      </c>
      <c r="O35" s="10">
        <f t="shared" si="3"/>
        <v>4664.6341463414628</v>
      </c>
      <c r="P35" s="9">
        <v>16.400000000000002</v>
      </c>
      <c r="Q35" s="9"/>
    </row>
    <row r="36" spans="1:17">
      <c r="A36" s="6" t="s">
        <v>40</v>
      </c>
      <c r="B36" s="10">
        <v>5006</v>
      </c>
      <c r="C36" s="10">
        <f t="shared" si="0"/>
        <v>20185.483870967742</v>
      </c>
      <c r="D36" s="9">
        <v>24.8</v>
      </c>
      <c r="E36" s="9"/>
      <c r="F36" s="10">
        <v>4270</v>
      </c>
      <c r="G36" s="10">
        <f t="shared" si="1"/>
        <v>20728.155339805828</v>
      </c>
      <c r="H36" s="9">
        <v>20.599999999999998</v>
      </c>
      <c r="I36" s="9"/>
      <c r="J36" s="10">
        <v>4807</v>
      </c>
      <c r="K36" s="10">
        <f t="shared" si="2"/>
        <v>19700.819672131147</v>
      </c>
      <c r="L36" s="9">
        <v>24.4</v>
      </c>
      <c r="M36" s="9"/>
      <c r="N36" s="10">
        <v>4871</v>
      </c>
      <c r="O36" s="10">
        <f t="shared" si="3"/>
        <v>19484</v>
      </c>
      <c r="P36" s="9">
        <v>25</v>
      </c>
      <c r="Q36" s="9"/>
    </row>
    <row r="37" spans="1:17">
      <c r="A37" s="6" t="s">
        <v>41</v>
      </c>
      <c r="B37" s="10">
        <v>14723</v>
      </c>
      <c r="C37" s="10">
        <f t="shared" si="0"/>
        <v>63735.930735930735</v>
      </c>
      <c r="D37" s="9">
        <v>23.1</v>
      </c>
      <c r="E37" s="9"/>
      <c r="F37" s="10">
        <v>12971</v>
      </c>
      <c r="G37" s="10">
        <f t="shared" si="1"/>
        <v>66178.57142857142</v>
      </c>
      <c r="H37" s="9">
        <v>19.600000000000001</v>
      </c>
      <c r="I37" s="9"/>
      <c r="J37" s="10">
        <v>14292</v>
      </c>
      <c r="K37" s="10">
        <f t="shared" si="2"/>
        <v>62684.210526315786</v>
      </c>
      <c r="L37" s="9">
        <v>22.8</v>
      </c>
      <c r="M37" s="9"/>
      <c r="N37" s="10">
        <v>14641</v>
      </c>
      <c r="O37" s="10">
        <f t="shared" si="3"/>
        <v>62038.135593220344</v>
      </c>
      <c r="P37" s="9">
        <v>23.599999999999998</v>
      </c>
      <c r="Q37" s="9"/>
    </row>
    <row r="38" spans="1:17">
      <c r="A38" s="6" t="s">
        <v>42</v>
      </c>
      <c r="B38" s="10">
        <v>3628</v>
      </c>
      <c r="C38" s="10">
        <f t="shared" si="0"/>
        <v>17032.863849765257</v>
      </c>
      <c r="D38" s="9">
        <v>21.3</v>
      </c>
      <c r="E38" s="9"/>
      <c r="F38" s="10">
        <v>3211</v>
      </c>
      <c r="G38" s="10">
        <f t="shared" si="1"/>
        <v>17740.33149171271</v>
      </c>
      <c r="H38" s="9">
        <v>18.099999999999998</v>
      </c>
      <c r="I38" s="9"/>
      <c r="J38" s="10">
        <v>3529</v>
      </c>
      <c r="K38" s="10">
        <f t="shared" si="2"/>
        <v>16966.346153846152</v>
      </c>
      <c r="L38" s="9">
        <v>20.8</v>
      </c>
      <c r="M38" s="9"/>
      <c r="N38" s="10">
        <v>3499</v>
      </c>
      <c r="O38" s="10">
        <f t="shared" si="3"/>
        <v>16822.115384615383</v>
      </c>
      <c r="P38" s="9">
        <v>20.8</v>
      </c>
      <c r="Q38" s="9"/>
    </row>
    <row r="39" spans="1:17">
      <c r="A39" s="6" t="s">
        <v>43</v>
      </c>
      <c r="B39" s="10">
        <v>4374</v>
      </c>
      <c r="C39" s="10">
        <f t="shared" si="0"/>
        <v>16320.895522388058</v>
      </c>
      <c r="D39" s="9">
        <v>26.8</v>
      </c>
      <c r="E39" s="9"/>
      <c r="F39" s="10">
        <v>4258</v>
      </c>
      <c r="G39" s="10">
        <f t="shared" si="1"/>
        <v>18196.581196581195</v>
      </c>
      <c r="H39" s="9">
        <v>23.400000000000002</v>
      </c>
      <c r="I39" s="9"/>
      <c r="J39" s="10">
        <v>4696</v>
      </c>
      <c r="K39" s="10">
        <f t="shared" si="2"/>
        <v>17014.492753623188</v>
      </c>
      <c r="L39" s="9">
        <v>27.6</v>
      </c>
      <c r="M39" s="9"/>
      <c r="N39" s="10">
        <v>4728</v>
      </c>
      <c r="O39" s="10">
        <f t="shared" si="3"/>
        <v>16885.714285714283</v>
      </c>
      <c r="P39" s="9">
        <v>28.000000000000004</v>
      </c>
      <c r="Q39" s="9"/>
    </row>
    <row r="40" spans="1:17">
      <c r="A40" s="6" t="s">
        <v>44</v>
      </c>
      <c r="B40" s="10">
        <v>9326</v>
      </c>
      <c r="C40" s="10">
        <f t="shared" si="0"/>
        <v>37910.569105691051</v>
      </c>
      <c r="D40" s="9">
        <v>24.6</v>
      </c>
      <c r="E40" s="9"/>
      <c r="F40" s="10">
        <v>8723</v>
      </c>
      <c r="G40" s="10">
        <f t="shared" si="1"/>
        <v>41341.232227488159</v>
      </c>
      <c r="H40" s="9">
        <v>21.099999999999998</v>
      </c>
      <c r="I40" s="9"/>
      <c r="J40" s="10">
        <v>9364</v>
      </c>
      <c r="K40" s="10">
        <f t="shared" si="2"/>
        <v>39179.916317991636</v>
      </c>
      <c r="L40" s="9">
        <v>23.9</v>
      </c>
      <c r="M40" s="9"/>
      <c r="N40" s="10">
        <v>9440</v>
      </c>
      <c r="O40" s="10">
        <f t="shared" si="3"/>
        <v>38373.983739837393</v>
      </c>
      <c r="P40" s="9">
        <v>24.6</v>
      </c>
      <c r="Q40" s="9"/>
    </row>
    <row r="41" spans="1:17">
      <c r="A41" s="6"/>
      <c r="B41" s="10"/>
      <c r="C41" s="10"/>
      <c r="D41" s="549"/>
      <c r="E41" s="9"/>
      <c r="F41" s="10"/>
      <c r="G41" s="10"/>
      <c r="H41" s="549"/>
      <c r="I41" s="9"/>
      <c r="J41" s="10"/>
      <c r="K41" s="10"/>
      <c r="L41" s="549"/>
      <c r="M41" s="9"/>
      <c r="N41" s="10"/>
      <c r="O41" s="10"/>
      <c r="P41" s="549"/>
      <c r="Q41" s="9"/>
    </row>
    <row r="42" spans="1:17">
      <c r="A42" s="6" t="s">
        <v>45</v>
      </c>
      <c r="B42" s="10">
        <f>SUM(B9:B40)</f>
        <v>248200</v>
      </c>
      <c r="C42" s="10">
        <f>SUM(C9:C40)</f>
        <v>1024827.3144140384</v>
      </c>
      <c r="D42" s="9">
        <f>100*(B42/C42)</f>
        <v>24.218714363786482</v>
      </c>
      <c r="E42" s="9"/>
      <c r="F42" s="10">
        <f>SUM(F9:F40)</f>
        <v>225592</v>
      </c>
      <c r="G42" s="10">
        <f>SUM(G9:G40)</f>
        <v>1082378.7563457997</v>
      </c>
      <c r="H42" s="9">
        <f>100*(F42/G42)</f>
        <v>20.842242022710909</v>
      </c>
      <c r="I42" s="9"/>
      <c r="J42" s="10">
        <f>SUM(J9:J40)</f>
        <v>244261</v>
      </c>
      <c r="K42" s="10">
        <f>SUM(K9:K40)</f>
        <v>1024350.5888113896</v>
      </c>
      <c r="L42" s="9">
        <f>100*(J42/K42)</f>
        <v>23.845449269808054</v>
      </c>
      <c r="M42" s="9"/>
      <c r="N42" s="10">
        <f>SUM(N9:N40)</f>
        <v>247144</v>
      </c>
      <c r="O42" s="10">
        <f>SUM(O9:O40)</f>
        <v>1009825.6406738396</v>
      </c>
      <c r="P42" s="9">
        <f>100*(N42/O42)</f>
        <v>24.473927977812586</v>
      </c>
      <c r="Q42" s="9"/>
    </row>
    <row r="43" spans="1:17" ht="15" customHeight="1">
      <c r="A43" s="6" t="s">
        <v>46</v>
      </c>
      <c r="B43" s="10">
        <v>3059782</v>
      </c>
      <c r="C43" s="10">
        <v>10586398.179088056</v>
      </c>
      <c r="D43" s="9">
        <f>(B43/C43)*100</f>
        <v>28.902955927391528</v>
      </c>
      <c r="E43" s="9"/>
      <c r="F43" s="10">
        <v>2749226</v>
      </c>
      <c r="G43" s="10">
        <v>9848348.4533532262</v>
      </c>
      <c r="H43" s="9">
        <f>(F43/G43)*100</f>
        <v>27.915604459181441</v>
      </c>
      <c r="I43" s="9"/>
      <c r="J43" s="10">
        <v>3015287</v>
      </c>
      <c r="K43" s="10">
        <v>10633404.866623437</v>
      </c>
      <c r="L43" s="9">
        <f>(J43/K43)*100</f>
        <v>28.356740271072585</v>
      </c>
      <c r="M43" s="9"/>
      <c r="N43" s="10">
        <v>3072241</v>
      </c>
      <c r="O43" s="10">
        <v>10617358.159207674</v>
      </c>
      <c r="P43" s="9">
        <f>(N43/O43)*100</f>
        <v>28.936021126269207</v>
      </c>
      <c r="Q43" s="9"/>
    </row>
    <row r="44" spans="1:17">
      <c r="A44" s="6" t="s">
        <v>543</v>
      </c>
      <c r="B44" s="98" cm="1">
        <f t="array" ref="B44">SUM(SUMIFS(B$9:B$41,$A$9:$A$41,{"East Renfrewshire","East Dunbartonshire","Aberdeenshire","Edinburgh, City of","Perth and Kinross","Aberdeen City","Shetland Islands","Orkney Islands"}))</f>
        <v>49613</v>
      </c>
      <c r="C44" s="98" cm="1">
        <f t="array" ref="C44">SUM(SUMIFS(C$9:C$41,$A$9:$A$41,{"East Renfrewshire","East Dunbartonshire","Aberdeenshire","Edinburgh, City of","Perth and Kinross","Aberdeen City","Shetland Islands","Orkney Islands"}))</f>
        <v>259721.75494337094</v>
      </c>
      <c r="D44" s="233">
        <f>SUM(B44/C44)*100</f>
        <v>19.102365918795478</v>
      </c>
      <c r="E44" s="9"/>
      <c r="F44" s="98" cm="1">
        <f t="array" ref="F44">SUM(SUMIFS(F$9:F$41,$A$9:$A$41,{"East Renfrewshire","East Dunbartonshire","Aberdeenshire","Edinburgh, City of","Perth and Kinross","Aberdeen City","Shetland Islands","Orkney Islands"}))</f>
        <v>44669</v>
      </c>
      <c r="G44" s="98" cm="1">
        <f t="array" ref="G44">SUM(SUMIFS(G$9:G$41,$A$9:$A$41,{"East Renfrewshire","East Dunbartonshire","Aberdeenshire","Edinburgh, City of","Perth and Kinross","Aberdeen City","Shetland Islands","Orkney Islands"}))</f>
        <v>276479.83318966441</v>
      </c>
      <c r="H44" s="233">
        <f t="shared" ref="H44:H47" si="4">SUM(F44/G44)*100</f>
        <v>16.156332085659638</v>
      </c>
      <c r="I44" s="9"/>
      <c r="J44" s="98" cm="1">
        <f t="array" ref="J44">SUM(SUMIFS(J$9:J$41,$A$9:$A$41,{"East Renfrewshire","East Dunbartonshire","Aberdeenshire","Edinburgh, City of","Perth and Kinross","Aberdeen City","Shetland Islands","Orkney Islands"}))</f>
        <v>48225</v>
      </c>
      <c r="K44" s="98" cm="1">
        <f t="array" ref="K44">SUM(SUMIFS(K$9:K$41,$A$9:$A$41,{"East Renfrewshire","East Dunbartonshire","Aberdeenshire","Edinburgh, City of","Perth and Kinross","Aberdeen City","Shetland Islands","Orkney Islands"}))</f>
        <v>263986.99268180557</v>
      </c>
      <c r="L44" s="233">
        <f t="shared" ref="L44:L47" si="5">SUM(J44/K44)*100</f>
        <v>18.267945518864099</v>
      </c>
      <c r="M44" s="9"/>
      <c r="N44" s="98" cm="1">
        <f t="array" ref="N44">SUM(SUMIFS(N$9:N$41,$A$9:$A$41,{"East Renfrewshire","East Dunbartonshire","Aberdeenshire","Edinburgh, City of","Perth and Kinross","Aberdeen City","Shetland Islands","Orkney Islands"}))</f>
        <v>49217</v>
      </c>
      <c r="O44" s="98" cm="1">
        <f t="array" ref="O44">SUM(SUMIFS(O$9:O$41,$A$9:$A$41,{"East Renfrewshire","East Dunbartonshire","Aberdeenshire","Edinburgh, City of","Perth and Kinross","Aberdeen City","Shetland Islands","Orkney Islands"}))</f>
        <v>260610.82094909571</v>
      </c>
      <c r="P44" s="233">
        <f t="shared" ref="P44:P47" si="6">SUM(N44/O44)*100</f>
        <v>18.885248057145489</v>
      </c>
      <c r="Q44" s="4"/>
    </row>
    <row r="45" spans="1:17">
      <c r="A45" s="6" t="s">
        <v>544</v>
      </c>
      <c r="B45" s="98" cm="1">
        <f t="array" ref="B45">SUM(SUMIFS(B$9:B$41,$A$9:$A$41,{"Moray","Stirling","East Lothian","Angus","Scottish Borders","Highland","Argyll and Bute","Midlothian"}))</f>
        <v>43179</v>
      </c>
      <c r="C45" s="98" cm="1">
        <f t="array" ref="C45">SUM(SUMIFS(C$9:C$41,$A$9:$A$41,{"Moray","Stirling","East Lothian","Angus","Scottish Borders","Highland","Argyll and Bute","Midlothian"}))</f>
        <v>182952.5551904345</v>
      </c>
      <c r="D45" s="233">
        <f t="shared" ref="D45:D47" si="7">SUM(B45/C45)*100</f>
        <v>23.601200844150643</v>
      </c>
      <c r="E45" s="9"/>
      <c r="F45" s="98" cm="1">
        <f t="array" ref="F45">SUM(SUMIFS(F$9:F$41,$A$9:$A$41,{"Moray","Stirling","East Lothian","Angus","Scottish Borders","Highland","Argyll and Bute","Midlothian"}))</f>
        <v>37016</v>
      </c>
      <c r="G45" s="98" cm="1">
        <f t="array" ref="G45">SUM(SUMIFS(G$9:G$41,$A$9:$A$41,{"Moray","Stirling","East Lothian","Angus","Scottish Borders","Highland","Argyll and Bute","Midlothian"}))</f>
        <v>186402.164376406</v>
      </c>
      <c r="H45" s="233">
        <f t="shared" si="4"/>
        <v>19.858138516703473</v>
      </c>
      <c r="I45" s="9"/>
      <c r="J45" s="98" cm="1">
        <f t="array" ref="J45">SUM(SUMIFS(J$9:J$41,$A$9:$A$41,{"Moray","Stirling","East Lothian","Angus","Scottish Borders","Highland","Argyll and Bute","Midlothian"}))</f>
        <v>40003</v>
      </c>
      <c r="K45" s="98" cm="1">
        <f t="array" ref="K45">SUM(SUMIFS(K$9:K$41,$A$9:$A$41,{"Moray","Stirling","East Lothian","Angus","Scottish Borders","Highland","Argyll and Bute","Midlothian"}))</f>
        <v>176549.20481648957</v>
      </c>
      <c r="L45" s="233">
        <f t="shared" si="5"/>
        <v>22.658272543102242</v>
      </c>
      <c r="M45" s="9"/>
      <c r="N45" s="98" cm="1">
        <f t="array" ref="N45">SUM(SUMIFS(N$9:N$41,$A$9:$A$41,{"Moray","Stirling","East Lothian","Angus","Scottish Borders","Highland","Argyll and Bute","Midlothian"}))</f>
        <v>40070</v>
      </c>
      <c r="O45" s="98" cm="1">
        <f t="array" ref="O45">SUM(SUMIFS(O$9:O$41,$A$9:$A$41,{"Moray","Stirling","East Lothian","Angus","Scottish Borders","Highland","Argyll and Bute","Midlothian"}))</f>
        <v>173491.34852156261</v>
      </c>
      <c r="P45" s="233">
        <f t="shared" si="6"/>
        <v>23.096252545999345</v>
      </c>
      <c r="Q45" s="4"/>
    </row>
    <row r="46" spans="1:17">
      <c r="A46" s="6" t="s">
        <v>545</v>
      </c>
      <c r="B46" s="98" cm="1">
        <f t="array" ref="B46">SUM(SUMIFS(B$9:B$41,$A$9:$A$41,{"Falkirk","Dumfries and Galloway","Fife","South Ayrshire","West Lothian","South Lanarkshire","Renfrewshire","Clackmannanshire"}))</f>
        <v>72247</v>
      </c>
      <c r="C46" s="98" cm="1">
        <f t="array" ref="C46">SUM(SUMIFS(C$9:C$41,$A$9:$A$41,{"Falkirk","Dumfries and Galloway","Fife","South Ayrshire","West Lothian","South Lanarkshire","Renfrewshire","Clackmannanshire"}))</f>
        <v>290500.3410891745</v>
      </c>
      <c r="D46" s="233">
        <f t="shared" si="7"/>
        <v>24.869850317257438</v>
      </c>
      <c r="E46" s="9"/>
      <c r="F46" s="98" cm="1">
        <f t="array" ref="F46">SUM(SUMIFS(F$9:F$41,$A$9:$A$41,{"Falkirk","Dumfries and Galloway","Fife","South Ayrshire","West Lothian","South Lanarkshire","Renfrewshire","Clackmannanshire"}))</f>
        <v>65261</v>
      </c>
      <c r="G46" s="98" cm="1">
        <f t="array" ref="G46">SUM(SUMIFS(G$9:G$41,$A$9:$A$41,{"Falkirk","Dumfries and Galloway","Fife","South Ayrshire","West Lothian","South Lanarkshire","Renfrewshire","Clackmannanshire"}))</f>
        <v>309289.85501752375</v>
      </c>
      <c r="H46" s="233">
        <f t="shared" si="4"/>
        <v>21.100271781078124</v>
      </c>
      <c r="I46" s="9"/>
      <c r="J46" s="98" cm="1">
        <f t="array" ref="J46">SUM(SUMIFS(J$9:J$41,$A$9:$A$41,{"Falkirk","Dumfries and Galloway","Fife","South Ayrshire","West Lothian","South Lanarkshire","Renfrewshire","Clackmannanshire"}))</f>
        <v>72191</v>
      </c>
      <c r="K46" s="98" cm="1">
        <f t="array" ref="K46">SUM(SUMIFS(K$9:K$41,$A$9:$A$41,{"Falkirk","Dumfries and Galloway","Fife","South Ayrshire","West Lothian","South Lanarkshire","Renfrewshire","Clackmannanshire"}))</f>
        <v>292932.6299247517</v>
      </c>
      <c r="L46" s="233">
        <f t="shared" si="5"/>
        <v>24.644233050631595</v>
      </c>
      <c r="M46" s="9"/>
      <c r="N46" s="98" cm="1">
        <f t="array" ref="N46">SUM(SUMIFS(N$9:N$41,$A$9:$A$41,{"Falkirk","Dumfries and Galloway","Fife","South Ayrshire","West Lothian","South Lanarkshire","Renfrewshire","Clackmannanshire"}))</f>
        <v>73143</v>
      </c>
      <c r="O46" s="98" cm="1">
        <f t="array" ref="O46">SUM(SUMIFS(O$9:O$41,$A$9:$A$41,{"Falkirk","Dumfries and Galloway","Fife","South Ayrshire","West Lothian","South Lanarkshire","Renfrewshire","Clackmannanshire"}))</f>
        <v>288486.98247149936</v>
      </c>
      <c r="P46" s="233">
        <f t="shared" si="6"/>
        <v>25.354003627261086</v>
      </c>
      <c r="Q46" s="4"/>
    </row>
    <row r="47" spans="1:17">
      <c r="A47" s="6" t="s">
        <v>546</v>
      </c>
      <c r="B47" s="98" cm="1">
        <f t="array" ref="B47">SUM(SUMIFS(B$9:B$41,$A$9:$A$41,{"Na h-Eileanan Siar","Dundee City","East Ayrshire","North Ayrshire","North Lanarkshire","Inverclyde","West Dunbartonshire","Glasgow City"}))</f>
        <v>83161</v>
      </c>
      <c r="C47" s="98" cm="1">
        <f t="array" ref="C47">SUM(SUMIFS(C$9:C$41,$A$9:$A$41,{"Na h-Eileanan Siar","Dundee City","East Ayrshire","North Ayrshire","North Lanarkshire","Inverclyde","West Dunbartonshire","Glasgow City"}))</f>
        <v>291652.66319105838</v>
      </c>
      <c r="D47" s="233">
        <f t="shared" si="7"/>
        <v>28.513711855091877</v>
      </c>
      <c r="E47" s="9"/>
      <c r="F47" s="98" cm="1">
        <f t="array" ref="F47">SUM(SUMIFS(F$9:F$41,$A$9:$A$41,{"Na h-Eileanan Siar","Dundee City","East Ayrshire","North Ayrshire","North Lanarkshire","Inverclyde","West Dunbartonshire","Glasgow City"}))</f>
        <v>78646</v>
      </c>
      <c r="G47" s="98" cm="1">
        <f t="array" ref="G47">SUM(SUMIFS(G$9:G$41,$A$9:$A$41,{"Na h-Eileanan Siar","Dundee City","East Ayrshire","North Ayrshire","North Lanarkshire","Inverclyde","West Dunbartonshire","Glasgow City"}))</f>
        <v>310206.9037622051</v>
      </c>
      <c r="H47" s="233">
        <f t="shared" si="4"/>
        <v>25.352756191489394</v>
      </c>
      <c r="I47" s="9"/>
      <c r="J47" s="98" cm="1">
        <f t="array" ref="J47">SUM(SUMIFS(J$9:J$41,$A$9:$A$41,{"Na h-Eileanan Siar","Dundee City","East Ayrshire","North Ayrshire","North Lanarkshire","Inverclyde","West Dunbartonshire","Glasgow City"}))</f>
        <v>83842</v>
      </c>
      <c r="K47" s="98" cm="1">
        <f t="array" ref="K47">SUM(SUMIFS(K$9:K$41,$A$9:$A$41,{"Na h-Eileanan Siar","Dundee City","East Ayrshire","North Ayrshire","North Lanarkshire","Inverclyde","West Dunbartonshire","Glasgow City"}))</f>
        <v>290881.76138834277</v>
      </c>
      <c r="L47" s="233">
        <f t="shared" si="5"/>
        <v>28.823395320432766</v>
      </c>
      <c r="M47" s="9"/>
      <c r="N47" s="98" cm="1">
        <f t="array" ref="N47">SUM(SUMIFS(N$9:N$41,$A$9:$A$41,{"Na h-Eileanan Siar","Dundee City","East Ayrshire","North Ayrshire","North Lanarkshire","Inverclyde","West Dunbartonshire","Glasgow City"}))</f>
        <v>84714</v>
      </c>
      <c r="O47" s="98" cm="1">
        <f t="array" ref="O47">SUM(SUMIFS(O$9:O$41,$A$9:$A$41,{"Na h-Eileanan Siar","Dundee City","East Ayrshire","North Ayrshire","North Lanarkshire","Inverclyde","West Dunbartonshire","Glasgow City"}))</f>
        <v>287236.48873168178</v>
      </c>
      <c r="P47" s="233">
        <f t="shared" si="6"/>
        <v>29.492771052195422</v>
      </c>
      <c r="Q47" s="4"/>
    </row>
    <row r="48" spans="1:17">
      <c r="A48" s="3" t="s">
        <v>47</v>
      </c>
      <c r="B48" s="550">
        <f>SUM(B39+B37+B33+B30+B25+B23+B20+B18)</f>
        <v>90616</v>
      </c>
      <c r="C48" s="550">
        <f>SUM(C39+C37+C33+C30+C25+C23+C20+C18)</f>
        <v>351262.90651890874</v>
      </c>
      <c r="D48" s="518">
        <f>SUM(B48/C48)*100</f>
        <v>25.79720155994384</v>
      </c>
      <c r="E48" s="4"/>
      <c r="F48" s="550">
        <f>SUM(F39+F37+F33+F30+F25+F23+F20+F18)</f>
        <v>84868</v>
      </c>
      <c r="G48" s="550">
        <f>SUM(G39+G37+G33+G30+G25+G23+G20+G18)</f>
        <v>374925.89719831344</v>
      </c>
      <c r="H48" s="518">
        <f>SUM(F48/G48)*100</f>
        <v>22.635939697467709</v>
      </c>
      <c r="I48" s="4"/>
      <c r="J48" s="550">
        <f>SUM(J39+J37+J33+J30+J25+J23+J20+J18)</f>
        <v>91053</v>
      </c>
      <c r="K48" s="550">
        <f>SUM(K39+K37+K33+K30+K25+K23+K20+K18)</f>
        <v>353598.41903963836</v>
      </c>
      <c r="L48" s="518">
        <f>SUM(J48/K48)*100</f>
        <v>25.750397936534032</v>
      </c>
      <c r="M48" s="4"/>
      <c r="N48" s="550">
        <f>SUM(N39+N37+N33+N30+N25+N23+N20+N18)</f>
        <v>92212</v>
      </c>
      <c r="O48" s="550">
        <f>SUM(O39+O37+O33+O30+O25+O23+O20+O18)</f>
        <v>349296.7924373087</v>
      </c>
      <c r="P48" s="518">
        <f>SUM(N48/O48)*100</f>
        <v>26.399326302588388</v>
      </c>
      <c r="Q48" s="4"/>
    </row>
    <row r="50" spans="1:4">
      <c r="A50" s="551" t="s">
        <v>11</v>
      </c>
    </row>
    <row r="51" spans="1:4">
      <c r="A51" s="551" t="s">
        <v>12</v>
      </c>
    </row>
    <row r="52" spans="1:4">
      <c r="A52" s="551" t="s">
        <v>13</v>
      </c>
    </row>
    <row r="54" spans="1:4">
      <c r="D54" s="8"/>
    </row>
    <row r="55" spans="1:4">
      <c r="D55" s="8"/>
    </row>
  </sheetData>
  <conditionalFormatting sqref="A1:XFD1048576">
    <cfRule type="expression" dxfId="49" priority="1">
      <formula>_xlfn.ISFORMULA(A1)</formula>
    </cfRule>
  </conditionalFormatting>
  <hyperlinks>
    <hyperlink ref="A1" r:id="rId1" xr:uid="{00000000-0004-0000-3500-000000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P151"/>
  <sheetViews>
    <sheetView showGridLines="0" zoomScaleNormal="100" workbookViewId="0"/>
  </sheetViews>
  <sheetFormatPr defaultColWidth="9.1796875" defaultRowHeight="13.5" customHeight="1"/>
  <cols>
    <col min="1" max="1" width="22.81640625" style="81" customWidth="1"/>
    <col min="2" max="17" width="10.81640625" style="80" customWidth="1"/>
    <col min="18" max="16384" width="9.1796875" style="80"/>
  </cols>
  <sheetData>
    <row r="1" spans="1:16" ht="13.5" customHeight="1">
      <c r="A1" s="7" t="s">
        <v>261</v>
      </c>
      <c r="B1" s="91" t="s">
        <v>270</v>
      </c>
    </row>
    <row r="2" spans="1:16" ht="13.5" customHeight="1">
      <c r="A2"/>
      <c r="B2" s="91"/>
    </row>
    <row r="3" spans="1:16" ht="13.5" customHeight="1">
      <c r="A3" s="92"/>
      <c r="B3"/>
    </row>
    <row r="4" spans="1:16" ht="13.5" customHeight="1">
      <c r="A4" s="92"/>
      <c r="B4"/>
    </row>
    <row r="5" spans="1:16" ht="13.5" customHeight="1">
      <c r="A5" s="92"/>
      <c r="B5"/>
    </row>
    <row r="6" spans="1:16" ht="13.5" customHeight="1">
      <c r="A6" s="92"/>
      <c r="B6"/>
    </row>
    <row r="7" spans="1:16" ht="13.5" customHeight="1">
      <c r="A7" s="92"/>
      <c r="B7"/>
      <c r="D7" s="222" t="s">
        <v>265</v>
      </c>
      <c r="H7" s="222" t="s">
        <v>266</v>
      </c>
      <c r="L7" s="222" t="s">
        <v>267</v>
      </c>
      <c r="P7" s="222" t="s">
        <v>582</v>
      </c>
    </row>
    <row r="8" spans="1:16" ht="13.5" customHeight="1">
      <c r="A8" s="93" t="s">
        <v>228</v>
      </c>
      <c r="B8" s="222" t="s">
        <v>580</v>
      </c>
      <c r="C8" s="222" t="s">
        <v>581</v>
      </c>
      <c r="D8" s="94" t="s">
        <v>264</v>
      </c>
      <c r="H8" s="94" t="s">
        <v>264</v>
      </c>
      <c r="L8" s="94" t="s">
        <v>264</v>
      </c>
      <c r="P8" s="94" t="s">
        <v>264</v>
      </c>
    </row>
    <row r="9" spans="1:16" ht="13.5" customHeight="1">
      <c r="A9" s="95" t="s">
        <v>14</v>
      </c>
      <c r="B9" s="385">
        <f>SUM(C9*D9)</f>
        <v>24805.265130000003</v>
      </c>
      <c r="C9" s="391">
        <f>VLOOKUP($A9,$A$54:$G$86,3,FALSE)</f>
        <v>106749</v>
      </c>
      <c r="D9" s="96">
        <v>0.23237000000000002</v>
      </c>
      <c r="F9" s="385">
        <f>SUM(G9*H9)</f>
        <v>22548.038240000002</v>
      </c>
      <c r="G9" s="391">
        <f>VLOOKUP($A9,$A$54:$G$86,4,FALSE)</f>
        <v>106802</v>
      </c>
      <c r="H9" s="96">
        <v>0.21112000000000003</v>
      </c>
      <c r="J9" s="385">
        <f>SUM(K9*L9)</f>
        <v>25168.668840000002</v>
      </c>
      <c r="K9" s="391">
        <f>VLOOKUP($A9,$A$54:$G$86,5,FALSE)</f>
        <v>107586</v>
      </c>
      <c r="L9" s="96">
        <v>0.23394000000000001</v>
      </c>
      <c r="N9" s="385">
        <f>SUM(O9*P9)</f>
        <v>28269.016230000001</v>
      </c>
      <c r="O9" s="391">
        <f>VLOOKUP($A9,$A$54:$G$86,6,FALSE)</f>
        <v>108381</v>
      </c>
      <c r="P9" s="96">
        <v>0.26083000000000001</v>
      </c>
    </row>
    <row r="10" spans="1:16" ht="13.5" customHeight="1">
      <c r="A10" s="95" t="s">
        <v>15</v>
      </c>
      <c r="B10" s="385">
        <f t="shared" ref="B10:B41" si="0">SUM(C10*D10)</f>
        <v>38909.119920000005</v>
      </c>
      <c r="C10" s="391">
        <f t="shared" ref="C10:C41" si="1">VLOOKUP($A10,$A$54:$G$86,3,FALSE)</f>
        <v>110296</v>
      </c>
      <c r="D10" s="96">
        <v>0.35277000000000003</v>
      </c>
      <c r="F10" s="385">
        <f t="shared" ref="F10:F47" si="2">SUM(G10*H10)</f>
        <v>41486.38695</v>
      </c>
      <c r="G10" s="391">
        <f t="shared" ref="G10:G41" si="3">VLOOKUP($A10,$A$54:$G$86,4,FALSE)</f>
        <v>110941</v>
      </c>
      <c r="H10" s="96">
        <v>0.37395</v>
      </c>
      <c r="J10" s="385">
        <f t="shared" ref="J10:J47" si="4">SUM(K10*L10)</f>
        <v>28172.4882</v>
      </c>
      <c r="K10" s="391">
        <f t="shared" ref="K10:K41" si="5">VLOOKUP($A10,$A$54:$G$86,5,FALSE)</f>
        <v>111156</v>
      </c>
      <c r="L10" s="96">
        <v>0.25345000000000001</v>
      </c>
      <c r="N10" s="385">
        <f t="shared" ref="N10:N47" si="6">SUM(O10*P10)</f>
        <v>27428.6901</v>
      </c>
      <c r="O10" s="391">
        <f t="shared" ref="O10:O41" si="7">VLOOKUP($A10,$A$54:$G$86,6,FALSE)</f>
        <v>112114</v>
      </c>
      <c r="P10" s="96">
        <v>0.24465000000000001</v>
      </c>
    </row>
    <row r="11" spans="1:16" ht="13.5" customHeight="1">
      <c r="A11" s="95" t="s">
        <v>16</v>
      </c>
      <c r="B11" s="385">
        <f t="shared" si="0"/>
        <v>20870.269560000004</v>
      </c>
      <c r="C11" s="391">
        <f t="shared" si="1"/>
        <v>53333</v>
      </c>
      <c r="D11" s="96">
        <v>0.39132000000000006</v>
      </c>
      <c r="F11" s="385">
        <f t="shared" si="2"/>
        <v>17563.378770000003</v>
      </c>
      <c r="G11" s="391">
        <f t="shared" si="3"/>
        <v>53627</v>
      </c>
      <c r="H11" s="96">
        <v>0.32751000000000002</v>
      </c>
      <c r="J11" s="385">
        <f t="shared" si="4"/>
        <v>10558.27584</v>
      </c>
      <c r="K11" s="391">
        <f t="shared" si="5"/>
        <v>53888</v>
      </c>
      <c r="L11" s="96">
        <v>0.19593000000000002</v>
      </c>
      <c r="N11" s="385">
        <f t="shared" si="6"/>
        <v>11993.142990000002</v>
      </c>
      <c r="O11" s="391">
        <f t="shared" si="7"/>
        <v>54221</v>
      </c>
      <c r="P11" s="96">
        <v>0.22119000000000003</v>
      </c>
    </row>
    <row r="12" spans="1:16" ht="13.5" customHeight="1">
      <c r="A12" s="95" t="s">
        <v>17</v>
      </c>
      <c r="B12" s="385">
        <f t="shared" si="0"/>
        <v>18364.5792</v>
      </c>
      <c r="C12" s="391">
        <f t="shared" si="1"/>
        <v>41040</v>
      </c>
      <c r="D12" s="96">
        <v>0.44748000000000004</v>
      </c>
      <c r="F12" s="385">
        <f t="shared" si="2"/>
        <v>18369.125050000002</v>
      </c>
      <c r="G12" s="391">
        <f t="shared" si="3"/>
        <v>41455</v>
      </c>
      <c r="H12" s="96">
        <v>0.44311000000000006</v>
      </c>
      <c r="J12" s="385">
        <f t="shared" si="4"/>
        <v>12218.405000000002</v>
      </c>
      <c r="K12" s="391">
        <f t="shared" si="5"/>
        <v>41630</v>
      </c>
      <c r="L12" s="96">
        <v>0.29350000000000004</v>
      </c>
      <c r="N12" s="385">
        <f t="shared" si="6"/>
        <v>13462.74424</v>
      </c>
      <c r="O12" s="391">
        <f t="shared" si="7"/>
        <v>41789</v>
      </c>
      <c r="P12" s="96">
        <v>0.32216</v>
      </c>
    </row>
    <row r="13" spans="1:16" ht="13.5" customHeight="1">
      <c r="A13" s="95" t="s">
        <v>18</v>
      </c>
      <c r="B13" s="385">
        <f t="shared" si="0"/>
        <v>7468.4291500000008</v>
      </c>
      <c r="C13" s="391">
        <f t="shared" si="1"/>
        <v>23401</v>
      </c>
      <c r="D13" s="96">
        <v>0.31915000000000004</v>
      </c>
      <c r="F13" s="385">
        <f t="shared" si="2"/>
        <v>7231.4847</v>
      </c>
      <c r="G13" s="391">
        <f t="shared" si="3"/>
        <v>23563</v>
      </c>
      <c r="H13" s="96">
        <v>0.30690000000000001</v>
      </c>
      <c r="J13" s="385">
        <f t="shared" si="4"/>
        <v>6420.8622800000003</v>
      </c>
      <c r="K13" s="391">
        <f t="shared" si="5"/>
        <v>23674</v>
      </c>
      <c r="L13" s="96">
        <v>0.27122000000000002</v>
      </c>
      <c r="N13" s="385">
        <f t="shared" si="6"/>
        <v>5650.4628000000002</v>
      </c>
      <c r="O13" s="391">
        <f t="shared" si="7"/>
        <v>23890</v>
      </c>
      <c r="P13" s="96">
        <v>0.23652000000000001</v>
      </c>
    </row>
    <row r="14" spans="1:16" ht="13.5" customHeight="1">
      <c r="A14" s="95" t="s">
        <v>19</v>
      </c>
      <c r="B14" s="385">
        <f t="shared" si="0"/>
        <v>29278.674180000002</v>
      </c>
      <c r="C14" s="391">
        <f t="shared" si="1"/>
        <v>69202</v>
      </c>
      <c r="D14" s="96">
        <v>0.42309000000000002</v>
      </c>
      <c r="F14" s="385">
        <f t="shared" si="2"/>
        <v>25209.433130000001</v>
      </c>
      <c r="G14" s="391">
        <f t="shared" si="3"/>
        <v>69503</v>
      </c>
      <c r="H14" s="96">
        <v>0.36271000000000003</v>
      </c>
      <c r="J14" s="385">
        <f t="shared" si="4"/>
        <v>19443.024260000002</v>
      </c>
      <c r="K14" s="391">
        <f t="shared" si="5"/>
        <v>69586</v>
      </c>
      <c r="L14" s="96">
        <v>0.27941000000000005</v>
      </c>
      <c r="N14" s="385">
        <f t="shared" si="6"/>
        <v>20094.918690000002</v>
      </c>
      <c r="O14" s="391">
        <f t="shared" si="7"/>
        <v>69699</v>
      </c>
      <c r="P14" s="96">
        <v>0.28831000000000001</v>
      </c>
    </row>
    <row r="15" spans="1:16" ht="13.5" customHeight="1">
      <c r="A15" s="95" t="s">
        <v>20</v>
      </c>
      <c r="B15" s="385">
        <f t="shared" si="0"/>
        <v>24640.344750000004</v>
      </c>
      <c r="C15" s="391">
        <f t="shared" si="1"/>
        <v>69635</v>
      </c>
      <c r="D15" s="96">
        <v>0.35385000000000005</v>
      </c>
      <c r="F15" s="385">
        <f t="shared" si="2"/>
        <v>21514.149369999999</v>
      </c>
      <c r="G15" s="391">
        <f t="shared" si="3"/>
        <v>70049</v>
      </c>
      <c r="H15" s="96">
        <v>0.30713000000000001</v>
      </c>
      <c r="J15" s="385">
        <f t="shared" si="4"/>
        <v>22201.874050000002</v>
      </c>
      <c r="K15" s="391">
        <f t="shared" si="5"/>
        <v>70337</v>
      </c>
      <c r="L15" s="96">
        <v>0.31565000000000004</v>
      </c>
      <c r="N15" s="385">
        <f t="shared" si="6"/>
        <v>22162.574900000003</v>
      </c>
      <c r="O15" s="391">
        <f t="shared" si="7"/>
        <v>70685</v>
      </c>
      <c r="P15" s="96">
        <v>0.31354000000000004</v>
      </c>
    </row>
    <row r="16" spans="1:16" ht="13.5" customHeight="1">
      <c r="A16" s="95" t="s">
        <v>21</v>
      </c>
      <c r="B16" s="385">
        <f t="shared" si="0"/>
        <v>21013.92484</v>
      </c>
      <c r="C16" s="391">
        <f t="shared" si="1"/>
        <v>54748</v>
      </c>
      <c r="D16" s="96">
        <v>0.38383</v>
      </c>
      <c r="F16" s="385">
        <f t="shared" si="2"/>
        <v>17397.484649999999</v>
      </c>
      <c r="G16" s="391">
        <f t="shared" si="3"/>
        <v>54873</v>
      </c>
      <c r="H16" s="96">
        <v>0.31705</v>
      </c>
      <c r="J16" s="385">
        <f t="shared" si="4"/>
        <v>16729.38306</v>
      </c>
      <c r="K16" s="391">
        <f t="shared" si="5"/>
        <v>55107</v>
      </c>
      <c r="L16" s="96">
        <v>0.30358000000000002</v>
      </c>
      <c r="N16" s="385">
        <f t="shared" si="6"/>
        <v>15085.75719</v>
      </c>
      <c r="O16" s="391">
        <f t="shared" si="7"/>
        <v>55387</v>
      </c>
      <c r="P16" s="96">
        <v>0.27237</v>
      </c>
    </row>
    <row r="17" spans="1:16" ht="13.5" customHeight="1">
      <c r="A17" s="95" t="s">
        <v>23</v>
      </c>
      <c r="B17" s="385">
        <f t="shared" si="0"/>
        <v>11986.914629999999</v>
      </c>
      <c r="C17" s="391">
        <f t="shared" si="1"/>
        <v>44749</v>
      </c>
      <c r="D17" s="96">
        <v>0.26787</v>
      </c>
      <c r="F17" s="385">
        <f t="shared" si="2"/>
        <v>11548.130920000001</v>
      </c>
      <c r="G17" s="391">
        <f t="shared" si="3"/>
        <v>45301</v>
      </c>
      <c r="H17" s="96">
        <v>0.25492000000000004</v>
      </c>
      <c r="J17" s="385">
        <f t="shared" si="4"/>
        <v>10220.2425</v>
      </c>
      <c r="K17" s="391">
        <f t="shared" si="5"/>
        <v>45975</v>
      </c>
      <c r="L17" s="96">
        <v>0.22230000000000003</v>
      </c>
      <c r="N17" s="385">
        <f t="shared" si="6"/>
        <v>11218.49206</v>
      </c>
      <c r="O17" s="391">
        <f t="shared" si="7"/>
        <v>46771</v>
      </c>
      <c r="P17" s="96">
        <v>0.23986000000000002</v>
      </c>
    </row>
    <row r="18" spans="1:16" ht="13.5" customHeight="1">
      <c r="A18" s="95" t="s">
        <v>189</v>
      </c>
      <c r="B18" s="385">
        <f t="shared" si="0"/>
        <v>46450.13725</v>
      </c>
      <c r="C18" s="391">
        <f t="shared" si="1"/>
        <v>231383</v>
      </c>
      <c r="D18" s="96">
        <v>0.20075000000000001</v>
      </c>
      <c r="F18" s="385">
        <f t="shared" si="2"/>
        <v>39369.350300000006</v>
      </c>
      <c r="G18" s="391">
        <f t="shared" si="3"/>
        <v>233369</v>
      </c>
      <c r="H18" s="96">
        <v>0.16870000000000002</v>
      </c>
      <c r="J18" s="385">
        <f t="shared" si="4"/>
        <v>48408.501720000007</v>
      </c>
      <c r="K18" s="391">
        <f t="shared" si="5"/>
        <v>235771</v>
      </c>
      <c r="L18" s="96">
        <v>0.20532000000000003</v>
      </c>
      <c r="N18" s="385">
        <f t="shared" si="6"/>
        <v>49285.942650000005</v>
      </c>
      <c r="O18" s="391">
        <f t="shared" si="7"/>
        <v>238269</v>
      </c>
      <c r="P18" s="96">
        <v>0.20685000000000001</v>
      </c>
    </row>
    <row r="19" spans="1:16" ht="13.5" customHeight="1">
      <c r="A19" s="95" t="s">
        <v>32</v>
      </c>
      <c r="B19" s="385">
        <f t="shared" si="0"/>
        <v>7195.575600000001</v>
      </c>
      <c r="C19" s="391">
        <f t="shared" si="1"/>
        <v>12951</v>
      </c>
      <c r="D19" s="96">
        <v>0.55560000000000009</v>
      </c>
      <c r="F19" s="385">
        <f t="shared" si="2"/>
        <v>7140.9643500000002</v>
      </c>
      <c r="G19" s="391">
        <f t="shared" si="3"/>
        <v>12805</v>
      </c>
      <c r="H19" s="96">
        <v>0.55767</v>
      </c>
      <c r="J19" s="385">
        <f t="shared" si="4"/>
        <v>4634.5553200000004</v>
      </c>
      <c r="K19" s="391">
        <f t="shared" si="5"/>
        <v>12773</v>
      </c>
      <c r="L19" s="96">
        <v>0.36284000000000005</v>
      </c>
      <c r="N19" s="385">
        <f t="shared" si="6"/>
        <v>5110.7422500000002</v>
      </c>
      <c r="O19" s="391">
        <f t="shared" si="7"/>
        <v>12833</v>
      </c>
      <c r="P19" s="96">
        <v>0.39825000000000005</v>
      </c>
    </row>
    <row r="20" spans="1:16" ht="13.5" customHeight="1">
      <c r="A20" s="95" t="s">
        <v>25</v>
      </c>
      <c r="B20" s="385">
        <f t="shared" si="0"/>
        <v>17214.349119999999</v>
      </c>
      <c r="C20" s="391">
        <f t="shared" si="1"/>
        <v>71072</v>
      </c>
      <c r="D20" s="96">
        <v>0.24221000000000001</v>
      </c>
      <c r="F20" s="385">
        <f t="shared" si="2"/>
        <v>16149.974000000002</v>
      </c>
      <c r="G20" s="391">
        <f t="shared" si="3"/>
        <v>71800</v>
      </c>
      <c r="H20" s="96">
        <v>0.22493000000000002</v>
      </c>
      <c r="J20" s="385">
        <f t="shared" si="4"/>
        <v>16341.736710000001</v>
      </c>
      <c r="K20" s="391">
        <f t="shared" si="5"/>
        <v>72267</v>
      </c>
      <c r="L20" s="96">
        <v>0.22613000000000003</v>
      </c>
      <c r="N20" s="385">
        <f t="shared" si="6"/>
        <v>16151.352000000003</v>
      </c>
      <c r="O20" s="391">
        <f t="shared" si="7"/>
        <v>72672</v>
      </c>
      <c r="P20" s="96">
        <v>0.22225000000000003</v>
      </c>
    </row>
    <row r="21" spans="1:16" ht="13.5" customHeight="1">
      <c r="A21" s="95" t="s">
        <v>26</v>
      </c>
      <c r="B21" s="385">
        <f t="shared" si="0"/>
        <v>57484.351119999999</v>
      </c>
      <c r="C21" s="391">
        <f t="shared" si="1"/>
        <v>165833</v>
      </c>
      <c r="D21" s="96">
        <v>0.34664</v>
      </c>
      <c r="F21" s="385">
        <f t="shared" si="2"/>
        <v>51665.771999999997</v>
      </c>
      <c r="G21" s="391">
        <f t="shared" si="3"/>
        <v>166960</v>
      </c>
      <c r="H21" s="96">
        <v>0.30945</v>
      </c>
      <c r="J21" s="385">
        <f t="shared" si="4"/>
        <v>44139.042079999999</v>
      </c>
      <c r="K21" s="391">
        <f t="shared" si="5"/>
        <v>167944</v>
      </c>
      <c r="L21" s="96">
        <v>0.26282</v>
      </c>
      <c r="N21" s="385">
        <f t="shared" si="6"/>
        <v>40712.133840000002</v>
      </c>
      <c r="O21" s="391">
        <f t="shared" si="7"/>
        <v>169239</v>
      </c>
      <c r="P21" s="96">
        <v>0.24056000000000002</v>
      </c>
    </row>
    <row r="22" spans="1:16" ht="13.5" customHeight="1">
      <c r="A22" s="95" t="s">
        <v>28</v>
      </c>
      <c r="B22" s="385">
        <f t="shared" si="0"/>
        <v>56051.987380000006</v>
      </c>
      <c r="C22" s="391">
        <f t="shared" si="1"/>
        <v>107573</v>
      </c>
      <c r="D22" s="96">
        <v>0.52106000000000008</v>
      </c>
      <c r="F22" s="385">
        <f t="shared" si="2"/>
        <v>53172.713910000006</v>
      </c>
      <c r="G22" s="391">
        <f t="shared" si="3"/>
        <v>108319</v>
      </c>
      <c r="H22" s="96">
        <v>0.49089000000000005</v>
      </c>
      <c r="J22" s="385">
        <f t="shared" si="4"/>
        <v>35346.153920000004</v>
      </c>
      <c r="K22" s="391">
        <f t="shared" si="5"/>
        <v>108878</v>
      </c>
      <c r="L22" s="96">
        <v>0.32464000000000004</v>
      </c>
      <c r="N22" s="385">
        <f t="shared" si="6"/>
        <v>36068.435900000004</v>
      </c>
      <c r="O22" s="391">
        <f t="shared" si="7"/>
        <v>109514</v>
      </c>
      <c r="P22" s="96">
        <v>0.32935000000000003</v>
      </c>
    </row>
    <row r="23" spans="1:16" ht="13.5" customHeight="1">
      <c r="A23" s="95" t="s">
        <v>30</v>
      </c>
      <c r="B23" s="385">
        <f t="shared" si="0"/>
        <v>8369.7009200000011</v>
      </c>
      <c r="C23" s="391">
        <f t="shared" si="1"/>
        <v>37766</v>
      </c>
      <c r="D23" s="96">
        <v>0.22162000000000001</v>
      </c>
      <c r="F23" s="385">
        <f t="shared" si="2"/>
        <v>8366.4834300000002</v>
      </c>
      <c r="G23" s="391">
        <f t="shared" si="3"/>
        <v>38557</v>
      </c>
      <c r="H23" s="96">
        <v>0.21699000000000002</v>
      </c>
      <c r="J23" s="385">
        <f t="shared" si="4"/>
        <v>7921.8137800000004</v>
      </c>
      <c r="K23" s="391">
        <f t="shared" si="5"/>
        <v>39122</v>
      </c>
      <c r="L23" s="96">
        <v>0.20249</v>
      </c>
      <c r="N23" s="385">
        <f t="shared" si="6"/>
        <v>7608.8694999999998</v>
      </c>
      <c r="O23" s="391">
        <f t="shared" si="7"/>
        <v>39733</v>
      </c>
      <c r="P23" s="96">
        <v>0.1915</v>
      </c>
    </row>
    <row r="24" spans="1:16" ht="13.5" customHeight="1">
      <c r="A24" s="95" t="s">
        <v>31</v>
      </c>
      <c r="B24" s="385">
        <f t="shared" si="0"/>
        <v>19065.819570000003</v>
      </c>
      <c r="C24" s="391">
        <f t="shared" si="1"/>
        <v>41961</v>
      </c>
      <c r="D24" s="96">
        <v>0.45437000000000005</v>
      </c>
      <c r="F24" s="385">
        <f t="shared" si="2"/>
        <v>17615.605749999999</v>
      </c>
      <c r="G24" s="391">
        <f t="shared" si="3"/>
        <v>42269</v>
      </c>
      <c r="H24" s="96">
        <v>0.41675000000000001</v>
      </c>
      <c r="J24" s="385">
        <f t="shared" si="4"/>
        <v>13990.478580000001</v>
      </c>
      <c r="K24" s="391">
        <f t="shared" si="5"/>
        <v>42554</v>
      </c>
      <c r="L24" s="96">
        <v>0.32877000000000001</v>
      </c>
      <c r="N24" s="385">
        <f t="shared" si="6"/>
        <v>13569.517240000001</v>
      </c>
      <c r="O24" s="391">
        <f t="shared" si="7"/>
        <v>42932</v>
      </c>
      <c r="P24" s="96">
        <v>0.31607000000000002</v>
      </c>
    </row>
    <row r="25" spans="1:16" ht="13.5" customHeight="1">
      <c r="A25" s="95" t="s">
        <v>33</v>
      </c>
      <c r="B25" s="385">
        <f t="shared" si="0"/>
        <v>18979.979200000002</v>
      </c>
      <c r="C25" s="391">
        <f t="shared" si="1"/>
        <v>63440</v>
      </c>
      <c r="D25" s="96">
        <v>0.29918</v>
      </c>
      <c r="F25" s="385">
        <f t="shared" si="2"/>
        <v>16748.701200000003</v>
      </c>
      <c r="G25" s="391">
        <f t="shared" si="3"/>
        <v>63756</v>
      </c>
      <c r="H25" s="96">
        <v>0.26270000000000004</v>
      </c>
      <c r="J25" s="385">
        <f t="shared" si="4"/>
        <v>18123.015100000004</v>
      </c>
      <c r="K25" s="391">
        <f t="shared" si="5"/>
        <v>63935</v>
      </c>
      <c r="L25" s="96">
        <v>0.28346000000000005</v>
      </c>
      <c r="N25" s="385">
        <f t="shared" si="6"/>
        <v>17830.278600000001</v>
      </c>
      <c r="O25" s="391">
        <f t="shared" si="7"/>
        <v>64140</v>
      </c>
      <c r="P25" s="96">
        <v>0.27799000000000001</v>
      </c>
    </row>
    <row r="26" spans="1:16" ht="13.5" customHeight="1">
      <c r="A26" s="95" t="s">
        <v>35</v>
      </c>
      <c r="B26" s="385">
        <f t="shared" si="0"/>
        <v>6017.6054400000003</v>
      </c>
      <c r="C26" s="391">
        <f t="shared" si="1"/>
        <v>10256</v>
      </c>
      <c r="D26" s="96">
        <v>0.58674000000000004</v>
      </c>
      <c r="F26" s="385">
        <f t="shared" si="2"/>
        <v>5926.4079499999998</v>
      </c>
      <c r="G26" s="391">
        <f t="shared" si="3"/>
        <v>10385</v>
      </c>
      <c r="H26" s="96">
        <v>0.57067000000000001</v>
      </c>
      <c r="J26" s="385">
        <f t="shared" si="4"/>
        <v>3177.5397000000007</v>
      </c>
      <c r="K26" s="391">
        <f t="shared" si="5"/>
        <v>10506</v>
      </c>
      <c r="L26" s="96">
        <v>0.30245000000000005</v>
      </c>
      <c r="N26" s="385">
        <f t="shared" si="6"/>
        <v>3229.7508900000003</v>
      </c>
      <c r="O26" s="391">
        <f t="shared" si="7"/>
        <v>10589</v>
      </c>
      <c r="P26" s="96">
        <v>0.30501</v>
      </c>
    </row>
    <row r="27" spans="1:16" ht="13.5" customHeight="1">
      <c r="A27" s="95" t="s">
        <v>36</v>
      </c>
      <c r="B27" s="385">
        <f t="shared" si="0"/>
        <v>21242.834580000002</v>
      </c>
      <c r="C27" s="391">
        <f t="shared" si="1"/>
        <v>67101</v>
      </c>
      <c r="D27" s="96">
        <v>0.31658000000000003</v>
      </c>
      <c r="F27" s="385">
        <f t="shared" si="2"/>
        <v>20524.767720000003</v>
      </c>
      <c r="G27" s="391">
        <f t="shared" si="3"/>
        <v>67618</v>
      </c>
      <c r="H27" s="96">
        <v>0.30354000000000003</v>
      </c>
      <c r="J27" s="385">
        <f t="shared" si="4"/>
        <v>17136.972840000002</v>
      </c>
      <c r="K27" s="391">
        <f t="shared" si="5"/>
        <v>68196</v>
      </c>
      <c r="L27" s="96">
        <v>0.25129000000000001</v>
      </c>
      <c r="N27" s="385">
        <f t="shared" si="6"/>
        <v>17058.92166</v>
      </c>
      <c r="O27" s="391">
        <f t="shared" si="7"/>
        <v>69003</v>
      </c>
      <c r="P27" s="96">
        <v>0.24722000000000002</v>
      </c>
    </row>
    <row r="28" spans="1:16" ht="13.5" customHeight="1">
      <c r="A28" s="95" t="s">
        <v>38</v>
      </c>
      <c r="B28" s="385">
        <f t="shared" si="0"/>
        <v>18115.461600000002</v>
      </c>
      <c r="C28" s="391">
        <f t="shared" si="1"/>
        <v>53787</v>
      </c>
      <c r="D28" s="96">
        <v>0.33680000000000004</v>
      </c>
      <c r="F28" s="385">
        <f t="shared" si="2"/>
        <v>17031.44772</v>
      </c>
      <c r="G28" s="391">
        <f t="shared" si="3"/>
        <v>54306</v>
      </c>
      <c r="H28" s="96">
        <v>0.31362000000000001</v>
      </c>
      <c r="J28" s="385">
        <f t="shared" si="4"/>
        <v>15575.177120000002</v>
      </c>
      <c r="K28" s="391">
        <f t="shared" si="5"/>
        <v>54413</v>
      </c>
      <c r="L28" s="96">
        <v>0.28624000000000005</v>
      </c>
      <c r="N28" s="385">
        <f t="shared" si="6"/>
        <v>15647.395700000001</v>
      </c>
      <c r="O28" s="391">
        <f t="shared" si="7"/>
        <v>54715</v>
      </c>
      <c r="P28" s="96">
        <v>0.28598000000000001</v>
      </c>
    </row>
    <row r="29" spans="1:16" ht="13.5" customHeight="1">
      <c r="A29" s="95" t="s">
        <v>39</v>
      </c>
      <c r="B29" s="385">
        <f t="shared" si="0"/>
        <v>5127.6179500000007</v>
      </c>
      <c r="C29" s="391">
        <f t="shared" si="1"/>
        <v>10283</v>
      </c>
      <c r="D29" s="96">
        <v>0.49865000000000004</v>
      </c>
      <c r="F29" s="385">
        <f t="shared" si="2"/>
        <v>4529.3580000000002</v>
      </c>
      <c r="G29" s="391">
        <f t="shared" si="3"/>
        <v>10341</v>
      </c>
      <c r="H29" s="96">
        <v>0.43800000000000006</v>
      </c>
      <c r="J29" s="385">
        <f t="shared" si="4"/>
        <v>2841.8931200000002</v>
      </c>
      <c r="K29" s="391">
        <f t="shared" si="5"/>
        <v>10384</v>
      </c>
      <c r="L29" s="96">
        <v>0.27368000000000003</v>
      </c>
      <c r="N29" s="385">
        <f t="shared" si="6"/>
        <v>3226.1729500000006</v>
      </c>
      <c r="O29" s="391">
        <f t="shared" si="7"/>
        <v>10439</v>
      </c>
      <c r="P29" s="96">
        <v>0.30905000000000005</v>
      </c>
    </row>
    <row r="30" spans="1:16" ht="13.5" customHeight="1">
      <c r="A30" s="95" t="s">
        <v>40</v>
      </c>
      <c r="B30" s="385">
        <f t="shared" si="0"/>
        <v>14302.190350000001</v>
      </c>
      <c r="C30" s="391">
        <f t="shared" si="1"/>
        <v>51923</v>
      </c>
      <c r="D30" s="96">
        <v>0.27545000000000003</v>
      </c>
      <c r="F30" s="385">
        <f t="shared" si="2"/>
        <v>14908.517520000003</v>
      </c>
      <c r="G30" s="391">
        <f t="shared" si="3"/>
        <v>52104</v>
      </c>
      <c r="H30" s="96">
        <v>0.28613000000000005</v>
      </c>
      <c r="J30" s="385">
        <f t="shared" si="4"/>
        <v>10223.549550000002</v>
      </c>
      <c r="K30" s="391">
        <f t="shared" si="5"/>
        <v>52281</v>
      </c>
      <c r="L30" s="96">
        <v>0.19555000000000003</v>
      </c>
      <c r="N30" s="385">
        <f t="shared" si="6"/>
        <v>11840.714080000002</v>
      </c>
      <c r="O30" s="391">
        <f t="shared" si="7"/>
        <v>52588</v>
      </c>
      <c r="P30" s="96">
        <v>0.22516000000000003</v>
      </c>
    </row>
    <row r="31" spans="1:16" ht="13.5" customHeight="1">
      <c r="A31" s="95" t="s">
        <v>42</v>
      </c>
      <c r="B31" s="385">
        <f t="shared" si="0"/>
        <v>12375.901230000001</v>
      </c>
      <c r="C31" s="391">
        <f t="shared" si="1"/>
        <v>38951</v>
      </c>
      <c r="D31" s="96">
        <v>0.31773000000000001</v>
      </c>
      <c r="F31" s="385">
        <f t="shared" si="2"/>
        <v>10141.029900000001</v>
      </c>
      <c r="G31" s="391">
        <f t="shared" si="3"/>
        <v>39285</v>
      </c>
      <c r="H31" s="96">
        <v>0.25814000000000004</v>
      </c>
      <c r="J31" s="385">
        <f t="shared" si="4"/>
        <v>9350.4351999999999</v>
      </c>
      <c r="K31" s="391">
        <f t="shared" si="5"/>
        <v>39440</v>
      </c>
      <c r="L31" s="96">
        <v>0.23708000000000001</v>
      </c>
      <c r="N31" s="385">
        <f t="shared" si="6"/>
        <v>8398.717200000001</v>
      </c>
      <c r="O31" s="391">
        <f t="shared" si="7"/>
        <v>39654</v>
      </c>
      <c r="P31" s="96">
        <v>0.21180000000000002</v>
      </c>
    </row>
    <row r="32" spans="1:16" ht="13.5" customHeight="1">
      <c r="A32" s="95" t="s">
        <v>22</v>
      </c>
      <c r="B32" s="385">
        <f t="shared" ref="B32:B38" si="8">SUM(C32*D32)</f>
        <v>11627.740000000002</v>
      </c>
      <c r="C32" s="391">
        <f t="shared" si="1"/>
        <v>45350</v>
      </c>
      <c r="D32" s="96">
        <v>0.25640000000000002</v>
      </c>
      <c r="F32" s="385">
        <f t="shared" ref="F32:F38" si="9">SUM(G32*H32)</f>
        <v>10694.2014</v>
      </c>
      <c r="G32" s="391">
        <f t="shared" si="3"/>
        <v>45690</v>
      </c>
      <c r="H32" s="96">
        <v>0.23406000000000002</v>
      </c>
      <c r="J32" s="385">
        <f t="shared" ref="J32:J38" si="10">SUM(K32*L32)</f>
        <v>10433.4141</v>
      </c>
      <c r="K32" s="391">
        <f t="shared" si="5"/>
        <v>46023</v>
      </c>
      <c r="L32" s="96">
        <v>0.22670000000000001</v>
      </c>
      <c r="N32" s="385">
        <f t="shared" ref="N32:N38" si="11">SUM(O32*P32)</f>
        <v>9036.6494400000011</v>
      </c>
      <c r="O32" s="391">
        <f t="shared" si="7"/>
        <v>46228</v>
      </c>
      <c r="P32" s="96">
        <v>0.19548000000000001</v>
      </c>
    </row>
    <row r="33" spans="1:16" ht="13.5" customHeight="1">
      <c r="A33" s="95" t="s">
        <v>24</v>
      </c>
      <c r="B33" s="385">
        <f t="shared" si="8"/>
        <v>10575.437910000001</v>
      </c>
      <c r="C33" s="391">
        <f t="shared" si="1"/>
        <v>38581</v>
      </c>
      <c r="D33" s="96">
        <v>0.27411000000000002</v>
      </c>
      <c r="F33" s="385">
        <f t="shared" si="9"/>
        <v>8015.5279400000009</v>
      </c>
      <c r="G33" s="391">
        <f t="shared" si="3"/>
        <v>38899</v>
      </c>
      <c r="H33" s="96">
        <v>0.20606000000000002</v>
      </c>
      <c r="J33" s="385">
        <f t="shared" si="10"/>
        <v>6320.6349600000003</v>
      </c>
      <c r="K33" s="391">
        <f t="shared" si="5"/>
        <v>39108</v>
      </c>
      <c r="L33" s="96">
        <v>0.16162000000000001</v>
      </c>
      <c r="N33" s="385">
        <f t="shared" si="11"/>
        <v>5148.2932500000006</v>
      </c>
      <c r="O33" s="391">
        <f t="shared" si="7"/>
        <v>39345</v>
      </c>
      <c r="P33" s="96">
        <v>0.13085000000000002</v>
      </c>
    </row>
    <row r="34" spans="1:16" ht="13.5" customHeight="1">
      <c r="A34" s="95" t="s">
        <v>27</v>
      </c>
      <c r="B34" s="385">
        <f t="shared" si="8"/>
        <v>78195.609800000006</v>
      </c>
      <c r="C34" s="391">
        <f t="shared" si="1"/>
        <v>289399</v>
      </c>
      <c r="D34" s="96">
        <v>0.2702</v>
      </c>
      <c r="F34" s="385">
        <f t="shared" si="9"/>
        <v>62292.787700000008</v>
      </c>
      <c r="G34" s="391">
        <f t="shared" si="3"/>
        <v>291115</v>
      </c>
      <c r="H34" s="96">
        <v>0.21398000000000003</v>
      </c>
      <c r="J34" s="385">
        <f t="shared" si="10"/>
        <v>73818.995129999996</v>
      </c>
      <c r="K34" s="391">
        <f t="shared" si="5"/>
        <v>292619</v>
      </c>
      <c r="L34" s="96">
        <v>0.25226999999999999</v>
      </c>
      <c r="N34" s="385">
        <f t="shared" si="11"/>
        <v>74459.818060000005</v>
      </c>
      <c r="O34" s="391">
        <f t="shared" si="7"/>
        <v>294622</v>
      </c>
      <c r="P34" s="96">
        <v>0.25273000000000001</v>
      </c>
    </row>
    <row r="35" spans="1:16" ht="13.5" customHeight="1">
      <c r="A35" s="95" t="s">
        <v>29</v>
      </c>
      <c r="B35" s="385">
        <f t="shared" si="8"/>
        <v>14340.562440000002</v>
      </c>
      <c r="C35" s="391">
        <f t="shared" si="1"/>
        <v>37586</v>
      </c>
      <c r="D35" s="96">
        <v>0.38154000000000005</v>
      </c>
      <c r="F35" s="385">
        <f t="shared" si="9"/>
        <v>11569.77579</v>
      </c>
      <c r="G35" s="391">
        <f t="shared" si="3"/>
        <v>37651</v>
      </c>
      <c r="H35" s="96">
        <v>0.30729000000000001</v>
      </c>
      <c r="J35" s="385">
        <f t="shared" si="10"/>
        <v>11852.836000000001</v>
      </c>
      <c r="K35" s="391">
        <f t="shared" si="5"/>
        <v>37640</v>
      </c>
      <c r="L35" s="96">
        <v>0.31490000000000001</v>
      </c>
      <c r="N35" s="385">
        <f t="shared" si="11"/>
        <v>10668.83496</v>
      </c>
      <c r="O35" s="391">
        <f t="shared" si="7"/>
        <v>37614</v>
      </c>
      <c r="P35" s="96">
        <v>0.28364</v>
      </c>
    </row>
    <row r="36" spans="1:16" ht="13.5" customHeight="1">
      <c r="A36" s="95" t="s">
        <v>34</v>
      </c>
      <c r="B36" s="385">
        <f t="shared" si="8"/>
        <v>39114.187320000005</v>
      </c>
      <c r="C36" s="391">
        <f t="shared" si="1"/>
        <v>150364</v>
      </c>
      <c r="D36" s="96">
        <v>0.26013000000000003</v>
      </c>
      <c r="F36" s="385">
        <f t="shared" si="9"/>
        <v>35938.612800000003</v>
      </c>
      <c r="G36" s="391">
        <f t="shared" si="3"/>
        <v>151155</v>
      </c>
      <c r="H36" s="96">
        <v>0.23776000000000003</v>
      </c>
      <c r="J36" s="385">
        <f t="shared" si="10"/>
        <v>34650.742400000003</v>
      </c>
      <c r="K36" s="391">
        <f t="shared" si="5"/>
        <v>151744</v>
      </c>
      <c r="L36" s="96">
        <v>0.22835000000000003</v>
      </c>
      <c r="N36" s="385">
        <f t="shared" si="11"/>
        <v>30339.205860000002</v>
      </c>
      <c r="O36" s="391">
        <f t="shared" si="7"/>
        <v>152443</v>
      </c>
      <c r="P36" s="96">
        <v>0.19902</v>
      </c>
    </row>
    <row r="37" spans="1:16" ht="13.5" customHeight="1">
      <c r="A37" s="95" t="s">
        <v>37</v>
      </c>
      <c r="B37" s="385">
        <f t="shared" si="8"/>
        <v>21369.238000000005</v>
      </c>
      <c r="C37" s="391">
        <f t="shared" si="1"/>
        <v>84025</v>
      </c>
      <c r="D37" s="96">
        <v>0.25432000000000005</v>
      </c>
      <c r="F37" s="385">
        <f t="shared" si="9"/>
        <v>19171.35598</v>
      </c>
      <c r="G37" s="391">
        <f t="shared" si="3"/>
        <v>84938</v>
      </c>
      <c r="H37" s="96">
        <v>0.22571000000000002</v>
      </c>
      <c r="J37" s="385">
        <f t="shared" si="10"/>
        <v>22094.7716</v>
      </c>
      <c r="K37" s="391">
        <f t="shared" si="5"/>
        <v>85745</v>
      </c>
      <c r="L37" s="96">
        <v>0.25768000000000002</v>
      </c>
      <c r="N37" s="385">
        <f t="shared" si="11"/>
        <v>19273.965050000003</v>
      </c>
      <c r="O37" s="391">
        <f t="shared" si="7"/>
        <v>86683</v>
      </c>
      <c r="P37" s="96">
        <v>0.22235000000000002</v>
      </c>
    </row>
    <row r="38" spans="1:16" ht="13.5" customHeight="1">
      <c r="A38" s="95" t="s">
        <v>41</v>
      </c>
      <c r="B38" s="385">
        <f t="shared" si="8"/>
        <v>35859.697960000005</v>
      </c>
      <c r="C38" s="391">
        <f t="shared" si="1"/>
        <v>144148</v>
      </c>
      <c r="D38" s="96">
        <v>0.24877000000000002</v>
      </c>
      <c r="F38" s="385">
        <f t="shared" si="9"/>
        <v>33239.418900000004</v>
      </c>
      <c r="G38" s="391">
        <f t="shared" si="3"/>
        <v>145182</v>
      </c>
      <c r="H38" s="96">
        <v>0.22895000000000001</v>
      </c>
      <c r="J38" s="385">
        <f t="shared" si="10"/>
        <v>29659.96343</v>
      </c>
      <c r="K38" s="391">
        <f t="shared" si="5"/>
        <v>146173</v>
      </c>
      <c r="L38" s="96">
        <v>0.20291000000000001</v>
      </c>
      <c r="N38" s="385">
        <f t="shared" si="11"/>
        <v>32078.689720000002</v>
      </c>
      <c r="O38" s="391">
        <f t="shared" si="7"/>
        <v>147434</v>
      </c>
      <c r="P38" s="96">
        <v>0.21758000000000002</v>
      </c>
    </row>
    <row r="39" spans="1:16" ht="13.5" customHeight="1">
      <c r="A39" s="95" t="s">
        <v>530</v>
      </c>
      <c r="B39" s="385">
        <f>SUM(B38+B36)</f>
        <v>74973.885280000017</v>
      </c>
      <c r="C39" s="391">
        <f>SUM(C38+C36)</f>
        <v>294512</v>
      </c>
      <c r="D39" s="96">
        <v>0.25456988265333846</v>
      </c>
      <c r="F39" s="385">
        <f>SUM(F38+F36)</f>
        <v>69178.031700000007</v>
      </c>
      <c r="G39" s="391" t="e">
        <f t="shared" si="3"/>
        <v>#N/A</v>
      </c>
      <c r="H39" s="96">
        <v>0.233443787647172</v>
      </c>
      <c r="J39" s="385">
        <f>SUM(J38+J36)</f>
        <v>64310.705830000006</v>
      </c>
      <c r="K39" s="391" t="e">
        <f t="shared" si="5"/>
        <v>#N/A</v>
      </c>
      <c r="L39" s="96">
        <v>0.21586786195483978</v>
      </c>
      <c r="N39" s="385">
        <f>SUM(N38+N36)</f>
        <v>62417.895580000004</v>
      </c>
      <c r="P39" s="96"/>
    </row>
    <row r="40" spans="1:16" ht="13.5" customHeight="1">
      <c r="A40" s="95" t="s">
        <v>43</v>
      </c>
      <c r="B40" s="385">
        <f t="shared" si="0"/>
        <v>11634.270180000001</v>
      </c>
      <c r="C40" s="391">
        <f t="shared" si="1"/>
        <v>42657</v>
      </c>
      <c r="D40" s="96">
        <v>0.27274000000000004</v>
      </c>
      <c r="F40" s="385">
        <f t="shared" si="2"/>
        <v>9495.1689800000004</v>
      </c>
      <c r="G40" s="391">
        <f t="shared" si="3"/>
        <v>42746</v>
      </c>
      <c r="H40" s="96">
        <v>0.22213000000000002</v>
      </c>
      <c r="J40" s="385">
        <f t="shared" si="4"/>
        <v>12053.195560000002</v>
      </c>
      <c r="K40" s="391">
        <f t="shared" si="5"/>
        <v>42868</v>
      </c>
      <c r="L40" s="96">
        <v>0.28117000000000003</v>
      </c>
      <c r="N40" s="385">
        <f t="shared" si="6"/>
        <v>12560.026700000002</v>
      </c>
      <c r="O40" s="391">
        <f t="shared" si="7"/>
        <v>43030</v>
      </c>
      <c r="P40" s="96">
        <v>0.29189000000000004</v>
      </c>
    </row>
    <row r="41" spans="1:16" ht="13.5" customHeight="1">
      <c r="A41" s="95" t="s">
        <v>44</v>
      </c>
      <c r="B41" s="385">
        <f t="shared" si="0"/>
        <v>21804.300200000001</v>
      </c>
      <c r="C41" s="391">
        <f t="shared" si="1"/>
        <v>76630</v>
      </c>
      <c r="D41" s="96">
        <v>0.28454000000000002</v>
      </c>
      <c r="F41" s="385">
        <f t="shared" si="2"/>
        <v>16210.35288</v>
      </c>
      <c r="G41" s="391">
        <f t="shared" si="3"/>
        <v>77369</v>
      </c>
      <c r="H41" s="96">
        <v>0.20952000000000001</v>
      </c>
      <c r="J41" s="385">
        <f t="shared" si="4"/>
        <v>14868.755220000001</v>
      </c>
      <c r="K41" s="391">
        <f t="shared" si="5"/>
        <v>77953</v>
      </c>
      <c r="L41" s="96">
        <v>0.19074000000000002</v>
      </c>
      <c r="N41" s="385">
        <f t="shared" si="6"/>
        <v>14269.156200000001</v>
      </c>
      <c r="O41" s="391">
        <f t="shared" si="7"/>
        <v>78966</v>
      </c>
      <c r="P41" s="96">
        <v>0.18070000000000003</v>
      </c>
    </row>
    <row r="42" spans="1:16" ht="13.5" customHeight="1">
      <c r="A42" s="95" t="s">
        <v>47</v>
      </c>
      <c r="B42" s="385">
        <f>SUM(B40,B38,B37,B36,B35,B34,B33,B32)</f>
        <v>222716.74361000003</v>
      </c>
      <c r="C42" s="385">
        <f>SUM(C40,C38,C37,C36,C35,C34,C33,C32)</f>
        <v>832110</v>
      </c>
      <c r="D42" s="96">
        <v>0.26765300694619704</v>
      </c>
      <c r="F42" s="385">
        <f>SUM(F40,F38,F37,F36,F35,F34,F33,F32)</f>
        <v>190416.84948999999</v>
      </c>
      <c r="G42" s="385">
        <f>SUM(G40,G38,G37,G36,G35,G34,G33,G32)</f>
        <v>837376</v>
      </c>
      <c r="H42" s="96">
        <v>0.22739707071853027</v>
      </c>
      <c r="J42" s="385">
        <f>SUM(J40,J38,J37,J36,J35,J34,J33,J32)</f>
        <v>200884.55317999999</v>
      </c>
      <c r="K42" s="385">
        <f>SUM(K40,K38,K37,K36,K35,K34,K33,K32)</f>
        <v>841920</v>
      </c>
      <c r="L42" s="96">
        <v>0.23860289953914859</v>
      </c>
      <c r="N42" s="385">
        <f>SUM(N40,N38,N37,N36,N35,N34,N33,N32)</f>
        <v>193565.48304000002</v>
      </c>
      <c r="O42" s="385">
        <f>SUM(O40,O38,O37,O36,O35,O34,O33,O32)</f>
        <v>847399</v>
      </c>
      <c r="P42" s="392">
        <f>SUM(N42/O42)</f>
        <v>0.22842307229534142</v>
      </c>
    </row>
    <row r="43" spans="1:16" ht="13.5" customHeight="1">
      <c r="A43" s="6" t="s">
        <v>543</v>
      </c>
      <c r="B43" s="385">
        <f>SUM(SUMIFS(B$9:B$41,$A$9:$A$41,{"Na h-Eileanan Siar","Argyll and Bute","Shetland Islands","Highland","Orkney Islands","Scottish Borders","Dumfries and Galloway","Aberdeenshire"}))</f>
        <v>179060.62127</v>
      </c>
      <c r="C43" s="385">
        <f>SUM(SUMIFS(C$9:C$41,$A$9:$A$41,{"Na h-Eileanan Siar","Argyll and Bute","Shetland Islands","Highland","Orkney Islands","Scottish Borders","Dumfries and Galloway","Aberdeenshire"}))</f>
        <v>415388</v>
      </c>
      <c r="D43" s="96">
        <v>0.43106835361156315</v>
      </c>
      <c r="F43" s="385">
        <f>SUM(SUMIFS(F$9:F$41,$A$9:$A$41,{"Na h-Eileanan Siar","Argyll and Bute","Shetland Islands","Highland","Orkney Islands","Scottish Borders","Dumfries and Galloway","Aberdeenshire"}))</f>
        <v>172865.83705999999</v>
      </c>
      <c r="G43" s="385">
        <f>SUM(SUMIFS(G$9:G$41,$A$9:$A$41,{"Na h-Eileanan Siar","Argyll and Bute","Shetland Islands","Highland","Orkney Islands","Scottish Borders","Dumfries and Galloway","Aberdeenshire"}))</f>
        <v>418055</v>
      </c>
      <c r="H43" s="96">
        <v>0.41350022619033378</v>
      </c>
      <c r="J43" s="385">
        <f>SUM(SUMIFS(J$9:J$41,$A$9:$A$41,{"Na h-Eileanan Siar","Argyll and Bute","Shetland Islands","Highland","Orkney Islands","Scottish Borders","Dumfries and Galloway","Aberdeenshire"}))</f>
        <v>121409.23664000002</v>
      </c>
      <c r="K43" s="385">
        <f>SUM(SUMIFS(K$9:K$41,$A$9:$A$41,{"Na h-Eileanan Siar","Argyll and Bute","Shetland Islands","Highland","Orkney Islands","Scottish Borders","Dumfries and Galloway","Aberdeenshire"}))</f>
        <v>419326</v>
      </c>
      <c r="L43" s="96">
        <v>0.28953424457343457</v>
      </c>
      <c r="N43" s="385">
        <f>SUM(SUMIFS(N$9:N$41,$A$9:$A$41,{"Na h-Eileanan Siar","Argyll and Bute","Shetland Islands","Highland","Orkney Islands","Scottish Borders","Dumfries and Galloway","Aberdeenshire"}))</f>
        <v>124268.85072000002</v>
      </c>
      <c r="O43" s="385">
        <f>SUM(SUMIFS(O$9:O$41,$A$9:$A$41,{"Na h-Eileanan Siar","Argyll and Bute","Shetland Islands","Highland","Orkney Islands","Scottish Borders","Dumfries and Galloway","Aberdeenshire"}))</f>
        <v>421692</v>
      </c>
      <c r="P43" s="392">
        <f>SUM(N43/O43)</f>
        <v>0.29469103212771408</v>
      </c>
    </row>
    <row r="44" spans="1:16" ht="13.5" customHeight="1">
      <c r="A44" s="6" t="s">
        <v>544</v>
      </c>
      <c r="B44" s="385">
        <f>SUM(SUMIFS(B$9:B$41,$A$9:$A$41,{"Perth and Kinross","Stirling","Moray","South Ayrshire","East Ayrshire","East Lothian","North Ayrshire","Fife"}))</f>
        <v>176451.91552000001</v>
      </c>
      <c r="C44" s="385">
        <f>SUM(SUMIFS(C$9:C$41,$A$9:$A$41,{"Perth and Kinross","Stirling","Moray","South Ayrshire","East Ayrshire","East Lothian","North Ayrshire","Fife"}))</f>
        <v>528706</v>
      </c>
      <c r="D44" s="96">
        <v>0.33374297912261258</v>
      </c>
      <c r="F44" s="385">
        <f>SUM(SUMIFS(F$9:F$41,$A$9:$A$41,{"Perth and Kinross","Stirling","Moray","South Ayrshire","East Ayrshire","East Lothian","North Ayrshire","Fife"}))</f>
        <v>160550.00966000001</v>
      </c>
      <c r="G44" s="385">
        <f>SUM(SUMIFS(G$9:G$41,$A$9:$A$41,{"Perth and Kinross","Stirling","Moray","South Ayrshire","East Ayrshire","East Lothian","North Ayrshire","Fife"}))</f>
        <v>532166</v>
      </c>
      <c r="H44" s="96">
        <v>0.30169159559235276</v>
      </c>
      <c r="J44" s="385">
        <f>SUM(SUMIFS(J$9:J$41,$A$9:$A$41,{"Perth and Kinross","Stirling","Moray","South Ayrshire","East Ayrshire","East Lothian","North Ayrshire","Fife"}))</f>
        <v>139913.11891000002</v>
      </c>
      <c r="K44" s="385">
        <f>SUM(SUMIFS(K$9:K$41,$A$9:$A$41,{"Perth and Kinross","Stirling","Moray","South Ayrshire","East Ayrshire","East Lothian","North Ayrshire","Fife"}))</f>
        <v>535432</v>
      </c>
      <c r="L44" s="96">
        <v>0.26130884764078355</v>
      </c>
      <c r="N44" s="385">
        <f>SUM(SUMIFS(N$9:N$41,$A$9:$A$41,{"Perth and Kinross","Stirling","Moray","South Ayrshire","East Ayrshire","East Lothian","North Ayrshire","Fife"}))</f>
        <v>135714.53187000001</v>
      </c>
      <c r="O44" s="385">
        <f>SUM(SUMIFS(O$9:O$41,$A$9:$A$41,{"Perth and Kinross","Stirling","Moray","South Ayrshire","East Ayrshire","East Lothian","North Ayrshire","Fife"}))</f>
        <v>539714</v>
      </c>
      <c r="P44" s="392">
        <f>SUM(N44/O44)</f>
        <v>0.25145638591920905</v>
      </c>
    </row>
    <row r="45" spans="1:16" ht="13.5" customHeight="1">
      <c r="A45" s="6" t="s">
        <v>545</v>
      </c>
      <c r="B45" s="385">
        <f>SUM(SUMIFS(B$9:B$41,$A$9:$A$41,{"Angus","Clackmannanshire","Midlothian","South Lanarkshire","Inverclyde","Renfrewshire","West Lothian","East Renfrewshire"}))</f>
        <v>140657.63614000005</v>
      </c>
      <c r="C45" s="385">
        <f>SUM(SUMIFS(C$9:C$41,$A$9:$A$41,{"Angus","Clackmannanshire","Midlothian","South Lanarkshire","Inverclyde","Renfrewshire","West Lothian","East Renfrewshire"}))</f>
        <v>495470</v>
      </c>
      <c r="D45" s="96">
        <v>0.28388729113770772</v>
      </c>
      <c r="F45" s="385">
        <f>SUM(SUMIFS(F$9:F$41,$A$9:$A$41,{"Angus","Clackmannanshire","Midlothian","South Lanarkshire","Inverclyde","Renfrewshire","West Lothian","East Renfrewshire"}))</f>
        <v>121367.77839000001</v>
      </c>
      <c r="G45" s="385">
        <f>SUM(SUMIFS(G$9:G$41,$A$9:$A$41,{"Angus","Clackmannanshire","Midlothian","South Lanarkshire","Inverclyde","Renfrewshire","West Lothian","East Renfrewshire"}))</f>
        <v>499786</v>
      </c>
      <c r="H45" s="96">
        <v>0.24283949208261138</v>
      </c>
      <c r="J45" s="385">
        <f>SUM(SUMIFS(J$9:J$41,$A$9:$A$41,{"Angus","Clackmannanshire","Midlothian","South Lanarkshire","Inverclyde","Renfrewshire","West Lothian","East Renfrewshire"}))</f>
        <v>109697.91311000001</v>
      </c>
      <c r="K45" s="385">
        <f>SUM(SUMIFS(K$9:K$41,$A$9:$A$41,{"Angus","Clackmannanshire","Midlothian","South Lanarkshire","Inverclyde","Renfrewshire","West Lothian","East Renfrewshire"}))</f>
        <v>503303</v>
      </c>
      <c r="L45" s="96">
        <v>0.21795600882569746</v>
      </c>
      <c r="N45" s="385">
        <f>SUM(SUMIFS(N$9:N$41,$A$9:$A$41,{"Angus","Clackmannanshire","Midlothian","South Lanarkshire","Inverclyde","Renfrewshire","West Lothian","East Renfrewshire"}))</f>
        <v>106691.41447</v>
      </c>
      <c r="O45" s="385">
        <f>SUM(SUMIFS(O$9:O$41,$A$9:$A$41,{"Angus","Clackmannanshire","Midlothian","South Lanarkshire","Inverclyde","Renfrewshire","West Lothian","East Renfrewshire"}))</f>
        <v>507886</v>
      </c>
      <c r="P45" s="392">
        <f>SUM(N45/O45)</f>
        <v>0.21006961103475977</v>
      </c>
    </row>
    <row r="46" spans="1:16" ht="13.5" customHeight="1">
      <c r="A46" s="6" t="s">
        <v>546</v>
      </c>
      <c r="B46" s="385">
        <f>SUM(SUMIFS(B$9:B$41,$A$9:$A$41,{"North Lanarkshire","Falkirk","East Dunbartonshire","Aberdeen City","Edinburgh, City of","West Dunbartonshire","Dundee City","Glasgow City"}))</f>
        <v>253681.90355000002</v>
      </c>
      <c r="C46" s="385">
        <f>SUM(SUMIFS(C$9:C$41,$A$9:$A$41,{"North Lanarkshire","Falkirk","East Dunbartonshire","Aberdeen City","Edinburgh, City of","West Dunbartonshire","Dundee City","Glasgow City"}))</f>
        <v>1006609</v>
      </c>
      <c r="D46" s="96">
        <v>0.25201632764062315</v>
      </c>
      <c r="F46" s="385">
        <f>SUM(SUMIFS(F$9:F$41,$A$9:$A$41,{"North Lanarkshire","Falkirk","East Dunbartonshire","Aberdeen City","Edinburgh, City of","West Dunbartonshire","Dundee City","Glasgow City"}))</f>
        <v>218002.28279000003</v>
      </c>
      <c r="G46" s="385">
        <f>SUM(SUMIFS(G$9:G$41,$A$9:$A$41,{"North Lanarkshire","Falkirk","East Dunbartonshire","Aberdeen City","Edinburgh, City of","West Dunbartonshire","Dundee City","Glasgow City"}))</f>
        <v>1012726</v>
      </c>
      <c r="H46" s="96">
        <v>0.21526284778903673</v>
      </c>
      <c r="J46" s="385">
        <f>SUM(SUMIFS(J$9:J$41,$A$9:$A$41,{"North Lanarkshire","Falkirk","East Dunbartonshire","Aberdeen City","Edinburgh, City of","West Dunbartonshire","Dundee City","Glasgow City"}))</f>
        <v>243077.12851000001</v>
      </c>
      <c r="K46" s="385">
        <f>SUM(SUMIFS(K$9:K$41,$A$9:$A$41,{"North Lanarkshire","Falkirk","East Dunbartonshire","Aberdeen City","Edinburgh, City of","West Dunbartonshire","Dundee City","Glasgow City"}))</f>
        <v>1019215</v>
      </c>
      <c r="L46" s="96">
        <v>0.23849445750896525</v>
      </c>
      <c r="N46" s="385">
        <f>SUM(SUMIFS(N$9:N$41,$A$9:$A$41,{"North Lanarkshire","Falkirk","East Dunbartonshire","Aberdeen City","Edinburgh, City of","West Dunbartonshire","Dundee City","Glasgow City"}))</f>
        <v>242264.58584000001</v>
      </c>
      <c r="O46" s="385">
        <f>SUM(SUMIFS(O$9:O$41,$A$9:$A$41,{"North Lanarkshire","Falkirk","East Dunbartonshire","Aberdeen City","Edinburgh, City of","West Dunbartonshire","Dundee City","Glasgow City"}))</f>
        <v>1026330</v>
      </c>
      <c r="P46" s="392">
        <f>SUM(N46/O46)</f>
        <v>0.2360494050061871</v>
      </c>
    </row>
    <row r="47" spans="1:16" ht="13.5" customHeight="1">
      <c r="A47" s="97" t="s">
        <v>45</v>
      </c>
      <c r="B47" s="385">
        <f>SUM(C47*D47)</f>
        <v>750632.03306000005</v>
      </c>
      <c r="C47" s="391">
        <f>VLOOKUP($A47,$A$54:$G$86,3,FALSE)</f>
        <v>2446171</v>
      </c>
      <c r="D47" s="96">
        <v>0.30686000000000002</v>
      </c>
      <c r="F47" s="385">
        <f t="shared" si="2"/>
        <v>673509.04128</v>
      </c>
      <c r="G47" s="391">
        <f>VLOOKUP($A47,$A$54:$G$86,4,FALSE)</f>
        <v>2462736</v>
      </c>
      <c r="H47" s="96">
        <v>0.27348</v>
      </c>
      <c r="J47" s="385">
        <f t="shared" si="4"/>
        <v>614240.33625000005</v>
      </c>
      <c r="K47" s="391">
        <f>VLOOKUP($A47,$A$54:$G$86,5,FALSE)</f>
        <v>2477275</v>
      </c>
      <c r="L47" s="96">
        <v>0.24795000000000003</v>
      </c>
      <c r="N47" s="385">
        <f t="shared" si="6"/>
        <v>609131.66184000007</v>
      </c>
      <c r="O47" s="391">
        <f>VLOOKUP($A47,$A$54:$G$86,6,FALSE)</f>
        <v>2495623</v>
      </c>
      <c r="P47" s="96">
        <v>0.24408000000000002</v>
      </c>
    </row>
    <row r="48" spans="1:16" ht="13.5" customHeight="1">
      <c r="B48" s="98"/>
    </row>
    <row r="50" spans="1:7" ht="18" customHeight="1">
      <c r="A50" s="90" t="s">
        <v>260</v>
      </c>
    </row>
    <row r="51" spans="1:7" ht="15" customHeight="1"/>
    <row r="52" spans="1:7" s="81" customFormat="1" ht="13.5" customHeight="1">
      <c r="A52" s="600" t="s">
        <v>259</v>
      </c>
      <c r="B52" s="600">
        <v>2015</v>
      </c>
      <c r="C52" s="600">
        <v>2016</v>
      </c>
      <c r="D52" s="600">
        <v>2017</v>
      </c>
      <c r="E52" s="600">
        <v>2018</v>
      </c>
      <c r="F52" s="600">
        <v>2019</v>
      </c>
      <c r="G52" s="600">
        <v>2020</v>
      </c>
    </row>
    <row r="53" spans="1:7" s="81" customFormat="1" ht="13.5" customHeight="1">
      <c r="A53" s="601"/>
      <c r="B53" s="601"/>
      <c r="C53" s="601"/>
      <c r="D53" s="601"/>
      <c r="E53" s="601"/>
      <c r="F53" s="601"/>
      <c r="G53" s="601"/>
    </row>
    <row r="54" spans="1:7" s="81" customFormat="1" ht="18" customHeight="1">
      <c r="A54" s="81" t="s">
        <v>45</v>
      </c>
      <c r="B54" s="89">
        <v>2429943</v>
      </c>
      <c r="C54" s="89">
        <v>2446171</v>
      </c>
      <c r="D54" s="89">
        <v>2462736</v>
      </c>
      <c r="E54" s="89">
        <v>2477275</v>
      </c>
      <c r="F54" s="82">
        <v>2495623</v>
      </c>
      <c r="G54" s="82">
        <v>2507625</v>
      </c>
    </row>
    <row r="55" spans="1:7" ht="18" customHeight="1">
      <c r="A55" s="81" t="s">
        <v>14</v>
      </c>
      <c r="B55" s="88">
        <v>105311</v>
      </c>
      <c r="C55" s="88">
        <v>106749</v>
      </c>
      <c r="D55" s="88">
        <v>106802</v>
      </c>
      <c r="E55" s="88">
        <v>107586</v>
      </c>
      <c r="F55" s="221">
        <v>108381</v>
      </c>
      <c r="G55" s="221">
        <v>108893</v>
      </c>
    </row>
    <row r="56" spans="1:7" ht="13.5" customHeight="1">
      <c r="A56" s="81" t="s">
        <v>15</v>
      </c>
      <c r="B56" s="88">
        <v>109631</v>
      </c>
      <c r="C56" s="88">
        <v>110296</v>
      </c>
      <c r="D56" s="88">
        <v>110941</v>
      </c>
      <c r="E56" s="88">
        <v>111156</v>
      </c>
      <c r="F56" s="221">
        <v>112114</v>
      </c>
      <c r="G56" s="221">
        <v>112713</v>
      </c>
    </row>
    <row r="57" spans="1:7" ht="13.5" customHeight="1">
      <c r="A57" s="81" t="s">
        <v>16</v>
      </c>
      <c r="B57" s="88">
        <v>53142</v>
      </c>
      <c r="C57" s="88">
        <v>53333</v>
      </c>
      <c r="D57" s="88">
        <v>53627</v>
      </c>
      <c r="E57" s="88">
        <v>53888</v>
      </c>
      <c r="F57" s="221">
        <v>54221</v>
      </c>
      <c r="G57" s="221">
        <v>54480</v>
      </c>
    </row>
    <row r="58" spans="1:7" ht="13.5" customHeight="1">
      <c r="A58" s="81" t="s">
        <v>17</v>
      </c>
      <c r="B58" s="88">
        <v>40938</v>
      </c>
      <c r="C58" s="88">
        <v>41040</v>
      </c>
      <c r="D58" s="88">
        <v>41455</v>
      </c>
      <c r="E58" s="88">
        <v>41630</v>
      </c>
      <c r="F58" s="221">
        <v>41789</v>
      </c>
      <c r="G58" s="221">
        <v>41839</v>
      </c>
    </row>
    <row r="59" spans="1:7" ht="13.5" customHeight="1">
      <c r="A59" s="95" t="s">
        <v>189</v>
      </c>
      <c r="B59" s="88">
        <v>229650</v>
      </c>
      <c r="C59" s="88">
        <v>231383</v>
      </c>
      <c r="D59" s="88">
        <v>233369</v>
      </c>
      <c r="E59" s="88">
        <v>235771</v>
      </c>
      <c r="F59" s="221">
        <v>238269</v>
      </c>
      <c r="G59" s="221">
        <v>239364</v>
      </c>
    </row>
    <row r="60" spans="1:7" ht="18" customHeight="1">
      <c r="A60" s="81" t="s">
        <v>18</v>
      </c>
      <c r="B60" s="88">
        <v>23333</v>
      </c>
      <c r="C60" s="88">
        <v>23401</v>
      </c>
      <c r="D60" s="88">
        <v>23563</v>
      </c>
      <c r="E60" s="88">
        <v>23674</v>
      </c>
      <c r="F60" s="221">
        <v>23890</v>
      </c>
      <c r="G60" s="221">
        <v>24066</v>
      </c>
    </row>
    <row r="61" spans="1:7" ht="13.5" customHeight="1">
      <c r="A61" s="81" t="s">
        <v>19</v>
      </c>
      <c r="B61" s="88">
        <v>68999</v>
      </c>
      <c r="C61" s="88">
        <v>69202</v>
      </c>
      <c r="D61" s="88">
        <v>69503</v>
      </c>
      <c r="E61" s="88">
        <v>69586</v>
      </c>
      <c r="F61" s="221">
        <v>69699</v>
      </c>
      <c r="G61" s="221">
        <v>69957</v>
      </c>
    </row>
    <row r="62" spans="1:7" ht="13.5" customHeight="1">
      <c r="A62" s="81" t="s">
        <v>20</v>
      </c>
      <c r="B62" s="88">
        <v>69534</v>
      </c>
      <c r="C62" s="88">
        <v>69635</v>
      </c>
      <c r="D62" s="88">
        <v>70049</v>
      </c>
      <c r="E62" s="88">
        <v>70337</v>
      </c>
      <c r="F62" s="221">
        <v>70685</v>
      </c>
      <c r="G62" s="221">
        <v>70689</v>
      </c>
    </row>
    <row r="63" spans="1:7" ht="13.5" customHeight="1">
      <c r="A63" s="81" t="s">
        <v>21</v>
      </c>
      <c r="B63" s="88">
        <v>54570</v>
      </c>
      <c r="C63" s="88">
        <v>54748</v>
      </c>
      <c r="D63" s="88">
        <v>54873</v>
      </c>
      <c r="E63" s="88">
        <v>55107</v>
      </c>
      <c r="F63" s="221">
        <v>55387</v>
      </c>
      <c r="G63" s="221">
        <v>55564</v>
      </c>
    </row>
    <row r="64" spans="1:7" ht="13.5" customHeight="1">
      <c r="A64" s="81" t="s">
        <v>22</v>
      </c>
      <c r="B64" s="88">
        <v>45008</v>
      </c>
      <c r="C64" s="88">
        <v>45350</v>
      </c>
      <c r="D64" s="88">
        <v>45690</v>
      </c>
      <c r="E64" s="88">
        <v>46023</v>
      </c>
      <c r="F64" s="221">
        <v>46228</v>
      </c>
      <c r="G64" s="221">
        <v>46563</v>
      </c>
    </row>
    <row r="65" spans="1:7" ht="18" customHeight="1">
      <c r="A65" s="81" t="s">
        <v>23</v>
      </c>
      <c r="B65" s="88">
        <v>44384</v>
      </c>
      <c r="C65" s="88">
        <v>44749</v>
      </c>
      <c r="D65" s="88">
        <v>45301</v>
      </c>
      <c r="E65" s="88">
        <v>45975</v>
      </c>
      <c r="F65" s="221">
        <v>46771</v>
      </c>
      <c r="G65" s="221">
        <v>47482</v>
      </c>
    </row>
    <row r="66" spans="1:7" ht="13.5" customHeight="1">
      <c r="A66" s="81" t="s">
        <v>24</v>
      </c>
      <c r="B66" s="88">
        <v>38270</v>
      </c>
      <c r="C66" s="88">
        <v>38581</v>
      </c>
      <c r="D66" s="88">
        <v>38899</v>
      </c>
      <c r="E66" s="88">
        <v>39108</v>
      </c>
      <c r="F66" s="221">
        <v>39345</v>
      </c>
      <c r="G66" s="221">
        <v>39586</v>
      </c>
    </row>
    <row r="67" spans="1:7" ht="13.5" customHeight="1">
      <c r="A67" s="81" t="s">
        <v>25</v>
      </c>
      <c r="B67" s="88">
        <v>70431</v>
      </c>
      <c r="C67" s="88">
        <v>71072</v>
      </c>
      <c r="D67" s="88">
        <v>71800</v>
      </c>
      <c r="E67" s="88">
        <v>72267</v>
      </c>
      <c r="F67" s="221">
        <v>72672</v>
      </c>
      <c r="G67" s="221">
        <v>72994</v>
      </c>
    </row>
    <row r="68" spans="1:7" ht="13.5" customHeight="1">
      <c r="A68" s="81" t="s">
        <v>26</v>
      </c>
      <c r="B68" s="88">
        <v>164705</v>
      </c>
      <c r="C68" s="88">
        <v>165833</v>
      </c>
      <c r="D68" s="88">
        <v>166960</v>
      </c>
      <c r="E68" s="88">
        <v>167944</v>
      </c>
      <c r="F68" s="221">
        <v>169239</v>
      </c>
      <c r="G68" s="221">
        <v>169886</v>
      </c>
    </row>
    <row r="69" spans="1:7" ht="13.5" customHeight="1">
      <c r="A69" s="81" t="s">
        <v>27</v>
      </c>
      <c r="B69" s="88">
        <v>287862</v>
      </c>
      <c r="C69" s="88">
        <v>289399</v>
      </c>
      <c r="D69" s="88">
        <v>291115</v>
      </c>
      <c r="E69" s="88">
        <v>292619</v>
      </c>
      <c r="F69" s="221">
        <v>294622</v>
      </c>
      <c r="G69" s="221">
        <v>295761</v>
      </c>
    </row>
    <row r="70" spans="1:7" ht="18" customHeight="1">
      <c r="A70" s="81" t="s">
        <v>28</v>
      </c>
      <c r="B70" s="88">
        <v>106834</v>
      </c>
      <c r="C70" s="88">
        <v>107573</v>
      </c>
      <c r="D70" s="88">
        <v>108319</v>
      </c>
      <c r="E70" s="88">
        <v>108878</v>
      </c>
      <c r="F70" s="221">
        <v>109514</v>
      </c>
      <c r="G70" s="221">
        <v>110084</v>
      </c>
    </row>
    <row r="71" spans="1:7" ht="13.5" customHeight="1">
      <c r="A71" s="81" t="s">
        <v>29</v>
      </c>
      <c r="B71" s="88">
        <v>37426</v>
      </c>
      <c r="C71" s="88">
        <v>37586</v>
      </c>
      <c r="D71" s="88">
        <v>37651</v>
      </c>
      <c r="E71" s="88">
        <v>37640</v>
      </c>
      <c r="F71" s="221">
        <v>37614</v>
      </c>
      <c r="G71" s="221">
        <v>37646</v>
      </c>
    </row>
    <row r="72" spans="1:7" ht="13.5" customHeight="1">
      <c r="A72" s="81" t="s">
        <v>30</v>
      </c>
      <c r="B72" s="88">
        <v>37069</v>
      </c>
      <c r="C72" s="88">
        <v>37766</v>
      </c>
      <c r="D72" s="88">
        <v>38557</v>
      </c>
      <c r="E72" s="88">
        <v>39122</v>
      </c>
      <c r="F72" s="221">
        <v>39733</v>
      </c>
      <c r="G72" s="221">
        <v>40137</v>
      </c>
    </row>
    <row r="73" spans="1:7" ht="13.5" customHeight="1">
      <c r="A73" s="81" t="s">
        <v>31</v>
      </c>
      <c r="B73" s="88">
        <v>41641</v>
      </c>
      <c r="C73" s="88">
        <v>41961</v>
      </c>
      <c r="D73" s="88">
        <v>42269</v>
      </c>
      <c r="E73" s="88">
        <v>42554</v>
      </c>
      <c r="F73" s="221">
        <v>42932</v>
      </c>
      <c r="G73" s="221">
        <v>43175</v>
      </c>
    </row>
    <row r="74" spans="1:7" ht="13.5" customHeight="1">
      <c r="A74" s="81" t="s">
        <v>32</v>
      </c>
      <c r="B74" s="88">
        <v>12968</v>
      </c>
      <c r="C74" s="88">
        <v>12951</v>
      </c>
      <c r="D74" s="88">
        <v>12805</v>
      </c>
      <c r="E74" s="88">
        <v>12773</v>
      </c>
      <c r="F74" s="221">
        <v>12833</v>
      </c>
      <c r="G74" s="221">
        <v>12849</v>
      </c>
    </row>
    <row r="75" spans="1:7" ht="18" customHeight="1">
      <c r="A75" s="81" t="s">
        <v>33</v>
      </c>
      <c r="B75" s="88">
        <v>63189</v>
      </c>
      <c r="C75" s="88">
        <v>63440</v>
      </c>
      <c r="D75" s="88">
        <v>63756</v>
      </c>
      <c r="E75" s="88">
        <v>63935</v>
      </c>
      <c r="F75" s="221">
        <v>64140</v>
      </c>
      <c r="G75" s="221">
        <v>64415</v>
      </c>
    </row>
    <row r="76" spans="1:7" ht="13.5" customHeight="1">
      <c r="A76" s="81" t="s">
        <v>34</v>
      </c>
      <c r="B76" s="88">
        <v>149282</v>
      </c>
      <c r="C76" s="88">
        <v>150364</v>
      </c>
      <c r="D76" s="88">
        <v>151155</v>
      </c>
      <c r="E76" s="88">
        <v>151744</v>
      </c>
      <c r="F76" s="221">
        <v>152443</v>
      </c>
      <c r="G76" s="221">
        <v>152910</v>
      </c>
    </row>
    <row r="77" spans="1:7" ht="13.5" customHeight="1">
      <c r="A77" s="81" t="s">
        <v>35</v>
      </c>
      <c r="B77" s="88">
        <v>10146</v>
      </c>
      <c r="C77" s="88">
        <v>10256</v>
      </c>
      <c r="D77" s="88">
        <v>10385</v>
      </c>
      <c r="E77" s="88">
        <v>10506</v>
      </c>
      <c r="F77" s="221">
        <v>10589</v>
      </c>
      <c r="G77" s="221">
        <v>10635</v>
      </c>
    </row>
    <row r="78" spans="1:7" ht="13.5" customHeight="1">
      <c r="A78" s="81" t="s">
        <v>36</v>
      </c>
      <c r="B78" s="88">
        <v>66545</v>
      </c>
      <c r="C78" s="88">
        <v>67101</v>
      </c>
      <c r="D78" s="88">
        <v>67618</v>
      </c>
      <c r="E78" s="88">
        <v>68196</v>
      </c>
      <c r="F78" s="221">
        <v>69003</v>
      </c>
      <c r="G78" s="221">
        <v>69432</v>
      </c>
    </row>
    <row r="79" spans="1:7" ht="13.5" customHeight="1">
      <c r="A79" s="81" t="s">
        <v>37</v>
      </c>
      <c r="B79" s="88">
        <v>83245</v>
      </c>
      <c r="C79" s="88">
        <v>84025</v>
      </c>
      <c r="D79" s="88">
        <v>84938</v>
      </c>
      <c r="E79" s="88">
        <v>85745</v>
      </c>
      <c r="F79" s="221">
        <v>86683</v>
      </c>
      <c r="G79" s="221">
        <v>87241</v>
      </c>
    </row>
    <row r="80" spans="1:7" ht="18" customHeight="1">
      <c r="A80" s="81" t="s">
        <v>38</v>
      </c>
      <c r="B80" s="88">
        <v>53351</v>
      </c>
      <c r="C80" s="88">
        <v>53787</v>
      </c>
      <c r="D80" s="88">
        <v>54306</v>
      </c>
      <c r="E80" s="88">
        <v>54413</v>
      </c>
      <c r="F80" s="221">
        <v>54715</v>
      </c>
      <c r="G80" s="221">
        <v>54796</v>
      </c>
    </row>
    <row r="81" spans="1:7" ht="13.5" customHeight="1">
      <c r="A81" s="81" t="s">
        <v>39</v>
      </c>
      <c r="B81" s="88">
        <v>10235</v>
      </c>
      <c r="C81" s="88">
        <v>10283</v>
      </c>
      <c r="D81" s="88">
        <v>10341</v>
      </c>
      <c r="E81" s="88">
        <v>10384</v>
      </c>
      <c r="F81" s="221">
        <v>10439</v>
      </c>
      <c r="G81" s="221">
        <v>10461</v>
      </c>
    </row>
    <row r="82" spans="1:7" ht="13.5" customHeight="1">
      <c r="A82" s="81" t="s">
        <v>40</v>
      </c>
      <c r="B82" s="88">
        <v>51912</v>
      </c>
      <c r="C82" s="88">
        <v>51923</v>
      </c>
      <c r="D82" s="88">
        <v>52104</v>
      </c>
      <c r="E82" s="88">
        <v>52281</v>
      </c>
      <c r="F82" s="221">
        <v>52588</v>
      </c>
      <c r="G82" s="221">
        <v>52571</v>
      </c>
    </row>
    <row r="83" spans="1:7" ht="13.5" customHeight="1">
      <c r="A83" s="81" t="s">
        <v>41</v>
      </c>
      <c r="B83" s="88">
        <v>143313</v>
      </c>
      <c r="C83" s="88">
        <v>144148</v>
      </c>
      <c r="D83" s="88">
        <v>145182</v>
      </c>
      <c r="E83" s="88">
        <v>146173</v>
      </c>
      <c r="F83" s="221">
        <v>147434</v>
      </c>
      <c r="G83" s="221">
        <v>148483</v>
      </c>
    </row>
    <row r="84" spans="1:7" ht="13.5" customHeight="1">
      <c r="A84" s="81" t="s">
        <v>42</v>
      </c>
      <c r="B84" s="88">
        <v>38665</v>
      </c>
      <c r="C84" s="88">
        <v>38951</v>
      </c>
      <c r="D84" s="88">
        <v>39285</v>
      </c>
      <c r="E84" s="88">
        <v>39440</v>
      </c>
      <c r="F84" s="221">
        <v>39654</v>
      </c>
      <c r="G84" s="221">
        <v>39896</v>
      </c>
    </row>
    <row r="85" spans="1:7" ht="18" customHeight="1">
      <c r="A85" s="81" t="s">
        <v>43</v>
      </c>
      <c r="B85" s="88">
        <v>42571</v>
      </c>
      <c r="C85" s="88">
        <v>42657</v>
      </c>
      <c r="D85" s="88">
        <v>42746</v>
      </c>
      <c r="E85" s="88">
        <v>42868</v>
      </c>
      <c r="F85" s="221">
        <v>43030</v>
      </c>
      <c r="G85" s="221">
        <v>43164</v>
      </c>
    </row>
    <row r="86" spans="1:7" ht="13.5" customHeight="1">
      <c r="A86" s="87" t="s">
        <v>44</v>
      </c>
      <c r="B86" s="86">
        <v>75782</v>
      </c>
      <c r="C86" s="86">
        <v>76630</v>
      </c>
      <c r="D86" s="86">
        <v>77369</v>
      </c>
      <c r="E86" s="86">
        <v>77953</v>
      </c>
      <c r="F86" s="221">
        <v>78966</v>
      </c>
      <c r="G86" s="221">
        <v>79892</v>
      </c>
    </row>
    <row r="87" spans="1:7" ht="13">
      <c r="F87" s="82"/>
      <c r="G87" s="82"/>
    </row>
    <row r="88" spans="1:7" ht="13">
      <c r="A88" s="84" t="s">
        <v>258</v>
      </c>
      <c r="B88" s="83"/>
      <c r="F88" s="82"/>
      <c r="G88" s="82"/>
    </row>
    <row r="89" spans="1:7" ht="12.75" customHeight="1">
      <c r="A89" s="599" t="s">
        <v>257</v>
      </c>
      <c r="B89" s="599"/>
      <c r="G89" s="82"/>
    </row>
    <row r="90" spans="1:7" ht="13">
      <c r="A90" s="599"/>
      <c r="B90" s="599"/>
      <c r="G90" s="82"/>
    </row>
    <row r="91" spans="1:7" ht="13">
      <c r="A91" s="599"/>
      <c r="B91" s="599"/>
      <c r="G91" s="82"/>
    </row>
    <row r="92" spans="1:7" ht="13">
      <c r="A92" s="602" t="s">
        <v>256</v>
      </c>
      <c r="B92" s="602"/>
      <c r="G92" s="82"/>
    </row>
    <row r="93" spans="1:7" ht="13">
      <c r="A93" s="599" t="s">
        <v>255</v>
      </c>
      <c r="B93" s="599"/>
      <c r="G93" s="82"/>
    </row>
    <row r="94" spans="1:7" ht="13">
      <c r="A94" s="599"/>
      <c r="B94" s="599"/>
      <c r="G94" s="82"/>
    </row>
    <row r="95" spans="1:7" ht="13">
      <c r="A95" s="599" t="s">
        <v>552</v>
      </c>
      <c r="B95" s="599"/>
      <c r="G95" s="82"/>
    </row>
    <row r="96" spans="1:7" ht="13">
      <c r="A96" s="599"/>
      <c r="B96" s="599"/>
      <c r="G96" s="82"/>
    </row>
    <row r="97" spans="1:7" ht="13">
      <c r="A97" s="85"/>
      <c r="B97" s="85"/>
      <c r="G97" s="82"/>
    </row>
    <row r="98" spans="1:7" ht="13">
      <c r="A98" s="83" t="s">
        <v>254</v>
      </c>
      <c r="B98" s="83"/>
      <c r="G98" s="82"/>
    </row>
    <row r="99" spans="1:7" ht="13">
      <c r="A99" s="84"/>
      <c r="B99" s="83"/>
      <c r="G99" s="82"/>
    </row>
    <row r="100" spans="1:7" ht="13">
      <c r="A100" s="83" t="s">
        <v>253</v>
      </c>
      <c r="B100" s="83"/>
      <c r="G100" s="82"/>
    </row>
    <row r="101" spans="1:7" ht="13">
      <c r="A101" s="84"/>
      <c r="B101" s="83"/>
      <c r="G101" s="82"/>
    </row>
    <row r="102" spans="1:7" ht="13">
      <c r="A102" s="83" t="s">
        <v>252</v>
      </c>
      <c r="B102" s="83"/>
      <c r="G102" s="82"/>
    </row>
    <row r="103" spans="1:7" ht="13.5" customHeight="1">
      <c r="G103" s="82"/>
    </row>
    <row r="104" spans="1:7" ht="13.5" customHeight="1">
      <c r="G104" s="82"/>
    </row>
    <row r="105" spans="1:7" ht="13.5" customHeight="1">
      <c r="G105" s="82"/>
    </row>
    <row r="106" spans="1:7" ht="13.5" customHeight="1">
      <c r="G106" s="82"/>
    </row>
    <row r="107" spans="1:7" ht="13.5" customHeight="1">
      <c r="G107" s="82"/>
    </row>
    <row r="108" spans="1:7" ht="13.5" customHeight="1">
      <c r="G108" s="82"/>
    </row>
    <row r="109" spans="1:7" ht="13.5" customHeight="1">
      <c r="G109" s="82"/>
    </row>
    <row r="110" spans="1:7" ht="13.5" customHeight="1">
      <c r="G110" s="82"/>
    </row>
    <row r="111" spans="1:7" ht="13.5" customHeight="1">
      <c r="G111" s="82"/>
    </row>
    <row r="112" spans="1:7" ht="13.5" customHeight="1">
      <c r="G112" s="82"/>
    </row>
    <row r="113" spans="7:7" ht="13.5" customHeight="1">
      <c r="G113" s="82"/>
    </row>
    <row r="114" spans="7:7" ht="13.5" customHeight="1">
      <c r="G114" s="82"/>
    </row>
    <row r="115" spans="7:7" ht="13.5" customHeight="1">
      <c r="G115" s="82"/>
    </row>
    <row r="116" spans="7:7" ht="13.5" customHeight="1">
      <c r="G116" s="82"/>
    </row>
    <row r="117" spans="7:7" ht="13.5" customHeight="1">
      <c r="G117" s="82"/>
    </row>
    <row r="118" spans="7:7" ht="13.5" customHeight="1">
      <c r="G118" s="82"/>
    </row>
    <row r="119" spans="7:7" ht="13.5" customHeight="1">
      <c r="G119" s="82"/>
    </row>
    <row r="120" spans="7:7" ht="13.5" customHeight="1">
      <c r="G120" s="82"/>
    </row>
    <row r="121" spans="7:7" ht="13.5" customHeight="1">
      <c r="G121" s="82"/>
    </row>
    <row r="122" spans="7:7" ht="13.5" customHeight="1">
      <c r="G122" s="82"/>
    </row>
    <row r="123" spans="7:7" ht="13.5" customHeight="1">
      <c r="G123" s="82"/>
    </row>
    <row r="124" spans="7:7" ht="13.5" customHeight="1">
      <c r="G124" s="82"/>
    </row>
    <row r="125" spans="7:7" ht="13.5" customHeight="1">
      <c r="G125" s="82"/>
    </row>
    <row r="126" spans="7:7" ht="13.5" customHeight="1">
      <c r="G126" s="82"/>
    </row>
    <row r="127" spans="7:7" ht="13.5" customHeight="1">
      <c r="G127" s="82"/>
    </row>
    <row r="128" spans="7:7" ht="13.5" customHeight="1">
      <c r="G128" s="82"/>
    </row>
    <row r="129" spans="7:7" ht="13.5" customHeight="1">
      <c r="G129" s="82"/>
    </row>
    <row r="130" spans="7:7" ht="13.5" customHeight="1">
      <c r="G130" s="82"/>
    </row>
    <row r="131" spans="7:7" ht="13.5" customHeight="1">
      <c r="G131" s="82"/>
    </row>
    <row r="132" spans="7:7" ht="13.5" customHeight="1">
      <c r="G132" s="82"/>
    </row>
    <row r="133" spans="7:7" ht="13.5" customHeight="1">
      <c r="G133" s="82"/>
    </row>
    <row r="134" spans="7:7" ht="13.5" customHeight="1">
      <c r="G134" s="82"/>
    </row>
    <row r="135" spans="7:7" ht="13.5" customHeight="1">
      <c r="G135" s="82"/>
    </row>
    <row r="136" spans="7:7" ht="13.5" customHeight="1">
      <c r="G136" s="82"/>
    </row>
    <row r="137" spans="7:7" ht="13.5" customHeight="1">
      <c r="G137" s="82"/>
    </row>
    <row r="138" spans="7:7" ht="13.5" customHeight="1">
      <c r="G138" s="82"/>
    </row>
    <row r="139" spans="7:7" ht="13.5" customHeight="1">
      <c r="G139" s="82"/>
    </row>
    <row r="140" spans="7:7" ht="13.5" customHeight="1">
      <c r="G140" s="82"/>
    </row>
    <row r="141" spans="7:7" ht="13.5" customHeight="1">
      <c r="G141" s="82"/>
    </row>
    <row r="142" spans="7:7" ht="13.5" customHeight="1">
      <c r="G142" s="82"/>
    </row>
    <row r="143" spans="7:7" ht="13.5" customHeight="1">
      <c r="G143" s="82"/>
    </row>
    <row r="144" spans="7:7" ht="13.5" customHeight="1">
      <c r="G144" s="82"/>
    </row>
    <row r="145" spans="7:7" ht="13.5" customHeight="1">
      <c r="G145" s="82"/>
    </row>
    <row r="146" spans="7:7" ht="13.5" customHeight="1">
      <c r="G146" s="82"/>
    </row>
    <row r="147" spans="7:7" ht="13.5" customHeight="1">
      <c r="G147" s="82"/>
    </row>
    <row r="148" spans="7:7" ht="13.5" customHeight="1">
      <c r="G148" s="82"/>
    </row>
    <row r="149" spans="7:7" ht="13.5" customHeight="1">
      <c r="G149" s="82"/>
    </row>
    <row r="150" spans="7:7" ht="13.5" customHeight="1">
      <c r="G150" s="82"/>
    </row>
    <row r="151" spans="7:7" ht="13.5" customHeight="1">
      <c r="G151" s="82"/>
    </row>
  </sheetData>
  <mergeCells count="11">
    <mergeCell ref="F52:F53"/>
    <mergeCell ref="G52:G53"/>
    <mergeCell ref="E52:E53"/>
    <mergeCell ref="A89:B91"/>
    <mergeCell ref="A92:B92"/>
    <mergeCell ref="D52:D53"/>
    <mergeCell ref="A93:B94"/>
    <mergeCell ref="A95:B96"/>
    <mergeCell ref="A52:A53"/>
    <mergeCell ref="B52:B53"/>
    <mergeCell ref="C52:C53"/>
  </mergeCells>
  <hyperlinks>
    <hyperlink ref="A1" location="Contents!A1" display="Contents" xr:uid="{00000000-0004-0000-3600-000000000000}"/>
  </hyperlinks>
  <pageMargins left="0.75" right="0.75" top="1" bottom="1" header="0.5" footer="0.5"/>
  <pageSetup scale="34"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0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autoPageBreaks="0"/>
  </sheetPr>
  <dimension ref="A1:Q152"/>
  <sheetViews>
    <sheetView zoomScale="66" zoomScaleNormal="85" workbookViewId="0">
      <selection activeCell="H9" sqref="H9"/>
    </sheetView>
  </sheetViews>
  <sheetFormatPr defaultColWidth="8.7265625" defaultRowHeight="14.5"/>
  <cols>
    <col min="1" max="1" width="25" style="196" customWidth="1" collapsed="1"/>
    <col min="2" max="2" width="14" style="196" customWidth="1" collapsed="1"/>
    <col min="3" max="5" width="14" style="196" customWidth="1"/>
    <col min="6" max="6" width="14" style="196" customWidth="1" collapsed="1"/>
    <col min="7" max="9" width="14" style="196" customWidth="1"/>
    <col min="10" max="10" width="14" style="196" customWidth="1" collapsed="1"/>
    <col min="11" max="13" width="14" style="196" customWidth="1"/>
    <col min="14" max="14" width="14" style="196" customWidth="1" collapsed="1"/>
    <col min="15" max="15" width="14" style="196" customWidth="1"/>
    <col min="16" max="16384" width="8.7265625" style="196"/>
  </cols>
  <sheetData>
    <row r="1" spans="1:16" ht="15.5">
      <c r="A1" s="195" t="s">
        <v>151</v>
      </c>
    </row>
    <row r="2" spans="1:16">
      <c r="A2" s="197" t="s">
        <v>597</v>
      </c>
    </row>
    <row r="4" spans="1:16">
      <c r="A4" s="198" t="s">
        <v>150</v>
      </c>
      <c r="B4" s="198" t="s">
        <v>82</v>
      </c>
      <c r="C4" s="198"/>
      <c r="D4" s="198"/>
      <c r="E4" s="198"/>
    </row>
    <row r="5" spans="1:16">
      <c r="A5" s="198" t="s">
        <v>149</v>
      </c>
      <c r="B5" s="198" t="s">
        <v>148</v>
      </c>
      <c r="C5" s="198"/>
      <c r="D5" s="198"/>
      <c r="E5" s="198"/>
    </row>
    <row r="6" spans="1:16">
      <c r="A6" s="198" t="s">
        <v>147</v>
      </c>
      <c r="B6" s="198" t="s">
        <v>152</v>
      </c>
      <c r="C6" s="198"/>
      <c r="D6" s="198"/>
      <c r="E6" s="198"/>
    </row>
    <row r="8" spans="1:16" ht="26.15" customHeight="1">
      <c r="A8" s="199" t="s">
        <v>5</v>
      </c>
      <c r="B8" s="382" t="str">
        <f>B65</f>
        <v>September 2021</v>
      </c>
      <c r="C8" s="240"/>
      <c r="D8" s="240"/>
      <c r="E8" s="240"/>
      <c r="F8" s="382" t="str">
        <f>C65</f>
        <v>September 2022</v>
      </c>
      <c r="G8" s="240"/>
      <c r="H8" s="240"/>
      <c r="I8" s="240"/>
      <c r="J8" s="382" t="str">
        <f>D65</f>
        <v>September 2023</v>
      </c>
      <c r="K8" s="240"/>
      <c r="L8" s="240"/>
      <c r="M8" s="240"/>
      <c r="N8" s="382" t="str">
        <f>E65</f>
        <v>September 2024</v>
      </c>
      <c r="O8" s="240"/>
    </row>
    <row r="9" spans="1:16">
      <c r="A9" s="198" t="s">
        <v>14</v>
      </c>
      <c r="B9" s="383">
        <f>VLOOKUP($A9,$A$66:$E$100,2,FALSE)</f>
        <v>7100</v>
      </c>
      <c r="C9" s="383">
        <f>MROUND(B9/SUM(D9/100),100)</f>
        <v>154300</v>
      </c>
      <c r="D9" s="384">
        <f t="shared" ref="D9:D37" si="0">VLOOKUP($A9,$A$118:$E$152,2,FALSE)</f>
        <v>4.5999999999999996</v>
      </c>
      <c r="E9" s="200"/>
      <c r="F9" s="383">
        <f>VLOOKUP($A9,$A$66:$E$100,3,FALSE)</f>
        <v>5155</v>
      </c>
      <c r="G9" s="383">
        <f>MROUND(F9/SUM(H9/100),100)</f>
        <v>156200</v>
      </c>
      <c r="H9" s="384">
        <f t="shared" ref="H9:H37" si="1">VLOOKUP($A9,$A$118:$E$152,3,FALSE)</f>
        <v>3.3</v>
      </c>
      <c r="I9" s="241"/>
      <c r="J9" s="383">
        <f t="shared" ref="J9:J37" si="2">VLOOKUP($A9,$A$66:$E$100,4,FALSE)</f>
        <v>4625</v>
      </c>
      <c r="K9" s="383">
        <f>MROUND(J9/SUM(L9/100),100)</f>
        <v>154200</v>
      </c>
      <c r="L9" s="384">
        <f t="shared" ref="L9:L37" si="3">VLOOKUP($A9,$A$118:$E$152,4,FALSE)</f>
        <v>3</v>
      </c>
      <c r="M9" s="241"/>
      <c r="N9" s="383">
        <f t="shared" ref="N9:N37" si="4">VLOOKUP($A9,$A$66:$E$100,5,FALSE)</f>
        <v>5050</v>
      </c>
      <c r="O9" s="383">
        <f>MROUND(N9/SUM(P9/100),100)</f>
        <v>153000</v>
      </c>
      <c r="P9" s="384">
        <f t="shared" ref="P9:P37" si="5">VLOOKUP($A9,$A$118:$E$152,5,FALSE)</f>
        <v>3.3</v>
      </c>
    </row>
    <row r="10" spans="1:16">
      <c r="A10" s="198" t="s">
        <v>15</v>
      </c>
      <c r="B10" s="383">
        <f t="shared" ref="B10:B37" si="6">VLOOKUP($A10,$A$66:$E$100,2,FALSE)</f>
        <v>4615</v>
      </c>
      <c r="C10" s="383">
        <f t="shared" ref="C10:C44" si="7">MROUND(B10/SUM(D10/100),100)</f>
        <v>159100</v>
      </c>
      <c r="D10" s="384">
        <f t="shared" si="0"/>
        <v>2.9</v>
      </c>
      <c r="E10" s="200"/>
      <c r="F10" s="383">
        <f t="shared" ref="F10:F37" si="8">VLOOKUP($A10,$A$66:$E$100,3,FALSE)</f>
        <v>2935</v>
      </c>
      <c r="G10" s="383">
        <f t="shared" ref="G10:G44" si="9">MROUND(F10/SUM(H10/100),100)</f>
        <v>163100</v>
      </c>
      <c r="H10" s="384">
        <f t="shared" si="1"/>
        <v>1.8</v>
      </c>
      <c r="I10" s="241"/>
      <c r="J10" s="383">
        <f t="shared" si="2"/>
        <v>2835</v>
      </c>
      <c r="K10" s="383">
        <f t="shared" ref="K10:K44" si="10">MROUND(J10/SUM(L10/100),100)</f>
        <v>157500</v>
      </c>
      <c r="L10" s="384">
        <f t="shared" si="3"/>
        <v>1.8</v>
      </c>
      <c r="M10" s="241"/>
      <c r="N10" s="383">
        <f t="shared" si="4"/>
        <v>2985</v>
      </c>
      <c r="O10" s="383">
        <f t="shared" ref="O10:O44" si="11">MROUND(N10/SUM(P10/100),100)</f>
        <v>157100</v>
      </c>
      <c r="P10" s="384">
        <f t="shared" si="5"/>
        <v>1.9</v>
      </c>
    </row>
    <row r="11" spans="1:16">
      <c r="A11" s="198" t="s">
        <v>16</v>
      </c>
      <c r="B11" s="383">
        <f t="shared" si="6"/>
        <v>2810</v>
      </c>
      <c r="C11" s="383">
        <f t="shared" si="7"/>
        <v>68500</v>
      </c>
      <c r="D11" s="384">
        <f t="shared" si="0"/>
        <v>4.0999999999999996</v>
      </c>
      <c r="E11" s="200"/>
      <c r="F11" s="383">
        <f t="shared" si="8"/>
        <v>1870</v>
      </c>
      <c r="G11" s="383">
        <f t="shared" si="9"/>
        <v>69300</v>
      </c>
      <c r="H11" s="384">
        <f t="shared" si="1"/>
        <v>2.7</v>
      </c>
      <c r="I11" s="241"/>
      <c r="J11" s="383">
        <f t="shared" si="2"/>
        <v>1835</v>
      </c>
      <c r="K11" s="383">
        <f t="shared" si="10"/>
        <v>68000</v>
      </c>
      <c r="L11" s="384">
        <f t="shared" si="3"/>
        <v>2.7</v>
      </c>
      <c r="M11" s="241"/>
      <c r="N11" s="383">
        <f t="shared" si="4"/>
        <v>2000</v>
      </c>
      <c r="O11" s="383">
        <f t="shared" si="11"/>
        <v>69000</v>
      </c>
      <c r="P11" s="384">
        <f t="shared" si="5"/>
        <v>2.9</v>
      </c>
    </row>
    <row r="12" spans="1:16">
      <c r="A12" s="198" t="s">
        <v>17</v>
      </c>
      <c r="B12" s="383">
        <f>VLOOKUP($A12,$A$66:$E$100,2,FALSE)</f>
        <v>1925</v>
      </c>
      <c r="C12" s="383">
        <f t="shared" si="7"/>
        <v>50700</v>
      </c>
      <c r="D12" s="384">
        <f t="shared" si="0"/>
        <v>3.8</v>
      </c>
      <c r="E12" s="200"/>
      <c r="F12" s="383">
        <f t="shared" si="8"/>
        <v>1310</v>
      </c>
      <c r="G12" s="383">
        <f t="shared" si="9"/>
        <v>50400</v>
      </c>
      <c r="H12" s="384">
        <f t="shared" si="1"/>
        <v>2.6</v>
      </c>
      <c r="I12" s="241"/>
      <c r="J12" s="383">
        <f t="shared" si="2"/>
        <v>1285</v>
      </c>
      <c r="K12" s="383">
        <f t="shared" si="10"/>
        <v>51400</v>
      </c>
      <c r="L12" s="384">
        <f t="shared" si="3"/>
        <v>2.5</v>
      </c>
      <c r="M12" s="241"/>
      <c r="N12" s="383">
        <f t="shared" si="4"/>
        <v>1360</v>
      </c>
      <c r="O12" s="383">
        <f t="shared" si="11"/>
        <v>50400</v>
      </c>
      <c r="P12" s="384">
        <f t="shared" si="5"/>
        <v>2.7</v>
      </c>
    </row>
    <row r="13" spans="1:16">
      <c r="A13" s="198" t="s">
        <v>189</v>
      </c>
      <c r="B13" s="383">
        <f>VLOOKUP($A13,$A$66:$E$100,2,FALSE)</f>
        <v>12745</v>
      </c>
      <c r="C13" s="383">
        <f>MROUND(B13/SUM(D13/100),100)</f>
        <v>364100</v>
      </c>
      <c r="D13" s="384">
        <f>VLOOKUP($A13,$A$118:$E$152,2,FALSE)</f>
        <v>3.5</v>
      </c>
      <c r="E13" s="200"/>
      <c r="F13" s="383">
        <f t="shared" si="8"/>
        <v>8580</v>
      </c>
      <c r="G13" s="383">
        <f t="shared" si="9"/>
        <v>373000</v>
      </c>
      <c r="H13" s="384">
        <f t="shared" si="1"/>
        <v>2.2999999999999998</v>
      </c>
      <c r="I13" s="241"/>
      <c r="J13" s="383">
        <f t="shared" si="2"/>
        <v>8355</v>
      </c>
      <c r="K13" s="383">
        <f t="shared" si="10"/>
        <v>363300</v>
      </c>
      <c r="L13" s="384">
        <f t="shared" si="3"/>
        <v>2.2999999999999998</v>
      </c>
      <c r="M13" s="241"/>
      <c r="N13" s="383">
        <f t="shared" si="4"/>
        <v>9430</v>
      </c>
      <c r="O13" s="383">
        <f t="shared" si="11"/>
        <v>362700</v>
      </c>
      <c r="P13" s="384">
        <f t="shared" si="5"/>
        <v>2.6</v>
      </c>
    </row>
    <row r="14" spans="1:16">
      <c r="A14" s="198" t="s">
        <v>18</v>
      </c>
      <c r="B14" s="383">
        <f t="shared" si="6"/>
        <v>1525</v>
      </c>
      <c r="C14" s="383">
        <f t="shared" si="7"/>
        <v>31800</v>
      </c>
      <c r="D14" s="384">
        <f t="shared" si="0"/>
        <v>4.8</v>
      </c>
      <c r="E14" s="200"/>
      <c r="F14" s="383">
        <f t="shared" si="8"/>
        <v>1130</v>
      </c>
      <c r="G14" s="383">
        <f t="shared" si="9"/>
        <v>32300</v>
      </c>
      <c r="H14" s="384">
        <f t="shared" si="1"/>
        <v>3.5</v>
      </c>
      <c r="I14" s="241"/>
      <c r="J14" s="383">
        <f t="shared" si="2"/>
        <v>1085</v>
      </c>
      <c r="K14" s="383">
        <f t="shared" si="10"/>
        <v>31900</v>
      </c>
      <c r="L14" s="384">
        <f t="shared" si="3"/>
        <v>3.4</v>
      </c>
      <c r="M14" s="241"/>
      <c r="N14" s="383">
        <f t="shared" si="4"/>
        <v>1095</v>
      </c>
      <c r="O14" s="383">
        <f t="shared" si="11"/>
        <v>32200</v>
      </c>
      <c r="P14" s="384">
        <f t="shared" si="5"/>
        <v>3.4</v>
      </c>
    </row>
    <row r="15" spans="1:16">
      <c r="A15" s="198" t="s">
        <v>19</v>
      </c>
      <c r="B15" s="383">
        <f t="shared" si="6"/>
        <v>3445</v>
      </c>
      <c r="C15" s="383">
        <f t="shared" si="7"/>
        <v>86100</v>
      </c>
      <c r="D15" s="384">
        <f t="shared" si="0"/>
        <v>4</v>
      </c>
      <c r="E15" s="200"/>
      <c r="F15" s="383">
        <f t="shared" si="8"/>
        <v>2455</v>
      </c>
      <c r="G15" s="383">
        <f t="shared" si="9"/>
        <v>87700</v>
      </c>
      <c r="H15" s="384">
        <f t="shared" si="1"/>
        <v>2.8</v>
      </c>
      <c r="I15" s="241"/>
      <c r="J15" s="383">
        <f t="shared" si="2"/>
        <v>2370</v>
      </c>
      <c r="K15" s="383">
        <f t="shared" si="10"/>
        <v>87800</v>
      </c>
      <c r="L15" s="384">
        <f t="shared" si="3"/>
        <v>2.7</v>
      </c>
      <c r="M15" s="241"/>
      <c r="N15" s="383">
        <f t="shared" si="4"/>
        <v>2530</v>
      </c>
      <c r="O15" s="383">
        <f t="shared" si="11"/>
        <v>87200</v>
      </c>
      <c r="P15" s="384">
        <f t="shared" si="5"/>
        <v>2.9</v>
      </c>
    </row>
    <row r="16" spans="1:16">
      <c r="A16" s="198" t="s">
        <v>20</v>
      </c>
      <c r="B16" s="383">
        <f t="shared" si="6"/>
        <v>5640</v>
      </c>
      <c r="C16" s="383">
        <f t="shared" si="7"/>
        <v>97200</v>
      </c>
      <c r="D16" s="384">
        <f t="shared" si="0"/>
        <v>5.8</v>
      </c>
      <c r="E16" s="200"/>
      <c r="F16" s="383">
        <f t="shared" si="8"/>
        <v>4145</v>
      </c>
      <c r="G16" s="383">
        <f t="shared" si="9"/>
        <v>98700</v>
      </c>
      <c r="H16" s="384">
        <f t="shared" si="1"/>
        <v>4.2</v>
      </c>
      <c r="I16" s="241"/>
      <c r="J16" s="383">
        <f t="shared" si="2"/>
        <v>4045</v>
      </c>
      <c r="K16" s="383">
        <f t="shared" si="10"/>
        <v>98700</v>
      </c>
      <c r="L16" s="384">
        <f t="shared" si="3"/>
        <v>4.0999999999999996</v>
      </c>
      <c r="M16" s="241"/>
      <c r="N16" s="383">
        <f t="shared" si="4"/>
        <v>4260</v>
      </c>
      <c r="O16" s="383">
        <f t="shared" si="11"/>
        <v>96800</v>
      </c>
      <c r="P16" s="384">
        <f t="shared" si="5"/>
        <v>4.4000000000000004</v>
      </c>
    </row>
    <row r="17" spans="1:16">
      <c r="A17" s="198" t="s">
        <v>21</v>
      </c>
      <c r="B17" s="383">
        <f t="shared" si="6"/>
        <v>4450</v>
      </c>
      <c r="C17" s="383">
        <f t="shared" si="7"/>
        <v>75400</v>
      </c>
      <c r="D17" s="384">
        <f t="shared" si="0"/>
        <v>5.9</v>
      </c>
      <c r="E17" s="200"/>
      <c r="F17" s="383">
        <f t="shared" si="8"/>
        <v>3030</v>
      </c>
      <c r="G17" s="383">
        <f t="shared" si="9"/>
        <v>75800</v>
      </c>
      <c r="H17" s="384">
        <f t="shared" si="1"/>
        <v>4</v>
      </c>
      <c r="I17" s="241"/>
      <c r="J17" s="383">
        <f t="shared" si="2"/>
        <v>2950</v>
      </c>
      <c r="K17" s="383">
        <f t="shared" si="10"/>
        <v>75600</v>
      </c>
      <c r="L17" s="384">
        <f t="shared" si="3"/>
        <v>3.9</v>
      </c>
      <c r="M17" s="241"/>
      <c r="N17" s="383">
        <f t="shared" si="4"/>
        <v>2895</v>
      </c>
      <c r="O17" s="383">
        <f t="shared" si="11"/>
        <v>76200</v>
      </c>
      <c r="P17" s="384">
        <f t="shared" si="5"/>
        <v>3.8</v>
      </c>
    </row>
    <row r="18" spans="1:16">
      <c r="A18" s="198" t="s">
        <v>22</v>
      </c>
      <c r="B18" s="383">
        <f t="shared" si="6"/>
        <v>1885</v>
      </c>
      <c r="C18" s="383">
        <f t="shared" si="7"/>
        <v>65000</v>
      </c>
      <c r="D18" s="384">
        <f t="shared" si="0"/>
        <v>2.9</v>
      </c>
      <c r="E18" s="200"/>
      <c r="F18" s="383">
        <f t="shared" si="8"/>
        <v>1255</v>
      </c>
      <c r="G18" s="383">
        <f t="shared" si="9"/>
        <v>62800</v>
      </c>
      <c r="H18" s="384">
        <f t="shared" si="1"/>
        <v>2</v>
      </c>
      <c r="I18" s="241"/>
      <c r="J18" s="383">
        <f t="shared" si="2"/>
        <v>1215</v>
      </c>
      <c r="K18" s="383">
        <f t="shared" si="10"/>
        <v>63900</v>
      </c>
      <c r="L18" s="384">
        <f t="shared" si="3"/>
        <v>1.9</v>
      </c>
      <c r="M18" s="241"/>
      <c r="N18" s="383">
        <f t="shared" si="4"/>
        <v>1325</v>
      </c>
      <c r="O18" s="383">
        <f t="shared" si="11"/>
        <v>63100</v>
      </c>
      <c r="P18" s="384">
        <f t="shared" si="5"/>
        <v>2.1</v>
      </c>
    </row>
    <row r="19" spans="1:16">
      <c r="A19" s="198" t="s">
        <v>23</v>
      </c>
      <c r="B19" s="383">
        <f t="shared" si="6"/>
        <v>2405</v>
      </c>
      <c r="C19" s="383">
        <f t="shared" si="7"/>
        <v>66800</v>
      </c>
      <c r="D19" s="384">
        <f t="shared" si="0"/>
        <v>3.6</v>
      </c>
      <c r="E19" s="200"/>
      <c r="F19" s="383">
        <f t="shared" si="8"/>
        <v>1450</v>
      </c>
      <c r="G19" s="383">
        <f t="shared" si="9"/>
        <v>65900</v>
      </c>
      <c r="H19" s="384">
        <f t="shared" si="1"/>
        <v>2.2000000000000002</v>
      </c>
      <c r="I19" s="241"/>
      <c r="J19" s="383">
        <f t="shared" si="2"/>
        <v>1500</v>
      </c>
      <c r="K19" s="383">
        <f t="shared" si="10"/>
        <v>68200</v>
      </c>
      <c r="L19" s="384">
        <f t="shared" si="3"/>
        <v>2.2000000000000002</v>
      </c>
      <c r="M19" s="241"/>
      <c r="N19" s="383">
        <f t="shared" si="4"/>
        <v>1640</v>
      </c>
      <c r="O19" s="383">
        <f t="shared" si="11"/>
        <v>65600</v>
      </c>
      <c r="P19" s="384">
        <f t="shared" si="5"/>
        <v>2.5</v>
      </c>
    </row>
    <row r="20" spans="1:16">
      <c r="A20" s="198" t="s">
        <v>24</v>
      </c>
      <c r="B20" s="383">
        <f t="shared" si="6"/>
        <v>1430</v>
      </c>
      <c r="C20" s="383">
        <f t="shared" si="7"/>
        <v>57200</v>
      </c>
      <c r="D20" s="384">
        <f t="shared" si="0"/>
        <v>2.5</v>
      </c>
      <c r="E20" s="200"/>
      <c r="F20" s="383">
        <f t="shared" si="8"/>
        <v>955</v>
      </c>
      <c r="G20" s="383">
        <f t="shared" si="9"/>
        <v>56200</v>
      </c>
      <c r="H20" s="384">
        <f t="shared" si="1"/>
        <v>1.7</v>
      </c>
      <c r="I20" s="241"/>
      <c r="J20" s="383">
        <f t="shared" si="2"/>
        <v>1005</v>
      </c>
      <c r="K20" s="383">
        <f t="shared" si="10"/>
        <v>55800</v>
      </c>
      <c r="L20" s="384">
        <f t="shared" si="3"/>
        <v>1.8</v>
      </c>
      <c r="M20" s="241"/>
      <c r="N20" s="383">
        <f t="shared" si="4"/>
        <v>1145</v>
      </c>
      <c r="O20" s="383">
        <f t="shared" si="11"/>
        <v>57300</v>
      </c>
      <c r="P20" s="384">
        <f t="shared" si="5"/>
        <v>2</v>
      </c>
    </row>
    <row r="21" spans="1:16">
      <c r="A21" s="198" t="s">
        <v>25</v>
      </c>
      <c r="B21" s="383">
        <f t="shared" si="6"/>
        <v>4340</v>
      </c>
      <c r="C21" s="383">
        <f t="shared" si="7"/>
        <v>100900</v>
      </c>
      <c r="D21" s="384">
        <f t="shared" si="0"/>
        <v>4.3</v>
      </c>
      <c r="E21" s="200"/>
      <c r="F21" s="383">
        <f t="shared" si="8"/>
        <v>3040</v>
      </c>
      <c r="G21" s="383">
        <f t="shared" si="9"/>
        <v>101300</v>
      </c>
      <c r="H21" s="384">
        <f t="shared" si="1"/>
        <v>3</v>
      </c>
      <c r="I21" s="241"/>
      <c r="J21" s="383">
        <f t="shared" si="2"/>
        <v>2815</v>
      </c>
      <c r="K21" s="383">
        <f t="shared" si="10"/>
        <v>100500</v>
      </c>
      <c r="L21" s="384">
        <f t="shared" si="3"/>
        <v>2.8</v>
      </c>
      <c r="M21" s="241"/>
      <c r="N21" s="383">
        <f t="shared" si="4"/>
        <v>2980</v>
      </c>
      <c r="O21" s="383">
        <f t="shared" si="11"/>
        <v>102800</v>
      </c>
      <c r="P21" s="384">
        <f t="shared" si="5"/>
        <v>2.9</v>
      </c>
    </row>
    <row r="22" spans="1:16">
      <c r="A22" s="198" t="s">
        <v>26</v>
      </c>
      <c r="B22" s="383">
        <f t="shared" si="6"/>
        <v>11220</v>
      </c>
      <c r="C22" s="383">
        <f t="shared" si="7"/>
        <v>233800</v>
      </c>
      <c r="D22" s="384">
        <f t="shared" si="0"/>
        <v>4.8</v>
      </c>
      <c r="E22" s="200"/>
      <c r="F22" s="383">
        <f t="shared" si="8"/>
        <v>7770</v>
      </c>
      <c r="G22" s="383">
        <f t="shared" si="9"/>
        <v>228500</v>
      </c>
      <c r="H22" s="384">
        <f t="shared" si="1"/>
        <v>3.4</v>
      </c>
      <c r="I22" s="241"/>
      <c r="J22" s="383">
        <f t="shared" si="2"/>
        <v>7460</v>
      </c>
      <c r="K22" s="383">
        <f t="shared" si="10"/>
        <v>233100</v>
      </c>
      <c r="L22" s="384">
        <f t="shared" si="3"/>
        <v>3.2</v>
      </c>
      <c r="M22" s="241"/>
      <c r="N22" s="383">
        <f t="shared" si="4"/>
        <v>7825</v>
      </c>
      <c r="O22" s="383">
        <f t="shared" si="11"/>
        <v>230100</v>
      </c>
      <c r="P22" s="384">
        <f t="shared" si="5"/>
        <v>3.4</v>
      </c>
    </row>
    <row r="23" spans="1:16">
      <c r="A23" s="198" t="s">
        <v>27</v>
      </c>
      <c r="B23" s="383">
        <f t="shared" si="6"/>
        <v>28640</v>
      </c>
      <c r="C23" s="383">
        <f t="shared" si="7"/>
        <v>447500</v>
      </c>
      <c r="D23" s="384">
        <f t="shared" si="0"/>
        <v>6.4</v>
      </c>
      <c r="E23" s="200"/>
      <c r="F23" s="383">
        <f t="shared" si="8"/>
        <v>21220</v>
      </c>
      <c r="G23" s="383">
        <f t="shared" si="9"/>
        <v>451500</v>
      </c>
      <c r="H23" s="384">
        <f t="shared" si="1"/>
        <v>4.7</v>
      </c>
      <c r="I23" s="241"/>
      <c r="J23" s="383">
        <f t="shared" si="2"/>
        <v>20495</v>
      </c>
      <c r="K23" s="383">
        <f t="shared" si="10"/>
        <v>445500</v>
      </c>
      <c r="L23" s="384">
        <f t="shared" si="3"/>
        <v>4.5999999999999996</v>
      </c>
      <c r="M23" s="241"/>
      <c r="N23" s="383">
        <f t="shared" si="4"/>
        <v>23680</v>
      </c>
      <c r="O23" s="383">
        <f t="shared" si="11"/>
        <v>446800</v>
      </c>
      <c r="P23" s="384">
        <f t="shared" si="5"/>
        <v>5.3</v>
      </c>
    </row>
    <row r="24" spans="1:16">
      <c r="A24" s="198" t="s">
        <v>28</v>
      </c>
      <c r="B24" s="383">
        <f t="shared" si="6"/>
        <v>4650</v>
      </c>
      <c r="C24" s="383">
        <f t="shared" si="7"/>
        <v>145300</v>
      </c>
      <c r="D24" s="384">
        <f t="shared" si="0"/>
        <v>3.2</v>
      </c>
      <c r="E24" s="200"/>
      <c r="F24" s="383">
        <f t="shared" si="8"/>
        <v>3205</v>
      </c>
      <c r="G24" s="383">
        <f t="shared" si="9"/>
        <v>145700</v>
      </c>
      <c r="H24" s="384">
        <f t="shared" si="1"/>
        <v>2.2000000000000002</v>
      </c>
      <c r="I24" s="241"/>
      <c r="J24" s="383">
        <f t="shared" si="2"/>
        <v>2960</v>
      </c>
      <c r="K24" s="383">
        <f t="shared" si="10"/>
        <v>148000</v>
      </c>
      <c r="L24" s="384">
        <f t="shared" si="3"/>
        <v>2</v>
      </c>
      <c r="M24" s="241"/>
      <c r="N24" s="383">
        <f t="shared" si="4"/>
        <v>3345</v>
      </c>
      <c r="O24" s="383">
        <f t="shared" si="11"/>
        <v>145400</v>
      </c>
      <c r="P24" s="384">
        <f t="shared" si="5"/>
        <v>2.2999999999999998</v>
      </c>
    </row>
    <row r="25" spans="1:16">
      <c r="A25" s="198" t="s">
        <v>29</v>
      </c>
      <c r="B25" s="383">
        <f t="shared" si="6"/>
        <v>2495</v>
      </c>
      <c r="C25" s="383">
        <f t="shared" si="7"/>
        <v>48000</v>
      </c>
      <c r="D25" s="384">
        <f t="shared" si="0"/>
        <v>5.2</v>
      </c>
      <c r="E25" s="200"/>
      <c r="F25" s="383">
        <f t="shared" si="8"/>
        <v>1810</v>
      </c>
      <c r="G25" s="383">
        <f t="shared" si="9"/>
        <v>47600</v>
      </c>
      <c r="H25" s="384">
        <f t="shared" si="1"/>
        <v>3.8</v>
      </c>
      <c r="I25" s="241"/>
      <c r="J25" s="383">
        <f t="shared" si="2"/>
        <v>1680</v>
      </c>
      <c r="K25" s="383">
        <f t="shared" si="10"/>
        <v>48000</v>
      </c>
      <c r="L25" s="384">
        <f t="shared" si="3"/>
        <v>3.5</v>
      </c>
      <c r="M25" s="241"/>
      <c r="N25" s="383">
        <f t="shared" si="4"/>
        <v>1750</v>
      </c>
      <c r="O25" s="383">
        <f t="shared" si="11"/>
        <v>47300</v>
      </c>
      <c r="P25" s="384">
        <f t="shared" si="5"/>
        <v>3.7</v>
      </c>
    </row>
    <row r="26" spans="1:16">
      <c r="A26" s="198" t="s">
        <v>30</v>
      </c>
      <c r="B26" s="383">
        <f t="shared" si="6"/>
        <v>2065</v>
      </c>
      <c r="C26" s="383">
        <f t="shared" si="7"/>
        <v>59000</v>
      </c>
      <c r="D26" s="384">
        <f t="shared" si="0"/>
        <v>3.5</v>
      </c>
      <c r="E26" s="200"/>
      <c r="F26" s="383">
        <f t="shared" si="8"/>
        <v>1310</v>
      </c>
      <c r="G26" s="383">
        <f t="shared" si="9"/>
        <v>59500</v>
      </c>
      <c r="H26" s="384">
        <f t="shared" si="1"/>
        <v>2.2000000000000002</v>
      </c>
      <c r="I26" s="241"/>
      <c r="J26" s="383">
        <f t="shared" si="2"/>
        <v>1345</v>
      </c>
      <c r="K26" s="383">
        <f t="shared" si="10"/>
        <v>58500</v>
      </c>
      <c r="L26" s="384">
        <f t="shared" si="3"/>
        <v>2.2999999999999998</v>
      </c>
      <c r="M26" s="241"/>
      <c r="N26" s="383">
        <f t="shared" si="4"/>
        <v>1375</v>
      </c>
      <c r="O26" s="383">
        <f t="shared" si="11"/>
        <v>59800</v>
      </c>
      <c r="P26" s="384">
        <f t="shared" si="5"/>
        <v>2.2999999999999998</v>
      </c>
    </row>
    <row r="27" spans="1:16">
      <c r="A27" s="198" t="s">
        <v>31</v>
      </c>
      <c r="B27" s="383">
        <f t="shared" si="6"/>
        <v>2080</v>
      </c>
      <c r="C27" s="383">
        <f t="shared" si="7"/>
        <v>59400</v>
      </c>
      <c r="D27" s="384">
        <f t="shared" si="0"/>
        <v>3.5</v>
      </c>
      <c r="E27" s="200"/>
      <c r="F27" s="383">
        <f t="shared" si="8"/>
        <v>1345</v>
      </c>
      <c r="G27" s="383">
        <f t="shared" si="9"/>
        <v>58500</v>
      </c>
      <c r="H27" s="384">
        <f t="shared" si="1"/>
        <v>2.2999999999999998</v>
      </c>
      <c r="I27" s="241"/>
      <c r="J27" s="383">
        <f t="shared" si="2"/>
        <v>1210</v>
      </c>
      <c r="K27" s="383">
        <f t="shared" si="10"/>
        <v>57600</v>
      </c>
      <c r="L27" s="384">
        <f t="shared" si="3"/>
        <v>2.1</v>
      </c>
      <c r="M27" s="241"/>
      <c r="N27" s="383">
        <f t="shared" si="4"/>
        <v>1315</v>
      </c>
      <c r="O27" s="383">
        <f t="shared" si="11"/>
        <v>59800</v>
      </c>
      <c r="P27" s="384">
        <f t="shared" si="5"/>
        <v>2.2000000000000002</v>
      </c>
    </row>
    <row r="28" spans="1:16">
      <c r="A28" s="198" t="s">
        <v>32</v>
      </c>
      <c r="B28" s="383">
        <f t="shared" si="6"/>
        <v>495</v>
      </c>
      <c r="C28" s="383">
        <f t="shared" si="7"/>
        <v>15500</v>
      </c>
      <c r="D28" s="384">
        <f t="shared" si="0"/>
        <v>3.2</v>
      </c>
      <c r="E28" s="200"/>
      <c r="F28" s="383">
        <f t="shared" si="8"/>
        <v>315</v>
      </c>
      <c r="G28" s="383">
        <f t="shared" si="9"/>
        <v>15800</v>
      </c>
      <c r="H28" s="384">
        <f t="shared" si="1"/>
        <v>2</v>
      </c>
      <c r="I28" s="241"/>
      <c r="J28" s="383">
        <f t="shared" si="2"/>
        <v>275</v>
      </c>
      <c r="K28" s="383">
        <f t="shared" si="10"/>
        <v>15300</v>
      </c>
      <c r="L28" s="384">
        <f t="shared" si="3"/>
        <v>1.8</v>
      </c>
      <c r="M28" s="241"/>
      <c r="N28" s="383">
        <f t="shared" si="4"/>
        <v>270</v>
      </c>
      <c r="O28" s="383">
        <f t="shared" si="11"/>
        <v>15000</v>
      </c>
      <c r="P28" s="384">
        <f t="shared" si="5"/>
        <v>1.8</v>
      </c>
    </row>
    <row r="29" spans="1:16">
      <c r="A29" s="198" t="s">
        <v>33</v>
      </c>
      <c r="B29" s="383">
        <f t="shared" si="6"/>
        <v>4915</v>
      </c>
      <c r="C29" s="383">
        <f t="shared" si="7"/>
        <v>80600</v>
      </c>
      <c r="D29" s="384">
        <f t="shared" si="0"/>
        <v>6.1</v>
      </c>
      <c r="E29" s="200"/>
      <c r="F29" s="383">
        <f t="shared" si="8"/>
        <v>3655</v>
      </c>
      <c r="G29" s="383">
        <f t="shared" si="9"/>
        <v>81200</v>
      </c>
      <c r="H29" s="384">
        <f t="shared" si="1"/>
        <v>4.5</v>
      </c>
      <c r="I29" s="241"/>
      <c r="J29" s="383">
        <f t="shared" si="2"/>
        <v>3480</v>
      </c>
      <c r="K29" s="383">
        <f t="shared" si="10"/>
        <v>80900</v>
      </c>
      <c r="L29" s="384">
        <f t="shared" si="3"/>
        <v>4.3</v>
      </c>
      <c r="M29" s="241"/>
      <c r="N29" s="383">
        <f t="shared" si="4"/>
        <v>3650</v>
      </c>
      <c r="O29" s="383">
        <f t="shared" si="11"/>
        <v>81100</v>
      </c>
      <c r="P29" s="384">
        <f t="shared" si="5"/>
        <v>4.5</v>
      </c>
    </row>
    <row r="30" spans="1:16">
      <c r="A30" s="198" t="s">
        <v>34</v>
      </c>
      <c r="B30" s="383">
        <f t="shared" si="6"/>
        <v>10795</v>
      </c>
      <c r="C30" s="383">
        <f t="shared" si="7"/>
        <v>220300</v>
      </c>
      <c r="D30" s="384">
        <f t="shared" si="0"/>
        <v>4.9000000000000004</v>
      </c>
      <c r="E30" s="200"/>
      <c r="F30" s="383">
        <f t="shared" si="8"/>
        <v>7525</v>
      </c>
      <c r="G30" s="383">
        <f t="shared" si="9"/>
        <v>221300</v>
      </c>
      <c r="H30" s="384">
        <f t="shared" si="1"/>
        <v>3.4</v>
      </c>
      <c r="I30" s="241"/>
      <c r="J30" s="383">
        <f t="shared" si="2"/>
        <v>7205</v>
      </c>
      <c r="K30" s="383">
        <f t="shared" si="10"/>
        <v>218300</v>
      </c>
      <c r="L30" s="384">
        <f t="shared" si="3"/>
        <v>3.3</v>
      </c>
      <c r="M30" s="241"/>
      <c r="N30" s="383">
        <f t="shared" si="4"/>
        <v>7645</v>
      </c>
      <c r="O30" s="383">
        <f t="shared" si="11"/>
        <v>218400</v>
      </c>
      <c r="P30" s="384">
        <f t="shared" si="5"/>
        <v>3.5</v>
      </c>
    </row>
    <row r="31" spans="1:16">
      <c r="A31" s="198" t="s">
        <v>35</v>
      </c>
      <c r="B31" s="383">
        <f t="shared" si="6"/>
        <v>245</v>
      </c>
      <c r="C31" s="383">
        <f t="shared" si="7"/>
        <v>13600</v>
      </c>
      <c r="D31" s="384">
        <f t="shared" si="0"/>
        <v>1.8</v>
      </c>
      <c r="E31" s="200"/>
      <c r="F31" s="383">
        <f t="shared" si="8"/>
        <v>185</v>
      </c>
      <c r="G31" s="383">
        <f t="shared" si="9"/>
        <v>13200</v>
      </c>
      <c r="H31" s="384">
        <f t="shared" si="1"/>
        <v>1.4</v>
      </c>
      <c r="I31" s="241"/>
      <c r="J31" s="383">
        <f t="shared" si="2"/>
        <v>205</v>
      </c>
      <c r="K31" s="383">
        <f t="shared" si="10"/>
        <v>13700</v>
      </c>
      <c r="L31" s="384">
        <f t="shared" si="3"/>
        <v>1.5</v>
      </c>
      <c r="M31" s="241"/>
      <c r="N31" s="383">
        <f t="shared" si="4"/>
        <v>240</v>
      </c>
      <c r="O31" s="383">
        <f t="shared" si="11"/>
        <v>13300</v>
      </c>
      <c r="P31" s="384">
        <f t="shared" si="5"/>
        <v>1.8</v>
      </c>
    </row>
    <row r="32" spans="1:16">
      <c r="A32" s="198" t="s">
        <v>36</v>
      </c>
      <c r="B32" s="383">
        <f t="shared" si="6"/>
        <v>3030</v>
      </c>
      <c r="C32" s="383">
        <f t="shared" si="7"/>
        <v>91800</v>
      </c>
      <c r="D32" s="384">
        <f t="shared" si="0"/>
        <v>3.3</v>
      </c>
      <c r="E32" s="200"/>
      <c r="F32" s="383">
        <f t="shared" si="8"/>
        <v>2045</v>
      </c>
      <c r="G32" s="383">
        <f t="shared" si="9"/>
        <v>93000</v>
      </c>
      <c r="H32" s="384">
        <f t="shared" si="1"/>
        <v>2.2000000000000002</v>
      </c>
      <c r="I32" s="241"/>
      <c r="J32" s="383">
        <f t="shared" si="2"/>
        <v>2120</v>
      </c>
      <c r="K32" s="383">
        <f t="shared" si="10"/>
        <v>92200</v>
      </c>
      <c r="L32" s="384">
        <f t="shared" si="3"/>
        <v>2.2999999999999998</v>
      </c>
      <c r="M32" s="241"/>
      <c r="N32" s="383">
        <f t="shared" si="4"/>
        <v>2215</v>
      </c>
      <c r="O32" s="383">
        <f t="shared" si="11"/>
        <v>92300</v>
      </c>
      <c r="P32" s="384">
        <f t="shared" si="5"/>
        <v>2.4</v>
      </c>
    </row>
    <row r="33" spans="1:17">
      <c r="A33" s="198" t="s">
        <v>37</v>
      </c>
      <c r="B33" s="383">
        <f t="shared" si="6"/>
        <v>5075</v>
      </c>
      <c r="C33" s="383">
        <f t="shared" si="7"/>
        <v>115300</v>
      </c>
      <c r="D33" s="384">
        <f t="shared" si="0"/>
        <v>4.4000000000000004</v>
      </c>
      <c r="E33" s="200"/>
      <c r="F33" s="383">
        <f t="shared" si="8"/>
        <v>3600</v>
      </c>
      <c r="G33" s="383">
        <f t="shared" si="9"/>
        <v>116100</v>
      </c>
      <c r="H33" s="384">
        <f t="shared" si="1"/>
        <v>3.1</v>
      </c>
      <c r="I33" s="241"/>
      <c r="J33" s="383">
        <f t="shared" si="2"/>
        <v>3585</v>
      </c>
      <c r="K33" s="383">
        <f t="shared" si="10"/>
        <v>115600</v>
      </c>
      <c r="L33" s="384">
        <f t="shared" si="3"/>
        <v>3.1</v>
      </c>
      <c r="M33" s="241"/>
      <c r="N33" s="383">
        <f t="shared" si="4"/>
        <v>3670</v>
      </c>
      <c r="O33" s="383">
        <f t="shared" si="11"/>
        <v>114700</v>
      </c>
      <c r="P33" s="384">
        <f t="shared" si="5"/>
        <v>3.2</v>
      </c>
    </row>
    <row r="34" spans="1:17">
      <c r="A34" s="198" t="s">
        <v>38</v>
      </c>
      <c r="B34" s="383">
        <f t="shared" si="6"/>
        <v>2655</v>
      </c>
      <c r="C34" s="383">
        <f t="shared" si="7"/>
        <v>68100</v>
      </c>
      <c r="D34" s="384">
        <f t="shared" si="0"/>
        <v>3.9</v>
      </c>
      <c r="E34" s="200"/>
      <c r="F34" s="383">
        <f t="shared" si="8"/>
        <v>1955</v>
      </c>
      <c r="G34" s="383">
        <f t="shared" si="9"/>
        <v>67400</v>
      </c>
      <c r="H34" s="384">
        <f t="shared" si="1"/>
        <v>2.9</v>
      </c>
      <c r="I34" s="241"/>
      <c r="J34" s="383">
        <f t="shared" si="2"/>
        <v>1890</v>
      </c>
      <c r="K34" s="383">
        <f t="shared" si="10"/>
        <v>67500</v>
      </c>
      <c r="L34" s="384">
        <f t="shared" si="3"/>
        <v>2.8</v>
      </c>
      <c r="M34" s="241"/>
      <c r="N34" s="383">
        <f t="shared" si="4"/>
        <v>2095</v>
      </c>
      <c r="O34" s="383">
        <f t="shared" si="11"/>
        <v>67600</v>
      </c>
      <c r="P34" s="384">
        <f t="shared" si="5"/>
        <v>3.1</v>
      </c>
    </row>
    <row r="35" spans="1:17">
      <c r="A35" s="198" t="s">
        <v>39</v>
      </c>
      <c r="B35" s="383">
        <f t="shared" si="6"/>
        <v>315</v>
      </c>
      <c r="C35" s="383">
        <f t="shared" si="7"/>
        <v>13700</v>
      </c>
      <c r="D35" s="384">
        <f t="shared" si="0"/>
        <v>2.2999999999999998</v>
      </c>
      <c r="E35" s="200"/>
      <c r="F35" s="383">
        <f t="shared" si="8"/>
        <v>230</v>
      </c>
      <c r="G35" s="383">
        <f t="shared" si="9"/>
        <v>13500</v>
      </c>
      <c r="H35" s="384">
        <f t="shared" si="1"/>
        <v>1.7</v>
      </c>
      <c r="I35" s="241"/>
      <c r="J35" s="383">
        <f t="shared" si="2"/>
        <v>210</v>
      </c>
      <c r="K35" s="383">
        <f t="shared" si="10"/>
        <v>14000</v>
      </c>
      <c r="L35" s="384">
        <f t="shared" si="3"/>
        <v>1.5</v>
      </c>
      <c r="M35" s="241"/>
      <c r="N35" s="383">
        <f t="shared" si="4"/>
        <v>215</v>
      </c>
      <c r="O35" s="383">
        <f t="shared" si="11"/>
        <v>14300</v>
      </c>
      <c r="P35" s="384">
        <f t="shared" si="5"/>
        <v>1.5</v>
      </c>
    </row>
    <row r="36" spans="1:17">
      <c r="A36" s="198" t="s">
        <v>40</v>
      </c>
      <c r="B36" s="383">
        <f t="shared" si="6"/>
        <v>3360</v>
      </c>
      <c r="C36" s="383">
        <f t="shared" si="7"/>
        <v>65900</v>
      </c>
      <c r="D36" s="384">
        <f t="shared" si="0"/>
        <v>5.0999999999999996</v>
      </c>
      <c r="E36" s="200"/>
      <c r="F36" s="383">
        <f t="shared" si="8"/>
        <v>2430</v>
      </c>
      <c r="G36" s="383">
        <f t="shared" si="9"/>
        <v>65700</v>
      </c>
      <c r="H36" s="384">
        <f t="shared" si="1"/>
        <v>3.7</v>
      </c>
      <c r="I36" s="241"/>
      <c r="J36" s="383">
        <f t="shared" si="2"/>
        <v>2190</v>
      </c>
      <c r="K36" s="383">
        <f t="shared" si="10"/>
        <v>66400</v>
      </c>
      <c r="L36" s="384">
        <f t="shared" si="3"/>
        <v>3.3</v>
      </c>
      <c r="M36" s="241"/>
      <c r="N36" s="383">
        <f t="shared" si="4"/>
        <v>2375</v>
      </c>
      <c r="O36" s="383">
        <f t="shared" si="11"/>
        <v>66000</v>
      </c>
      <c r="P36" s="384">
        <f t="shared" si="5"/>
        <v>3.6</v>
      </c>
    </row>
    <row r="37" spans="1:17">
      <c r="A37" s="198" t="s">
        <v>41</v>
      </c>
      <c r="B37" s="383">
        <f t="shared" si="6"/>
        <v>9355</v>
      </c>
      <c r="C37" s="383">
        <f t="shared" si="7"/>
        <v>203400</v>
      </c>
      <c r="D37" s="384">
        <f t="shared" si="0"/>
        <v>4.5999999999999996</v>
      </c>
      <c r="E37" s="200"/>
      <c r="F37" s="383">
        <f t="shared" si="8"/>
        <v>6290</v>
      </c>
      <c r="G37" s="383">
        <f t="shared" si="9"/>
        <v>202900</v>
      </c>
      <c r="H37" s="384">
        <f t="shared" si="1"/>
        <v>3.1</v>
      </c>
      <c r="I37" s="241"/>
      <c r="J37" s="383">
        <f t="shared" si="2"/>
        <v>5965</v>
      </c>
      <c r="K37" s="383">
        <f t="shared" si="10"/>
        <v>205700</v>
      </c>
      <c r="L37" s="384">
        <f t="shared" si="3"/>
        <v>2.9</v>
      </c>
      <c r="M37" s="241"/>
      <c r="N37" s="383">
        <f t="shared" si="4"/>
        <v>6220</v>
      </c>
      <c r="O37" s="383">
        <f t="shared" si="11"/>
        <v>200600</v>
      </c>
      <c r="P37" s="384">
        <f t="shared" si="5"/>
        <v>3.1</v>
      </c>
    </row>
    <row r="38" spans="1:17">
      <c r="A38" s="198" t="s">
        <v>530</v>
      </c>
      <c r="B38" s="383">
        <f>SUM(B37+B30)</f>
        <v>20150</v>
      </c>
      <c r="C38" s="383">
        <f>SUM(C37+C30)</f>
        <v>423700</v>
      </c>
      <c r="D38" s="384">
        <f>SUM(B38/C38)*100</f>
        <v>4.7557233891904653</v>
      </c>
      <c r="E38" s="200"/>
      <c r="F38" s="383">
        <f>SUM(F37+F30)</f>
        <v>13815</v>
      </c>
      <c r="G38" s="383">
        <f>SUM(G37+G30)</f>
        <v>424200</v>
      </c>
      <c r="H38" s="384">
        <f>SUM(F38/G38)*100</f>
        <v>3.2567185289957572</v>
      </c>
      <c r="I38" s="200"/>
      <c r="J38" s="383">
        <f>SUM(J37+J30)</f>
        <v>13170</v>
      </c>
      <c r="K38" s="383">
        <f>SUM(K37+K30)</f>
        <v>424000</v>
      </c>
      <c r="L38" s="384">
        <f>SUM(J38/K38)*100</f>
        <v>3.1061320754716979</v>
      </c>
      <c r="M38" s="200"/>
      <c r="N38" s="383">
        <f>SUM(N37+N30)</f>
        <v>13865</v>
      </c>
      <c r="O38" s="383">
        <f>SUM(O37+O30)</f>
        <v>419000</v>
      </c>
      <c r="P38" s="384">
        <f>SUM(N38/O38)*100</f>
        <v>3.3090692124105008</v>
      </c>
      <c r="Q38" s="200"/>
    </row>
    <row r="39" spans="1:17">
      <c r="A39" s="198" t="s">
        <v>42</v>
      </c>
      <c r="B39" s="383">
        <f t="shared" ref="B39:B44" si="12">VLOOKUP($A39,$A$66:$E$100,2,FALSE)</f>
        <v>1835</v>
      </c>
      <c r="C39" s="383">
        <f t="shared" si="7"/>
        <v>59200</v>
      </c>
      <c r="D39" s="384">
        <f t="shared" ref="D39:D44" si="13">VLOOKUP($A39,$A$118:$E$152,2,FALSE)</f>
        <v>3.1</v>
      </c>
      <c r="E39" s="200"/>
      <c r="F39" s="383">
        <f t="shared" ref="F39:F44" si="14">VLOOKUP($A39,$A$66:$E$100,3,FALSE)</f>
        <v>1365</v>
      </c>
      <c r="G39" s="383">
        <f t="shared" si="9"/>
        <v>59300</v>
      </c>
      <c r="H39" s="384">
        <f t="shared" ref="H39:H44" si="15">VLOOKUP($A39,$A$118:$E$152,3,FALSE)</f>
        <v>2.2999999999999998</v>
      </c>
      <c r="I39" s="241"/>
      <c r="J39" s="383">
        <f t="shared" ref="J39:J44" si="16">VLOOKUP($A39,$A$66:$E$100,4,FALSE)</f>
        <v>1390</v>
      </c>
      <c r="K39" s="383">
        <f t="shared" si="10"/>
        <v>60400</v>
      </c>
      <c r="L39" s="384">
        <f t="shared" ref="L39:L44" si="17">VLOOKUP($A39,$A$118:$E$152,4,FALSE)</f>
        <v>2.2999999999999998</v>
      </c>
      <c r="M39" s="241"/>
      <c r="N39" s="383">
        <f t="shared" ref="N39:N44" si="18">VLOOKUP($A39,$A$66:$E$100,5,FALSE)</f>
        <v>1425</v>
      </c>
      <c r="O39" s="383">
        <f t="shared" si="11"/>
        <v>59400</v>
      </c>
      <c r="P39" s="384">
        <f t="shared" ref="P39:P44" si="19">VLOOKUP($A39,$A$118:$E$152,5,FALSE)</f>
        <v>2.4</v>
      </c>
    </row>
    <row r="40" spans="1:17">
      <c r="A40" s="198" t="s">
        <v>43</v>
      </c>
      <c r="B40" s="383">
        <f>VLOOKUP($A40,$A$66:$E$100,2,FALSE)</f>
        <v>3400</v>
      </c>
      <c r="C40" s="383">
        <f t="shared" si="7"/>
        <v>55700</v>
      </c>
      <c r="D40" s="384">
        <f t="shared" si="13"/>
        <v>6.1</v>
      </c>
      <c r="E40" s="200"/>
      <c r="F40" s="383">
        <f t="shared" si="14"/>
        <v>2430</v>
      </c>
      <c r="G40" s="383">
        <f t="shared" si="9"/>
        <v>55200</v>
      </c>
      <c r="H40" s="384">
        <f t="shared" si="15"/>
        <v>4.4000000000000004</v>
      </c>
      <c r="I40" s="241"/>
      <c r="J40" s="383">
        <f t="shared" si="16"/>
        <v>2365</v>
      </c>
      <c r="K40" s="383">
        <f t="shared" si="10"/>
        <v>55000</v>
      </c>
      <c r="L40" s="384">
        <f t="shared" si="17"/>
        <v>4.3</v>
      </c>
      <c r="M40" s="241"/>
      <c r="N40" s="383">
        <f t="shared" si="18"/>
        <v>2325</v>
      </c>
      <c r="O40" s="383">
        <f t="shared" si="11"/>
        <v>55400</v>
      </c>
      <c r="P40" s="384">
        <f t="shared" si="19"/>
        <v>4.2</v>
      </c>
    </row>
    <row r="41" spans="1:17">
      <c r="A41" s="198" t="s">
        <v>44</v>
      </c>
      <c r="B41" s="383">
        <f t="shared" si="12"/>
        <v>4555</v>
      </c>
      <c r="C41" s="383">
        <f>MROUND(B41/SUM(D41/100),100)</f>
        <v>119900</v>
      </c>
      <c r="D41" s="384">
        <f t="shared" si="13"/>
        <v>3.8</v>
      </c>
      <c r="E41" s="200"/>
      <c r="F41" s="383">
        <f t="shared" si="14"/>
        <v>3195</v>
      </c>
      <c r="G41" s="383">
        <f t="shared" si="9"/>
        <v>118300</v>
      </c>
      <c r="H41" s="384">
        <f t="shared" si="15"/>
        <v>2.7</v>
      </c>
      <c r="I41" s="241"/>
      <c r="J41" s="383">
        <f t="shared" si="16"/>
        <v>3060</v>
      </c>
      <c r="K41" s="383">
        <f t="shared" si="10"/>
        <v>117700</v>
      </c>
      <c r="L41" s="384">
        <f t="shared" si="17"/>
        <v>2.6</v>
      </c>
      <c r="M41" s="241"/>
      <c r="N41" s="383">
        <f t="shared" si="18"/>
        <v>3200</v>
      </c>
      <c r="O41" s="383">
        <f t="shared" si="11"/>
        <v>118500</v>
      </c>
      <c r="P41" s="384">
        <f t="shared" si="19"/>
        <v>2.7</v>
      </c>
    </row>
    <row r="42" spans="1:17">
      <c r="A42" s="198" t="s">
        <v>45</v>
      </c>
      <c r="B42" s="383">
        <f t="shared" si="12"/>
        <v>155505</v>
      </c>
      <c r="C42" s="383">
        <f t="shared" si="7"/>
        <v>3534200</v>
      </c>
      <c r="D42" s="384">
        <f t="shared" si="13"/>
        <v>4.4000000000000004</v>
      </c>
      <c r="E42" s="200"/>
      <c r="F42" s="383">
        <f t="shared" si="14"/>
        <v>109195</v>
      </c>
      <c r="G42" s="383">
        <f t="shared" si="9"/>
        <v>3522400</v>
      </c>
      <c r="H42" s="384">
        <f t="shared" si="15"/>
        <v>3.1</v>
      </c>
      <c r="I42" s="241"/>
      <c r="J42" s="383">
        <f t="shared" si="16"/>
        <v>105030</v>
      </c>
      <c r="K42" s="383">
        <f t="shared" si="10"/>
        <v>3501000</v>
      </c>
      <c r="L42" s="384">
        <f t="shared" si="17"/>
        <v>3</v>
      </c>
      <c r="M42" s="241"/>
      <c r="N42" s="383">
        <f t="shared" si="18"/>
        <v>113535</v>
      </c>
      <c r="O42" s="383">
        <f t="shared" si="11"/>
        <v>3548000</v>
      </c>
      <c r="P42" s="384">
        <f t="shared" si="19"/>
        <v>3.2</v>
      </c>
    </row>
    <row r="43" spans="1:17">
      <c r="A43" s="198" t="s">
        <v>46</v>
      </c>
      <c r="B43" s="383">
        <f t="shared" si="12"/>
        <v>2032690</v>
      </c>
      <c r="C43" s="383">
        <f t="shared" si="7"/>
        <v>42347700</v>
      </c>
      <c r="D43" s="384">
        <f t="shared" si="13"/>
        <v>4.8</v>
      </c>
      <c r="E43" s="200"/>
      <c r="F43" s="383">
        <f t="shared" si="14"/>
        <v>1509885</v>
      </c>
      <c r="G43" s="383">
        <f t="shared" si="9"/>
        <v>41941200</v>
      </c>
      <c r="H43" s="384">
        <f t="shared" si="15"/>
        <v>3.6</v>
      </c>
      <c r="I43" s="241"/>
      <c r="J43" s="383">
        <f t="shared" si="16"/>
        <v>1523970</v>
      </c>
      <c r="K43" s="383">
        <f t="shared" si="10"/>
        <v>42332500</v>
      </c>
      <c r="L43" s="384">
        <f t="shared" si="17"/>
        <v>3.6</v>
      </c>
      <c r="M43" s="241"/>
      <c r="N43" s="383">
        <f t="shared" si="18"/>
        <v>1793460</v>
      </c>
      <c r="O43" s="383">
        <f t="shared" si="11"/>
        <v>41708400</v>
      </c>
      <c r="P43" s="384">
        <f t="shared" si="19"/>
        <v>4.3</v>
      </c>
    </row>
    <row r="44" spans="1:17">
      <c r="A44" s="198" t="s">
        <v>47</v>
      </c>
      <c r="B44" s="383">
        <f t="shared" si="12"/>
        <v>63080</v>
      </c>
      <c r="C44" s="383">
        <f t="shared" si="7"/>
        <v>1213100</v>
      </c>
      <c r="D44" s="384">
        <f t="shared" si="13"/>
        <v>5.2</v>
      </c>
      <c r="E44" s="200"/>
      <c r="F44" s="383">
        <f t="shared" si="14"/>
        <v>45085</v>
      </c>
      <c r="G44" s="383">
        <f t="shared" si="9"/>
        <v>1218500</v>
      </c>
      <c r="H44" s="384">
        <f t="shared" si="15"/>
        <v>3.7</v>
      </c>
      <c r="I44" s="241"/>
      <c r="J44" s="383">
        <f t="shared" si="16"/>
        <v>43520</v>
      </c>
      <c r="K44" s="383">
        <f t="shared" si="10"/>
        <v>1208900</v>
      </c>
      <c r="L44" s="384">
        <f t="shared" si="17"/>
        <v>3.6</v>
      </c>
      <c r="M44" s="241"/>
      <c r="N44" s="383">
        <f t="shared" si="18"/>
        <v>47755</v>
      </c>
      <c r="O44" s="383">
        <f t="shared" si="11"/>
        <v>1224500</v>
      </c>
      <c r="P44" s="384">
        <f t="shared" si="19"/>
        <v>3.9</v>
      </c>
    </row>
    <row r="45" spans="1:17">
      <c r="A45" s="198" t="s">
        <v>543</v>
      </c>
      <c r="B45" s="385">
        <f>SUM(SUMIFS(B$9:B$41,$A$9:$A$41,{"Na h-Eileanan Siar","Argyll and Bute","Shetland Islands","Highland","Orkney Islands","Scottish Borders","Dumfries and Galloway","Aberdeenshire"}))</f>
        <v>18345</v>
      </c>
      <c r="C45" s="385">
        <f>SUM(SUMIFS(C$9:C$41,$A$9:$A$41,{"Na h-Eileanan Siar","Argyll and Bute","Shetland Islands","Highland","Orkney Islands","Scottish Borders","Dumfries and Galloway","Aberdeenshire"}))</f>
        <v>552100</v>
      </c>
      <c r="D45" s="386">
        <f>SUM(B45/C45)*100</f>
        <v>3.3227676145625793</v>
      </c>
      <c r="E45" s="241"/>
      <c r="F45" s="385">
        <f>SUM(SUMIFS(F$9:F$41,$A$9:$A$41,{"Na h-Eileanan Siar","Argyll and Bute","Shetland Islands","Highland","Orkney Islands","Scottish Borders","Dumfries and Galloway","Aberdeenshire"}))</f>
        <v>12590</v>
      </c>
      <c r="G45" s="385">
        <f>SUM(SUMIFS(G$9:G$41,$A$9:$A$41,{"Na h-Eileanan Siar","Argyll and Bute","Shetland Islands","Highland","Orkney Islands","Scottish Borders","Dumfries and Galloway","Aberdeenshire"}))</f>
        <v>556800</v>
      </c>
      <c r="H45" s="386">
        <f>SUM(F45/G45)*100</f>
        <v>2.2611350574712645</v>
      </c>
      <c r="I45" s="241"/>
      <c r="J45" s="385">
        <f>SUM(SUMIFS(J$9:J$41,$A$9:$A$41,{"Na h-Eileanan Siar","Argyll and Bute","Shetland Islands","Highland","Orkney Islands","Scottish Borders","Dumfries and Galloway","Aberdeenshire"}))</f>
        <v>12030</v>
      </c>
      <c r="K45" s="385">
        <f>SUM(SUMIFS(K$9:K$41,$A$9:$A$41,{"Na h-Eileanan Siar","Argyll and Bute","Shetland Islands","Highland","Orkney Islands","Scottish Borders","Dumfries and Galloway","Aberdeenshire"}))</f>
        <v>555200</v>
      </c>
      <c r="L45" s="386">
        <f>SUM(J45/K45)*100</f>
        <v>2.1667867435158499</v>
      </c>
      <c r="M45" s="241"/>
      <c r="N45" s="385" cm="1">
        <f t="array" ref="N45">SUM(SUMIFS(N$9:N$41,$A$9:$A$41,{"Na h-Eileanan Siar","Argyll and Bute","Shetland Islands","Highland","Orkney Islands","Scottish Borders","Dumfries and Galloway","Aberdeenshire"}))</f>
        <v>13040</v>
      </c>
      <c r="O45" s="385" cm="1">
        <f t="array" ref="O45">SUM(SUMIFS(O$9:O$41,$A$9:$A$41,{"Na h-Eileanan Siar","Argyll and Bute","Shetland Islands","Highland","Orkney Islands","Scottish Borders","Dumfries and Galloway","Aberdeenshire"}))</f>
        <v>550300</v>
      </c>
      <c r="P45" s="386">
        <f>SUM(N45/O45)*100</f>
        <v>2.3696165727784844</v>
      </c>
      <c r="Q45" s="241"/>
    </row>
    <row r="46" spans="1:17">
      <c r="A46" s="198" t="s">
        <v>544</v>
      </c>
      <c r="B46" s="385">
        <f>SUM(SUMIFS(B$9:B$41,$A$9:$A$41,{"Perth and Kinross","Stirling","Moray","South Ayrshire","East Ayrshire","East Lothian","North Ayrshire","Fife"}))</f>
        <v>33295</v>
      </c>
      <c r="C46" s="385">
        <f>SUM(SUMIFS(C$9:C$41,$A$9:$A$41,{"Perth and Kinross","Stirling","Moray","South Ayrshire","East Ayrshire","East Lothian","North Ayrshire","Fife"}))</f>
        <v>732900</v>
      </c>
      <c r="D46" s="386">
        <f>SUM(B46/C46)*100</f>
        <v>4.5429117205621505</v>
      </c>
      <c r="E46" s="241"/>
      <c r="F46" s="385">
        <f>SUM(SUMIFS(F$9:F$41,$A$9:$A$41,{"Perth and Kinross","Stirling","Moray","South Ayrshire","East Ayrshire","East Lothian","North Ayrshire","Fife"}))</f>
        <v>23090</v>
      </c>
      <c r="G46" s="385">
        <f>SUM(SUMIFS(G$9:G$41,$A$9:$A$41,{"Perth and Kinross","Stirling","Moray","South Ayrshire","East Ayrshire","East Lothian","North Ayrshire","Fife"}))</f>
        <v>727900</v>
      </c>
      <c r="H46" s="386">
        <f>SUM(F46/G46)*100</f>
        <v>3.1721390300865502</v>
      </c>
      <c r="I46" s="241"/>
      <c r="J46" s="385">
        <f>SUM(SUMIFS(J$9:J$41,$A$9:$A$41,{"Perth and Kinross","Stirling","Moray","South Ayrshire","East Ayrshire","East Lothian","North Ayrshire","Fife"}))</f>
        <v>22300</v>
      </c>
      <c r="K46" s="385">
        <f>SUM(SUMIFS(K$9:K$41,$A$9:$A$41,{"Perth and Kinross","Stirling","Moray","South Ayrshire","East Ayrshire","East Lothian","North Ayrshire","Fife"}))</f>
        <v>734400</v>
      </c>
      <c r="L46" s="386">
        <f>SUM(J46/K46)*100</f>
        <v>3.0364923747276689</v>
      </c>
      <c r="M46" s="241"/>
      <c r="N46" s="385">
        <f>SUM(SUMIFS(N$9:N$41,$A$9:$A$41,{"Perth and Kinross","Stirling","Moray","South Ayrshire","East Ayrshire","East Lothian","North Ayrshire","Fife"}))</f>
        <v>23340</v>
      </c>
      <c r="O46" s="385">
        <f>SUM(SUMIFS(O$9:O$41,$A$9:$A$41,{"Perth and Kinross","Stirling","Moray","South Ayrshire","East Ayrshire","East Lothian","North Ayrshire","Fife"}))</f>
        <v>730500</v>
      </c>
      <c r="P46" s="386">
        <f>SUM(N46/O46)*100</f>
        <v>3.1950718685831623</v>
      </c>
      <c r="Q46" s="241"/>
    </row>
    <row r="47" spans="1:17">
      <c r="A47" s="198" t="s">
        <v>545</v>
      </c>
      <c r="B47" s="385">
        <f>SUM(SUMIFS(B$9:B$41,$A$9:$A$41,{"Angus","Clackmannanshire","Midlothian","South Lanarkshire","Inverclyde","Renfrewshire","West Lothian","East Renfrewshire"}))</f>
        <v>29310</v>
      </c>
      <c r="C47" s="385">
        <f>SUM(SUMIFS(C$9:C$41,$A$9:$A$41,{"Angus","Clackmannanshire","Midlothian","South Lanarkshire","Inverclyde","Renfrewshire","West Lothian","East Renfrewshire"}))</f>
        <v>703100</v>
      </c>
      <c r="D47" s="386">
        <f>SUM(B47/C47)*100</f>
        <v>4.168681553121889</v>
      </c>
      <c r="E47" s="241"/>
      <c r="F47" s="385">
        <f>SUM(SUMIFS(F$9:F$41,$A$9:$A$41,{"Angus","Clackmannanshire","Midlothian","South Lanarkshire","Inverclyde","Renfrewshire","West Lothian","East Renfrewshire"}))</f>
        <v>20160</v>
      </c>
      <c r="G47" s="385">
        <f>SUM(SUMIFS(G$9:G$41,$A$9:$A$41,{"Angus","Clackmannanshire","Midlothian","South Lanarkshire","Inverclyde","Renfrewshire","West Lothian","East Renfrewshire"}))</f>
        <v>702200</v>
      </c>
      <c r="H47" s="386">
        <f>SUM(F47/G47)*100</f>
        <v>2.8709769296496725</v>
      </c>
      <c r="I47" s="241"/>
      <c r="J47" s="385">
        <f>SUM(SUMIFS(J$9:J$41,$A$9:$A$41,{"Angus","Clackmannanshire","Midlothian","South Lanarkshire","Inverclyde","Renfrewshire","West Lothian","East Renfrewshire"}))</f>
        <v>19560</v>
      </c>
      <c r="K47" s="385">
        <f>SUM(SUMIFS(K$9:K$41,$A$9:$A$41,{"Angus","Clackmannanshire","Midlothian","South Lanarkshire","Inverclyde","Renfrewshire","West Lothian","East Renfrewshire"}))</f>
        <v>701200</v>
      </c>
      <c r="L47" s="386">
        <f>SUM(J47/K47)*100</f>
        <v>2.7895037079292644</v>
      </c>
      <c r="M47" s="241"/>
      <c r="N47" s="385">
        <f>SUM(SUMIFS(N$9:N$41,$A$9:$A$41,{"Angus","Clackmannanshire","Midlothian","South Lanarkshire","Inverclyde","Renfrewshire","West Lothian","East Renfrewshire"}))</f>
        <v>20455</v>
      </c>
      <c r="O47" s="385">
        <f>SUM(SUMIFS(O$9:O$41,$A$9:$A$41,{"Angus","Clackmannanshire","Midlothian","South Lanarkshire","Inverclyde","Renfrewshire","West Lothian","East Renfrewshire"}))</f>
        <v>699400</v>
      </c>
      <c r="P47" s="386">
        <f>SUM(N47/O47)*100</f>
        <v>2.9246496997426363</v>
      </c>
      <c r="Q47" s="241"/>
    </row>
    <row r="48" spans="1:17">
      <c r="A48" s="198" t="s">
        <v>546</v>
      </c>
      <c r="B48" s="385">
        <f>SUM(SUMIFS(B$9:B$41,$A$9:$A$41,{"North Lanarkshire","Falkirk","East Dunbartonshire","Aberdeen City","Edinburgh, City of","West Dunbartonshire","Dundee City","Glasgow City"}))</f>
        <v>74545</v>
      </c>
      <c r="C48" s="385" cm="1">
        <f t="array" ref="C48">SUM(SUMIFS(C$9:C$41,$A$9:$A$41,{"North Lanarkshire","Falkirk","East Dunbartonshire","Aberdeen City","Edinburgh, City of","West Dunbartonshire","Dundee City","Glasgow City"}))</f>
        <v>1505000</v>
      </c>
      <c r="D48" s="386">
        <f>SUM(B48/C48)*100</f>
        <v>4.9531561461794018</v>
      </c>
      <c r="E48" s="241"/>
      <c r="F48" s="385" cm="1">
        <f t="array" ref="F48">SUM(SUMIFS(F$9:F$41,$A$9:$A$41,{"North Lanarkshire","Falkirk","East Dunbartonshire","Aberdeen City","Edinburgh, City of","West Dunbartonshire","Dundee City","Glasgow City"}))</f>
        <v>53350</v>
      </c>
      <c r="G48" s="385">
        <f>SUM(SUMIFS(G$9:G$41,$A$9:$A$41,{"North Lanarkshire","Falkirk","East Dunbartonshire","Aberdeen City","Edinburgh, City of","West Dunbartonshire","Dundee City","Glasgow City"}))</f>
        <v>1520000</v>
      </c>
      <c r="H48" s="386">
        <f>SUM(F48/G48)*100</f>
        <v>3.5098684210526319</v>
      </c>
      <c r="I48" s="241"/>
      <c r="J48" s="385" cm="1">
        <f t="array" ref="J48">SUM(SUMIFS(J$9:J$41,$A$9:$A$41,{"North Lanarkshire","Falkirk","East Dunbartonshire","Aberdeen City","Edinburgh, City of","West Dunbartonshire","Dundee City","Glasgow City"}))</f>
        <v>51120</v>
      </c>
      <c r="K48" s="385">
        <f>SUM(SUMIFS(K$9:K$41,$A$9:$A$41,{"North Lanarkshire","Falkirk","East Dunbartonshire","Aberdeen City","Edinburgh, City of","West Dunbartonshire","Dundee City","Glasgow City"}))</f>
        <v>1499400</v>
      </c>
      <c r="L48" s="386">
        <f>SUM(J48/K48)*100</f>
        <v>3.4093637454981991</v>
      </c>
      <c r="M48" s="241"/>
      <c r="N48" s="385">
        <f>SUM(SUMIFS(N$9:N$41,$A$9:$A$41,{"North Lanarkshire","Falkirk","East Dunbartonshire","Aberdeen City","Edinburgh, City of","West Dunbartonshire","Dundee City","Glasgow City"}))</f>
        <v>56695</v>
      </c>
      <c r="O48" s="385">
        <f>SUM(SUMIFS(O$9:O$41,$A$9:$A$41,{"North Lanarkshire","Falkirk","East Dunbartonshire","Aberdeen City","Edinburgh, City of","West Dunbartonshire","Dundee City","Glasgow City"}))</f>
        <v>1499000</v>
      </c>
      <c r="P48" s="386">
        <f>SUM(N48/O48)*100</f>
        <v>3.7821881254169445</v>
      </c>
      <c r="Q48" s="241"/>
    </row>
    <row r="49" spans="1:5">
      <c r="B49" s="98"/>
    </row>
    <row r="50" spans="1:5">
      <c r="A50" s="197" t="s">
        <v>145</v>
      </c>
    </row>
    <row r="51" spans="1:5">
      <c r="A51" s="197" t="s">
        <v>144</v>
      </c>
    </row>
    <row r="52" spans="1:5">
      <c r="A52" s="197" t="s">
        <v>143</v>
      </c>
    </row>
    <row r="53" spans="1:5">
      <c r="A53" s="197" t="s">
        <v>142</v>
      </c>
    </row>
    <row r="54" spans="1:5">
      <c r="A54" s="197" t="s">
        <v>141</v>
      </c>
    </row>
    <row r="55" spans="1:5">
      <c r="A55" s="197" t="s">
        <v>140</v>
      </c>
    </row>
    <row r="58" spans="1:5" ht="15.5">
      <c r="A58" s="1" t="s">
        <v>151</v>
      </c>
      <c r="B58"/>
      <c r="C58"/>
      <c r="D58"/>
      <c r="E58"/>
    </row>
    <row r="59" spans="1:5">
      <c r="A59" s="2" t="s">
        <v>767</v>
      </c>
      <c r="B59"/>
      <c r="C59"/>
      <c r="D59"/>
      <c r="E59"/>
    </row>
    <row r="60" spans="1:5">
      <c r="A60"/>
      <c r="B60"/>
      <c r="C60"/>
      <c r="D60"/>
      <c r="E60"/>
    </row>
    <row r="61" spans="1:5">
      <c r="A61" s="242" t="s">
        <v>150</v>
      </c>
      <c r="B61" s="242" t="s">
        <v>82</v>
      </c>
      <c r="C61"/>
      <c r="D61"/>
      <c r="E61"/>
    </row>
    <row r="62" spans="1:5">
      <c r="A62" s="242" t="s">
        <v>149</v>
      </c>
      <c r="B62" s="242" t="s">
        <v>148</v>
      </c>
      <c r="C62"/>
      <c r="D62"/>
      <c r="E62"/>
    </row>
    <row r="63" spans="1:5">
      <c r="A63" s="242" t="s">
        <v>147</v>
      </c>
      <c r="B63" s="242" t="s">
        <v>152</v>
      </c>
      <c r="C63"/>
      <c r="D63"/>
      <c r="E63"/>
    </row>
    <row r="64" spans="1:5">
      <c r="A64"/>
      <c r="B64"/>
      <c r="C64"/>
      <c r="D64"/>
      <c r="E64"/>
    </row>
    <row r="65" spans="1:5" ht="27" customHeight="1">
      <c r="A65" s="12" t="s">
        <v>5</v>
      </c>
      <c r="B65" s="434" t="s">
        <v>763</v>
      </c>
      <c r="C65" s="434" t="s">
        <v>764</v>
      </c>
      <c r="D65" s="434" t="s">
        <v>765</v>
      </c>
      <c r="E65" s="434" t="s">
        <v>766</v>
      </c>
    </row>
    <row r="66" spans="1:5">
      <c r="A66" s="242" t="s">
        <v>14</v>
      </c>
      <c r="B66" s="435">
        <v>7100</v>
      </c>
      <c r="C66" s="435">
        <v>5155</v>
      </c>
      <c r="D66" s="435">
        <v>4625</v>
      </c>
      <c r="E66" s="435">
        <v>5050</v>
      </c>
    </row>
    <row r="67" spans="1:5">
      <c r="A67" s="242" t="s">
        <v>15</v>
      </c>
      <c r="B67" s="435">
        <v>4615</v>
      </c>
      <c r="C67" s="435">
        <v>2935</v>
      </c>
      <c r="D67" s="435">
        <v>2835</v>
      </c>
      <c r="E67" s="435">
        <v>2985</v>
      </c>
    </row>
    <row r="68" spans="1:5">
      <c r="A68" s="242" t="s">
        <v>16</v>
      </c>
      <c r="B68" s="435">
        <v>2810</v>
      </c>
      <c r="C68" s="435">
        <v>1870</v>
      </c>
      <c r="D68" s="435">
        <v>1835</v>
      </c>
      <c r="E68" s="435">
        <v>2000</v>
      </c>
    </row>
    <row r="69" spans="1:5">
      <c r="A69" s="242" t="s">
        <v>17</v>
      </c>
      <c r="B69" s="435">
        <v>1925</v>
      </c>
      <c r="C69" s="435">
        <v>1310</v>
      </c>
      <c r="D69" s="435">
        <v>1285</v>
      </c>
      <c r="E69" s="435">
        <v>1360</v>
      </c>
    </row>
    <row r="70" spans="1:5">
      <c r="A70" s="242" t="s">
        <v>189</v>
      </c>
      <c r="B70" s="435">
        <v>12745</v>
      </c>
      <c r="C70" s="435">
        <v>8580</v>
      </c>
      <c r="D70" s="435">
        <v>8355</v>
      </c>
      <c r="E70" s="435">
        <v>9430</v>
      </c>
    </row>
    <row r="71" spans="1:5">
      <c r="A71" s="242" t="s">
        <v>18</v>
      </c>
      <c r="B71" s="435">
        <v>1525</v>
      </c>
      <c r="C71" s="435">
        <v>1130</v>
      </c>
      <c r="D71" s="435">
        <v>1085</v>
      </c>
      <c r="E71" s="435">
        <v>1095</v>
      </c>
    </row>
    <row r="72" spans="1:5">
      <c r="A72" s="242" t="s">
        <v>19</v>
      </c>
      <c r="B72" s="435">
        <v>3445</v>
      </c>
      <c r="C72" s="435">
        <v>2455</v>
      </c>
      <c r="D72" s="435">
        <v>2370</v>
      </c>
      <c r="E72" s="435">
        <v>2530</v>
      </c>
    </row>
    <row r="73" spans="1:5">
      <c r="A73" s="242" t="s">
        <v>20</v>
      </c>
      <c r="B73" s="435">
        <v>5640</v>
      </c>
      <c r="C73" s="435">
        <v>4145</v>
      </c>
      <c r="D73" s="435">
        <v>4045</v>
      </c>
      <c r="E73" s="435">
        <v>4260</v>
      </c>
    </row>
    <row r="74" spans="1:5">
      <c r="A74" s="242" t="s">
        <v>21</v>
      </c>
      <c r="B74" s="435">
        <v>4450</v>
      </c>
      <c r="C74" s="435">
        <v>3030</v>
      </c>
      <c r="D74" s="435">
        <v>2950</v>
      </c>
      <c r="E74" s="435">
        <v>2895</v>
      </c>
    </row>
    <row r="75" spans="1:5">
      <c r="A75" s="242" t="s">
        <v>22</v>
      </c>
      <c r="B75" s="435">
        <v>1885</v>
      </c>
      <c r="C75" s="435">
        <v>1255</v>
      </c>
      <c r="D75" s="435">
        <v>1215</v>
      </c>
      <c r="E75" s="435">
        <v>1325</v>
      </c>
    </row>
    <row r="76" spans="1:5">
      <c r="A76" s="242" t="s">
        <v>23</v>
      </c>
      <c r="B76" s="435">
        <v>2405</v>
      </c>
      <c r="C76" s="435">
        <v>1450</v>
      </c>
      <c r="D76" s="435">
        <v>1500</v>
      </c>
      <c r="E76" s="435">
        <v>1640</v>
      </c>
    </row>
    <row r="77" spans="1:5">
      <c r="A77" s="198" t="s">
        <v>24</v>
      </c>
      <c r="B77" s="435">
        <v>1430</v>
      </c>
      <c r="C77" s="435">
        <v>955</v>
      </c>
      <c r="D77" s="435">
        <v>1005</v>
      </c>
      <c r="E77" s="435">
        <v>1145</v>
      </c>
    </row>
    <row r="78" spans="1:5">
      <c r="A78" s="242" t="s">
        <v>25</v>
      </c>
      <c r="B78" s="435">
        <v>4340</v>
      </c>
      <c r="C78" s="435">
        <v>3040</v>
      </c>
      <c r="D78" s="435">
        <v>2815</v>
      </c>
      <c r="E78" s="435">
        <v>2980</v>
      </c>
    </row>
    <row r="79" spans="1:5">
      <c r="A79" s="242" t="s">
        <v>26</v>
      </c>
      <c r="B79" s="435">
        <v>11220</v>
      </c>
      <c r="C79" s="435">
        <v>7770</v>
      </c>
      <c r="D79" s="435">
        <v>7460</v>
      </c>
      <c r="E79" s="435">
        <v>7825</v>
      </c>
    </row>
    <row r="80" spans="1:5">
      <c r="A80" s="242" t="s">
        <v>27</v>
      </c>
      <c r="B80" s="435">
        <v>28640</v>
      </c>
      <c r="C80" s="435">
        <v>21220</v>
      </c>
      <c r="D80" s="435">
        <v>20495</v>
      </c>
      <c r="E80" s="435">
        <v>23680</v>
      </c>
    </row>
    <row r="81" spans="1:5">
      <c r="A81" s="242" t="s">
        <v>28</v>
      </c>
      <c r="B81" s="435">
        <v>4650</v>
      </c>
      <c r="C81" s="435">
        <v>3205</v>
      </c>
      <c r="D81" s="435">
        <v>2960</v>
      </c>
      <c r="E81" s="435">
        <v>3345</v>
      </c>
    </row>
    <row r="82" spans="1:5">
      <c r="A82" s="242" t="s">
        <v>29</v>
      </c>
      <c r="B82" s="435">
        <v>2495</v>
      </c>
      <c r="C82" s="435">
        <v>1810</v>
      </c>
      <c r="D82" s="435">
        <v>1680</v>
      </c>
      <c r="E82" s="435">
        <v>1750</v>
      </c>
    </row>
    <row r="83" spans="1:5">
      <c r="A83" s="242" t="s">
        <v>30</v>
      </c>
      <c r="B83" s="435">
        <v>2065</v>
      </c>
      <c r="C83" s="435">
        <v>1310</v>
      </c>
      <c r="D83" s="435">
        <v>1345</v>
      </c>
      <c r="E83" s="435">
        <v>1375</v>
      </c>
    </row>
    <row r="84" spans="1:5">
      <c r="A84" s="242" t="s">
        <v>31</v>
      </c>
      <c r="B84" s="435">
        <v>2080</v>
      </c>
      <c r="C84" s="435">
        <v>1345</v>
      </c>
      <c r="D84" s="435">
        <v>1210</v>
      </c>
      <c r="E84" s="435">
        <v>1315</v>
      </c>
    </row>
    <row r="85" spans="1:5">
      <c r="A85" s="242" t="s">
        <v>32</v>
      </c>
      <c r="B85" s="435">
        <v>495</v>
      </c>
      <c r="C85" s="435">
        <v>315</v>
      </c>
      <c r="D85" s="435">
        <v>275</v>
      </c>
      <c r="E85" s="435">
        <v>270</v>
      </c>
    </row>
    <row r="86" spans="1:5">
      <c r="A86" s="242" t="s">
        <v>33</v>
      </c>
      <c r="B86" s="435">
        <v>4915</v>
      </c>
      <c r="C86" s="435">
        <v>3655</v>
      </c>
      <c r="D86" s="435">
        <v>3480</v>
      </c>
      <c r="E86" s="435">
        <v>3650</v>
      </c>
    </row>
    <row r="87" spans="1:5">
      <c r="A87" s="242" t="s">
        <v>34</v>
      </c>
      <c r="B87" s="435">
        <v>10795</v>
      </c>
      <c r="C87" s="435">
        <v>7525</v>
      </c>
      <c r="D87" s="435">
        <v>7205</v>
      </c>
      <c r="E87" s="435">
        <v>7645</v>
      </c>
    </row>
    <row r="88" spans="1:5">
      <c r="A88" s="242" t="s">
        <v>35</v>
      </c>
      <c r="B88" s="435">
        <v>245</v>
      </c>
      <c r="C88" s="435">
        <v>185</v>
      </c>
      <c r="D88" s="435">
        <v>205</v>
      </c>
      <c r="E88" s="435">
        <v>240</v>
      </c>
    </row>
    <row r="89" spans="1:5">
      <c r="A89" s="242" t="s">
        <v>36</v>
      </c>
      <c r="B89" s="435">
        <v>3030</v>
      </c>
      <c r="C89" s="435">
        <v>2045</v>
      </c>
      <c r="D89" s="435">
        <v>2120</v>
      </c>
      <c r="E89" s="435">
        <v>2215</v>
      </c>
    </row>
    <row r="90" spans="1:5">
      <c r="A90" s="242" t="s">
        <v>37</v>
      </c>
      <c r="B90" s="435">
        <v>5075</v>
      </c>
      <c r="C90" s="435">
        <v>3600</v>
      </c>
      <c r="D90" s="435">
        <v>3585</v>
      </c>
      <c r="E90" s="435">
        <v>3670</v>
      </c>
    </row>
    <row r="91" spans="1:5">
      <c r="A91" s="242" t="s">
        <v>38</v>
      </c>
      <c r="B91" s="435">
        <v>2655</v>
      </c>
      <c r="C91" s="435">
        <v>1955</v>
      </c>
      <c r="D91" s="435">
        <v>1890</v>
      </c>
      <c r="E91" s="435">
        <v>2095</v>
      </c>
    </row>
    <row r="92" spans="1:5">
      <c r="A92" s="242" t="s">
        <v>39</v>
      </c>
      <c r="B92" s="435">
        <v>315</v>
      </c>
      <c r="C92" s="435">
        <v>230</v>
      </c>
      <c r="D92" s="435">
        <v>210</v>
      </c>
      <c r="E92" s="435">
        <v>215</v>
      </c>
    </row>
    <row r="93" spans="1:5">
      <c r="A93" s="242" t="s">
        <v>40</v>
      </c>
      <c r="B93" s="435">
        <v>3360</v>
      </c>
      <c r="C93" s="435">
        <v>2430</v>
      </c>
      <c r="D93" s="435">
        <v>2190</v>
      </c>
      <c r="E93" s="435">
        <v>2375</v>
      </c>
    </row>
    <row r="94" spans="1:5">
      <c r="A94" s="242" t="s">
        <v>41</v>
      </c>
      <c r="B94" s="435">
        <v>9355</v>
      </c>
      <c r="C94" s="435">
        <v>6290</v>
      </c>
      <c r="D94" s="435">
        <v>5965</v>
      </c>
      <c r="E94" s="435">
        <v>6220</v>
      </c>
    </row>
    <row r="95" spans="1:5">
      <c r="A95" s="242" t="s">
        <v>42</v>
      </c>
      <c r="B95" s="435">
        <v>1835</v>
      </c>
      <c r="C95" s="435">
        <v>1365</v>
      </c>
      <c r="D95" s="435">
        <v>1390</v>
      </c>
      <c r="E95" s="435">
        <v>1425</v>
      </c>
    </row>
    <row r="96" spans="1:5">
      <c r="A96" s="242" t="s">
        <v>43</v>
      </c>
      <c r="B96" s="435">
        <v>3400</v>
      </c>
      <c r="C96" s="435">
        <v>2430</v>
      </c>
      <c r="D96" s="435">
        <v>2365</v>
      </c>
      <c r="E96" s="435">
        <v>2325</v>
      </c>
    </row>
    <row r="97" spans="1:5">
      <c r="A97" s="242" t="s">
        <v>44</v>
      </c>
      <c r="B97" s="435">
        <v>4555</v>
      </c>
      <c r="C97" s="435">
        <v>3195</v>
      </c>
      <c r="D97" s="435">
        <v>3060</v>
      </c>
      <c r="E97" s="435">
        <v>3200</v>
      </c>
    </row>
    <row r="98" spans="1:5">
      <c r="A98" s="242" t="s">
        <v>45</v>
      </c>
      <c r="B98" s="435">
        <v>155505</v>
      </c>
      <c r="C98" s="435">
        <v>109195</v>
      </c>
      <c r="D98" s="435">
        <v>105030</v>
      </c>
      <c r="E98" s="435">
        <v>113535</v>
      </c>
    </row>
    <row r="99" spans="1:5">
      <c r="A99" s="242" t="s">
        <v>46</v>
      </c>
      <c r="B99" s="435">
        <v>2032690</v>
      </c>
      <c r="C99" s="435">
        <v>1509885</v>
      </c>
      <c r="D99" s="435">
        <v>1523970</v>
      </c>
      <c r="E99" s="435">
        <v>1793460</v>
      </c>
    </row>
    <row r="100" spans="1:5">
      <c r="A100" s="242" t="s">
        <v>47</v>
      </c>
      <c r="B100" s="435">
        <v>63080</v>
      </c>
      <c r="C100" s="435">
        <v>45085</v>
      </c>
      <c r="D100" s="435">
        <v>43520</v>
      </c>
      <c r="E100" s="435">
        <v>47755</v>
      </c>
    </row>
    <row r="102" spans="1:5">
      <c r="A102" s="197" t="s">
        <v>145</v>
      </c>
    </row>
    <row r="103" spans="1:5">
      <c r="A103" s="197" t="s">
        <v>144</v>
      </c>
    </row>
    <row r="104" spans="1:5">
      <c r="A104" s="197" t="s">
        <v>143</v>
      </c>
    </row>
    <row r="105" spans="1:5">
      <c r="A105" s="197" t="s">
        <v>142</v>
      </c>
    </row>
    <row r="106" spans="1:5">
      <c r="A106" s="197" t="s">
        <v>141</v>
      </c>
    </row>
    <row r="107" spans="1:5">
      <c r="A107" s="197" t="s">
        <v>140</v>
      </c>
    </row>
    <row r="110" spans="1:5" ht="15.5">
      <c r="A110" s="1" t="s">
        <v>151</v>
      </c>
      <c r="B110"/>
      <c r="C110"/>
      <c r="D110"/>
      <c r="E110"/>
    </row>
    <row r="111" spans="1:5">
      <c r="A111" s="2" t="s">
        <v>597</v>
      </c>
      <c r="B111"/>
      <c r="C111"/>
      <c r="D111"/>
      <c r="E111"/>
    </row>
    <row r="112" spans="1:5">
      <c r="A112"/>
      <c r="B112"/>
      <c r="C112"/>
      <c r="D112"/>
      <c r="E112"/>
    </row>
    <row r="113" spans="1:5">
      <c r="A113" s="242" t="s">
        <v>150</v>
      </c>
      <c r="B113" s="242" t="s">
        <v>82</v>
      </c>
      <c r="C113"/>
      <c r="D113"/>
      <c r="E113"/>
    </row>
    <row r="114" spans="1:5">
      <c r="A114" s="242" t="s">
        <v>149</v>
      </c>
      <c r="B114" s="242" t="s">
        <v>148</v>
      </c>
      <c r="C114"/>
      <c r="D114"/>
      <c r="E114"/>
    </row>
    <row r="115" spans="1:5">
      <c r="A115" s="242" t="s">
        <v>147</v>
      </c>
      <c r="B115" s="242" t="s">
        <v>146</v>
      </c>
      <c r="C115"/>
      <c r="D115"/>
      <c r="E115"/>
    </row>
    <row r="116" spans="1:5">
      <c r="A116"/>
      <c r="B116"/>
      <c r="C116"/>
      <c r="D116"/>
      <c r="E116"/>
    </row>
    <row r="117" spans="1:5" ht="25.5" customHeight="1">
      <c r="A117" s="12" t="s">
        <v>5</v>
      </c>
      <c r="B117" s="434" t="s">
        <v>763</v>
      </c>
      <c r="C117" s="434" t="s">
        <v>764</v>
      </c>
      <c r="D117" s="434" t="s">
        <v>765</v>
      </c>
      <c r="E117" s="434" t="s">
        <v>766</v>
      </c>
    </row>
    <row r="118" spans="1:5">
      <c r="A118" s="242" t="s">
        <v>14</v>
      </c>
      <c r="B118" s="436">
        <v>4.5999999999999996</v>
      </c>
      <c r="C118" s="436">
        <v>3.3</v>
      </c>
      <c r="D118" s="436">
        <v>3</v>
      </c>
      <c r="E118" s="436">
        <v>3.3</v>
      </c>
    </row>
    <row r="119" spans="1:5">
      <c r="A119" s="242" t="s">
        <v>15</v>
      </c>
      <c r="B119" s="436">
        <v>2.9</v>
      </c>
      <c r="C119" s="436">
        <v>1.8</v>
      </c>
      <c r="D119" s="436">
        <v>1.8</v>
      </c>
      <c r="E119" s="436">
        <v>1.9</v>
      </c>
    </row>
    <row r="120" spans="1:5">
      <c r="A120" s="242" t="s">
        <v>16</v>
      </c>
      <c r="B120" s="436">
        <v>4.0999999999999996</v>
      </c>
      <c r="C120" s="436">
        <v>2.7</v>
      </c>
      <c r="D120" s="436">
        <v>2.7</v>
      </c>
      <c r="E120" s="436">
        <v>2.9</v>
      </c>
    </row>
    <row r="121" spans="1:5">
      <c r="A121" s="242" t="s">
        <v>17</v>
      </c>
      <c r="B121" s="436">
        <v>3.8</v>
      </c>
      <c r="C121" s="436">
        <v>2.6</v>
      </c>
      <c r="D121" s="436">
        <v>2.5</v>
      </c>
      <c r="E121" s="436">
        <v>2.7</v>
      </c>
    </row>
    <row r="122" spans="1:5">
      <c r="A122" s="242" t="s">
        <v>189</v>
      </c>
      <c r="B122" s="436">
        <v>3.5</v>
      </c>
      <c r="C122" s="436">
        <v>2.2999999999999998</v>
      </c>
      <c r="D122" s="436">
        <v>2.2999999999999998</v>
      </c>
      <c r="E122" s="436">
        <v>2.6</v>
      </c>
    </row>
    <row r="123" spans="1:5">
      <c r="A123" s="242" t="s">
        <v>18</v>
      </c>
      <c r="B123" s="436">
        <v>4.8</v>
      </c>
      <c r="C123" s="436">
        <v>3.5</v>
      </c>
      <c r="D123" s="436">
        <v>3.4</v>
      </c>
      <c r="E123" s="436">
        <v>3.4</v>
      </c>
    </row>
    <row r="124" spans="1:5">
      <c r="A124" s="242" t="s">
        <v>19</v>
      </c>
      <c r="B124" s="436">
        <v>4</v>
      </c>
      <c r="C124" s="436">
        <v>2.8</v>
      </c>
      <c r="D124" s="436">
        <v>2.7</v>
      </c>
      <c r="E124" s="436">
        <v>2.9</v>
      </c>
    </row>
    <row r="125" spans="1:5">
      <c r="A125" s="242" t="s">
        <v>20</v>
      </c>
      <c r="B125" s="436">
        <v>5.8</v>
      </c>
      <c r="C125" s="436">
        <v>4.2</v>
      </c>
      <c r="D125" s="436">
        <v>4.0999999999999996</v>
      </c>
      <c r="E125" s="436">
        <v>4.4000000000000004</v>
      </c>
    </row>
    <row r="126" spans="1:5">
      <c r="A126" s="242" t="s">
        <v>21</v>
      </c>
      <c r="B126" s="436">
        <v>5.9</v>
      </c>
      <c r="C126" s="436">
        <v>4</v>
      </c>
      <c r="D126" s="436">
        <v>3.9</v>
      </c>
      <c r="E126" s="436">
        <v>3.8</v>
      </c>
    </row>
    <row r="127" spans="1:5">
      <c r="A127" s="242" t="s">
        <v>22</v>
      </c>
      <c r="B127" s="436">
        <v>2.9</v>
      </c>
      <c r="C127" s="436">
        <v>2</v>
      </c>
      <c r="D127" s="436">
        <v>1.9</v>
      </c>
      <c r="E127" s="436">
        <v>2.1</v>
      </c>
    </row>
    <row r="128" spans="1:5">
      <c r="A128" s="242" t="s">
        <v>23</v>
      </c>
      <c r="B128" s="436">
        <v>3.6</v>
      </c>
      <c r="C128" s="436">
        <v>2.2000000000000002</v>
      </c>
      <c r="D128" s="436">
        <v>2.2000000000000002</v>
      </c>
      <c r="E128" s="436">
        <v>2.5</v>
      </c>
    </row>
    <row r="129" spans="1:5">
      <c r="A129" s="198" t="s">
        <v>24</v>
      </c>
      <c r="B129" s="436">
        <v>2.5</v>
      </c>
      <c r="C129" s="436">
        <v>1.7</v>
      </c>
      <c r="D129" s="436">
        <v>1.8</v>
      </c>
      <c r="E129" s="436">
        <v>2</v>
      </c>
    </row>
    <row r="130" spans="1:5">
      <c r="A130" s="242" t="s">
        <v>25</v>
      </c>
      <c r="B130" s="436">
        <v>4.3</v>
      </c>
      <c r="C130" s="436">
        <v>3</v>
      </c>
      <c r="D130" s="436">
        <v>2.8</v>
      </c>
      <c r="E130" s="436">
        <v>2.9</v>
      </c>
    </row>
    <row r="131" spans="1:5">
      <c r="A131" s="242" t="s">
        <v>26</v>
      </c>
      <c r="B131" s="436">
        <v>4.8</v>
      </c>
      <c r="C131" s="436">
        <v>3.4</v>
      </c>
      <c r="D131" s="436">
        <v>3.2</v>
      </c>
      <c r="E131" s="436">
        <v>3.4</v>
      </c>
    </row>
    <row r="132" spans="1:5">
      <c r="A132" s="242" t="s">
        <v>27</v>
      </c>
      <c r="B132" s="436">
        <v>6.4</v>
      </c>
      <c r="C132" s="436">
        <v>4.7</v>
      </c>
      <c r="D132" s="436">
        <v>4.5999999999999996</v>
      </c>
      <c r="E132" s="436">
        <v>5.3</v>
      </c>
    </row>
    <row r="133" spans="1:5">
      <c r="A133" s="242" t="s">
        <v>28</v>
      </c>
      <c r="B133" s="436">
        <v>3.2</v>
      </c>
      <c r="C133" s="436">
        <v>2.2000000000000002</v>
      </c>
      <c r="D133" s="436">
        <v>2</v>
      </c>
      <c r="E133" s="436">
        <v>2.2999999999999998</v>
      </c>
    </row>
    <row r="134" spans="1:5">
      <c r="A134" s="242" t="s">
        <v>29</v>
      </c>
      <c r="B134" s="436">
        <v>5.2</v>
      </c>
      <c r="C134" s="436">
        <v>3.8</v>
      </c>
      <c r="D134" s="436">
        <v>3.5</v>
      </c>
      <c r="E134" s="436">
        <v>3.7</v>
      </c>
    </row>
    <row r="135" spans="1:5">
      <c r="A135" s="242" t="s">
        <v>30</v>
      </c>
      <c r="B135" s="436">
        <v>3.5</v>
      </c>
      <c r="C135" s="436">
        <v>2.2000000000000002</v>
      </c>
      <c r="D135" s="436">
        <v>2.2999999999999998</v>
      </c>
      <c r="E135" s="436">
        <v>2.2999999999999998</v>
      </c>
    </row>
    <row r="136" spans="1:5">
      <c r="A136" s="242" t="s">
        <v>31</v>
      </c>
      <c r="B136" s="436">
        <v>3.5</v>
      </c>
      <c r="C136" s="436">
        <v>2.2999999999999998</v>
      </c>
      <c r="D136" s="436">
        <v>2.1</v>
      </c>
      <c r="E136" s="436">
        <v>2.2000000000000002</v>
      </c>
    </row>
    <row r="137" spans="1:5">
      <c r="A137" s="242" t="s">
        <v>32</v>
      </c>
      <c r="B137" s="436">
        <v>3.2</v>
      </c>
      <c r="C137" s="436">
        <v>2</v>
      </c>
      <c r="D137" s="436">
        <v>1.8</v>
      </c>
      <c r="E137" s="436">
        <v>1.8</v>
      </c>
    </row>
    <row r="138" spans="1:5">
      <c r="A138" s="242" t="s">
        <v>33</v>
      </c>
      <c r="B138" s="436">
        <v>6.1</v>
      </c>
      <c r="C138" s="436">
        <v>4.5</v>
      </c>
      <c r="D138" s="436">
        <v>4.3</v>
      </c>
      <c r="E138" s="436">
        <v>4.5</v>
      </c>
    </row>
    <row r="139" spans="1:5">
      <c r="A139" s="242" t="s">
        <v>34</v>
      </c>
      <c r="B139" s="436">
        <v>4.9000000000000004</v>
      </c>
      <c r="C139" s="436">
        <v>3.4</v>
      </c>
      <c r="D139" s="436">
        <v>3.3</v>
      </c>
      <c r="E139" s="436">
        <v>3.5</v>
      </c>
    </row>
    <row r="140" spans="1:5">
      <c r="A140" s="242" t="s">
        <v>35</v>
      </c>
      <c r="B140" s="436">
        <v>1.8</v>
      </c>
      <c r="C140" s="436">
        <v>1.4</v>
      </c>
      <c r="D140" s="436">
        <v>1.5</v>
      </c>
      <c r="E140" s="436">
        <v>1.8</v>
      </c>
    </row>
    <row r="141" spans="1:5">
      <c r="A141" s="242" t="s">
        <v>36</v>
      </c>
      <c r="B141" s="436">
        <v>3.3</v>
      </c>
      <c r="C141" s="436">
        <v>2.2000000000000002</v>
      </c>
      <c r="D141" s="436">
        <v>2.2999999999999998</v>
      </c>
      <c r="E141" s="436">
        <v>2.4</v>
      </c>
    </row>
    <row r="142" spans="1:5">
      <c r="A142" s="242" t="s">
        <v>37</v>
      </c>
      <c r="B142" s="436">
        <v>4.4000000000000004</v>
      </c>
      <c r="C142" s="436">
        <v>3.1</v>
      </c>
      <c r="D142" s="436">
        <v>3.1</v>
      </c>
      <c r="E142" s="436">
        <v>3.2</v>
      </c>
    </row>
    <row r="143" spans="1:5">
      <c r="A143" s="242" t="s">
        <v>38</v>
      </c>
      <c r="B143" s="436">
        <v>3.9</v>
      </c>
      <c r="C143" s="436">
        <v>2.9</v>
      </c>
      <c r="D143" s="436">
        <v>2.8</v>
      </c>
      <c r="E143" s="436">
        <v>3.1</v>
      </c>
    </row>
    <row r="144" spans="1:5">
      <c r="A144" s="242" t="s">
        <v>39</v>
      </c>
      <c r="B144" s="436">
        <v>2.2999999999999998</v>
      </c>
      <c r="C144" s="436">
        <v>1.7</v>
      </c>
      <c r="D144" s="436">
        <v>1.5</v>
      </c>
      <c r="E144" s="436">
        <v>1.5</v>
      </c>
    </row>
    <row r="145" spans="1:5">
      <c r="A145" s="242" t="s">
        <v>40</v>
      </c>
      <c r="B145" s="436">
        <v>5.0999999999999996</v>
      </c>
      <c r="C145" s="436">
        <v>3.7</v>
      </c>
      <c r="D145" s="436">
        <v>3.3</v>
      </c>
      <c r="E145" s="436">
        <v>3.6</v>
      </c>
    </row>
    <row r="146" spans="1:5">
      <c r="A146" s="242" t="s">
        <v>41</v>
      </c>
      <c r="B146" s="436">
        <v>4.5999999999999996</v>
      </c>
      <c r="C146" s="436">
        <v>3.1</v>
      </c>
      <c r="D146" s="436">
        <v>2.9</v>
      </c>
      <c r="E146" s="436">
        <v>3.1</v>
      </c>
    </row>
    <row r="147" spans="1:5">
      <c r="A147" s="242" t="s">
        <v>42</v>
      </c>
      <c r="B147" s="436">
        <v>3.1</v>
      </c>
      <c r="C147" s="436">
        <v>2.2999999999999998</v>
      </c>
      <c r="D147" s="436">
        <v>2.2999999999999998</v>
      </c>
      <c r="E147" s="436">
        <v>2.4</v>
      </c>
    </row>
    <row r="148" spans="1:5">
      <c r="A148" s="242" t="s">
        <v>43</v>
      </c>
      <c r="B148" s="436">
        <v>6.1</v>
      </c>
      <c r="C148" s="436">
        <v>4.4000000000000004</v>
      </c>
      <c r="D148" s="436">
        <v>4.3</v>
      </c>
      <c r="E148" s="436">
        <v>4.2</v>
      </c>
    </row>
    <row r="149" spans="1:5">
      <c r="A149" s="242" t="s">
        <v>44</v>
      </c>
      <c r="B149" s="436">
        <v>3.8</v>
      </c>
      <c r="C149" s="436">
        <v>2.7</v>
      </c>
      <c r="D149" s="436">
        <v>2.6</v>
      </c>
      <c r="E149" s="436">
        <v>2.7</v>
      </c>
    </row>
    <row r="150" spans="1:5">
      <c r="A150" s="242" t="s">
        <v>45</v>
      </c>
      <c r="B150" s="436">
        <v>4.4000000000000004</v>
      </c>
      <c r="C150" s="436">
        <v>3.1</v>
      </c>
      <c r="D150" s="436">
        <v>3</v>
      </c>
      <c r="E150" s="436">
        <v>3.2</v>
      </c>
    </row>
    <row r="151" spans="1:5">
      <c r="A151" s="242" t="s">
        <v>46</v>
      </c>
      <c r="B151" s="436">
        <v>4.8</v>
      </c>
      <c r="C151" s="436">
        <v>3.6</v>
      </c>
      <c r="D151" s="436">
        <v>3.6</v>
      </c>
      <c r="E151" s="436">
        <v>4.3</v>
      </c>
    </row>
    <row r="152" spans="1:5">
      <c r="A152" s="242" t="s">
        <v>47</v>
      </c>
      <c r="B152" s="436">
        <v>5.2</v>
      </c>
      <c r="C152" s="436">
        <v>3.7</v>
      </c>
      <c r="D152" s="436">
        <v>3.6</v>
      </c>
      <c r="E152" s="436">
        <v>3.9</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autoPageBreaks="0"/>
  </sheetPr>
  <dimension ref="A1:R85"/>
  <sheetViews>
    <sheetView topLeftCell="A62" zoomScale="70" zoomScaleNormal="70" workbookViewId="0">
      <selection activeCell="D85" sqref="D85"/>
    </sheetView>
  </sheetViews>
  <sheetFormatPr defaultColWidth="8.7265625" defaultRowHeight="14.5"/>
  <cols>
    <col min="1" max="1" width="25.81640625" style="129" bestFit="1" customWidth="1"/>
    <col min="2" max="2" width="8.7265625" style="129"/>
    <col min="3" max="3" width="11.81640625" style="129" bestFit="1" customWidth="1"/>
    <col min="4" max="4" width="8.7265625" style="129"/>
    <col min="5" max="5" width="9.453125" style="129" bestFit="1" customWidth="1"/>
    <col min="6" max="6" width="8.7265625" style="129"/>
    <col min="7" max="7" width="9" style="129" customWidth="1"/>
    <col min="8" max="10" width="8.7265625" style="129"/>
    <col min="11" max="11" width="9.453125" style="129" customWidth="1"/>
    <col min="12" max="14" width="8.7265625" style="129"/>
    <col min="15" max="15" width="9.453125" style="129" customWidth="1"/>
    <col min="16" max="17" width="8.7265625" style="129"/>
    <col min="18" max="18" width="11.81640625" style="129" bestFit="1" customWidth="1"/>
    <col min="19" max="16384" width="8.7265625" style="129"/>
  </cols>
  <sheetData>
    <row r="1" spans="1:16" ht="17.5">
      <c r="A1" s="132" t="s">
        <v>310</v>
      </c>
    </row>
    <row r="2" spans="1:16" ht="15.5">
      <c r="A2" s="132" t="s">
        <v>309</v>
      </c>
    </row>
    <row r="7" spans="1:16">
      <c r="O7" s="363"/>
    </row>
    <row r="8" spans="1:16">
      <c r="B8" s="129">
        <v>2020</v>
      </c>
      <c r="C8" s="129">
        <v>2020</v>
      </c>
      <c r="D8" s="129">
        <v>2020</v>
      </c>
      <c r="F8" s="129">
        <v>2021</v>
      </c>
      <c r="G8" s="129">
        <v>2021</v>
      </c>
      <c r="H8" s="129">
        <v>2021</v>
      </c>
      <c r="J8" s="129">
        <v>2022</v>
      </c>
      <c r="K8" s="129">
        <v>2022</v>
      </c>
      <c r="L8" s="129">
        <v>2022</v>
      </c>
      <c r="N8" s="129">
        <v>2023</v>
      </c>
      <c r="O8" s="129">
        <v>2023</v>
      </c>
      <c r="P8" s="129">
        <v>2023</v>
      </c>
    </row>
    <row r="9" spans="1:16">
      <c r="A9" s="129" t="s">
        <v>14</v>
      </c>
      <c r="B9" s="131">
        <v>12470</v>
      </c>
      <c r="C9" s="131">
        <v>81747</v>
      </c>
      <c r="D9" s="130">
        <v>15.254382423819834</v>
      </c>
      <c r="F9" s="131">
        <v>10679</v>
      </c>
      <c r="G9" s="131">
        <v>77305</v>
      </c>
      <c r="H9" s="130">
        <v>13.814112929305997</v>
      </c>
      <c r="J9" s="131">
        <f>VLOOKUP($A9,$A$52:$C$85,2,FALSE)</f>
        <v>15198</v>
      </c>
      <c r="K9" s="131">
        <f>SUM(J9/(L9/100))</f>
        <v>82479.999999999985</v>
      </c>
      <c r="L9" s="130">
        <f>VLOOKUP($A9,$A$52:$C$85,3,FALSE)</f>
        <v>18.426285160038798</v>
      </c>
      <c r="N9" s="131">
        <f>VLOOKUP($A9,$A$52:$E$85,4,FALSE)</f>
        <v>13474</v>
      </c>
      <c r="O9" s="131">
        <f>SUM(N9/(P9/100))</f>
        <v>83088</v>
      </c>
      <c r="P9" s="575">
        <f>VLOOKUP($A9,$A$52:$E$85,5,FALSE)</f>
        <v>16.216541498170614</v>
      </c>
    </row>
    <row r="10" spans="1:16">
      <c r="A10" s="129" t="s">
        <v>15</v>
      </c>
      <c r="B10" s="131">
        <v>10267</v>
      </c>
      <c r="C10" s="131">
        <v>78860</v>
      </c>
      <c r="D10" s="130">
        <v>13.01927466396145</v>
      </c>
      <c r="F10" s="131">
        <v>9811</v>
      </c>
      <c r="G10" s="131">
        <v>76941</v>
      </c>
      <c r="H10" s="131">
        <v>12.751328940356895</v>
      </c>
      <c r="J10" s="131">
        <f t="shared" ref="J10:J42" si="0">VLOOKUP($A10,$A$52:$C$85,2,FALSE)</f>
        <v>9970</v>
      </c>
      <c r="K10" s="131">
        <f t="shared" ref="K10:K40" si="1">SUM(J10/(L10/100))</f>
        <v>78145</v>
      </c>
      <c r="L10" s="130">
        <f t="shared" ref="L10:L42" si="2">VLOOKUP($A10,$A$52:$C$85,3,FALSE)</f>
        <v>12.758333866530169</v>
      </c>
      <c r="N10" s="131">
        <f t="shared" ref="N10:N42" si="3">VLOOKUP($A10,$A$52:$E$85,4,FALSE)</f>
        <v>9678</v>
      </c>
      <c r="O10" s="131">
        <f t="shared" ref="O10:O42" si="4">SUM(N10/(P10/100))</f>
        <v>85191</v>
      </c>
      <c r="P10" s="575">
        <f t="shared" ref="P10:P42" si="5">VLOOKUP($A10,$A$52:$E$85,5,FALSE)</f>
        <v>11.360354967073986</v>
      </c>
    </row>
    <row r="11" spans="1:16">
      <c r="A11" s="129" t="s">
        <v>16</v>
      </c>
      <c r="B11" s="131">
        <v>5876</v>
      </c>
      <c r="C11" s="131">
        <v>35787</v>
      </c>
      <c r="D11" s="130">
        <v>16.419370162349455</v>
      </c>
      <c r="F11" s="131">
        <v>6040</v>
      </c>
      <c r="G11" s="131">
        <v>33831</v>
      </c>
      <c r="H11" s="131">
        <v>17.853448021045786</v>
      </c>
      <c r="J11" s="131">
        <f t="shared" si="0"/>
        <v>6388</v>
      </c>
      <c r="K11" s="131">
        <f t="shared" si="1"/>
        <v>33109</v>
      </c>
      <c r="L11" s="130">
        <f t="shared" si="2"/>
        <v>19.293847594309703</v>
      </c>
      <c r="N11" s="131">
        <f t="shared" si="3"/>
        <v>6693</v>
      </c>
      <c r="O11" s="131">
        <f t="shared" si="4"/>
        <v>31958.000000000004</v>
      </c>
      <c r="P11" s="575">
        <f t="shared" si="5"/>
        <v>20.943112835596718</v>
      </c>
    </row>
    <row r="12" spans="1:16">
      <c r="A12" s="129" t="s">
        <v>17</v>
      </c>
      <c r="B12" s="131">
        <v>3227</v>
      </c>
      <c r="C12" s="131">
        <v>21884</v>
      </c>
      <c r="D12" s="130">
        <v>14.745933101809541</v>
      </c>
      <c r="F12" s="131">
        <v>2900</v>
      </c>
      <c r="G12" s="131">
        <v>21475</v>
      </c>
      <c r="H12" s="131">
        <v>13.50407450523865</v>
      </c>
      <c r="J12" s="131">
        <f t="shared" si="0"/>
        <v>3911</v>
      </c>
      <c r="K12" s="131">
        <f t="shared" si="1"/>
        <v>21021</v>
      </c>
      <c r="L12" s="130">
        <f t="shared" si="2"/>
        <v>18.605204319490035</v>
      </c>
      <c r="N12" s="131">
        <f t="shared" si="3"/>
        <v>4616</v>
      </c>
      <c r="O12" s="131">
        <f t="shared" si="4"/>
        <v>20056.999999999996</v>
      </c>
      <c r="P12" s="575">
        <f t="shared" si="5"/>
        <v>23.014408934536572</v>
      </c>
    </row>
    <row r="13" spans="1:16">
      <c r="A13" s="129" t="s">
        <v>189</v>
      </c>
      <c r="B13" s="131">
        <v>31825</v>
      </c>
      <c r="C13" s="131">
        <v>199425</v>
      </c>
      <c r="D13" s="130">
        <v>15.958380343487526</v>
      </c>
      <c r="F13" s="131">
        <v>24296</v>
      </c>
      <c r="G13" s="131">
        <v>212064</v>
      </c>
      <c r="H13" s="131">
        <v>11.456918666063075</v>
      </c>
      <c r="J13" s="131">
        <f t="shared" si="0"/>
        <v>31304</v>
      </c>
      <c r="K13" s="131">
        <f t="shared" si="1"/>
        <v>207448</v>
      </c>
      <c r="L13" s="130">
        <f t="shared" si="2"/>
        <v>15.090046662296094</v>
      </c>
      <c r="N13" s="131">
        <f t="shared" si="3"/>
        <v>23026</v>
      </c>
      <c r="O13" s="131">
        <f t="shared" si="4"/>
        <v>195731</v>
      </c>
      <c r="P13" s="575">
        <f t="shared" si="5"/>
        <v>11.764104817325819</v>
      </c>
    </row>
    <row r="14" spans="1:16">
      <c r="A14" s="129" t="s">
        <v>18</v>
      </c>
      <c r="B14" s="131">
        <v>2866</v>
      </c>
      <c r="C14" s="131">
        <v>15526.999999999998</v>
      </c>
      <c r="D14" s="130">
        <v>18.458169639981968</v>
      </c>
      <c r="F14" s="131">
        <v>3549</v>
      </c>
      <c r="G14" s="131">
        <v>14970</v>
      </c>
      <c r="H14" s="131">
        <v>23.707414829659317</v>
      </c>
      <c r="J14" s="131">
        <f t="shared" si="0"/>
        <v>4599</v>
      </c>
      <c r="K14" s="131">
        <f t="shared" si="1"/>
        <v>16741</v>
      </c>
      <c r="L14" s="130">
        <f t="shared" si="2"/>
        <v>27.471477211636103</v>
      </c>
      <c r="N14" s="131">
        <f t="shared" si="3"/>
        <v>4737</v>
      </c>
      <c r="O14" s="131">
        <f t="shared" si="4"/>
        <v>16302</v>
      </c>
      <c r="P14" s="575">
        <f t="shared" si="5"/>
        <v>29.057784320942215</v>
      </c>
    </row>
    <row r="15" spans="1:16">
      <c r="A15" s="129" t="s">
        <v>19</v>
      </c>
      <c r="B15" s="131">
        <v>10106</v>
      </c>
      <c r="C15" s="131">
        <v>42588</v>
      </c>
      <c r="D15" s="130">
        <v>23.729689114304499</v>
      </c>
      <c r="F15" s="131">
        <v>9522</v>
      </c>
      <c r="G15" s="131">
        <v>42138</v>
      </c>
      <c r="H15" s="131">
        <v>22.59718069201196</v>
      </c>
      <c r="J15" s="131">
        <f t="shared" si="0"/>
        <v>9797</v>
      </c>
      <c r="K15" s="131">
        <f t="shared" si="1"/>
        <v>43573</v>
      </c>
      <c r="L15" s="130">
        <f t="shared" si="2"/>
        <v>22.484107130562506</v>
      </c>
      <c r="N15" s="131">
        <f t="shared" si="3"/>
        <v>9382</v>
      </c>
      <c r="O15" s="131">
        <f t="shared" si="4"/>
        <v>38411</v>
      </c>
      <c r="P15" s="575">
        <f t="shared" si="5"/>
        <v>24.425294837416363</v>
      </c>
    </row>
    <row r="16" spans="1:16">
      <c r="A16" s="129" t="s">
        <v>20</v>
      </c>
      <c r="B16" s="131">
        <v>9451</v>
      </c>
      <c r="C16" s="131">
        <v>48447.999999999993</v>
      </c>
      <c r="D16" s="130">
        <v>19.507513210039633</v>
      </c>
      <c r="F16" s="131">
        <v>10524</v>
      </c>
      <c r="G16" s="131">
        <v>48061</v>
      </c>
      <c r="H16" s="131">
        <v>21.897172343480161</v>
      </c>
      <c r="J16" s="131">
        <f t="shared" si="0"/>
        <v>10266</v>
      </c>
      <c r="K16" s="131">
        <f t="shared" si="1"/>
        <v>50850</v>
      </c>
      <c r="L16" s="130">
        <f t="shared" si="2"/>
        <v>20.188790560471976</v>
      </c>
      <c r="N16" s="131">
        <f t="shared" si="3"/>
        <v>14255</v>
      </c>
      <c r="O16" s="131">
        <f t="shared" si="4"/>
        <v>52549.000000000007</v>
      </c>
      <c r="P16" s="575">
        <f t="shared" si="5"/>
        <v>27.12706236084416</v>
      </c>
    </row>
    <row r="17" spans="1:16">
      <c r="A17" s="129" t="s">
        <v>21</v>
      </c>
      <c r="B17" s="131">
        <v>6618</v>
      </c>
      <c r="C17" s="131">
        <v>37674.999999999993</v>
      </c>
      <c r="D17" s="130">
        <v>17.566025215660254</v>
      </c>
      <c r="F17" s="131">
        <v>6974</v>
      </c>
      <c r="G17" s="131">
        <v>39246</v>
      </c>
      <c r="H17" s="131">
        <v>17.769963817968708</v>
      </c>
      <c r="J17" s="131">
        <f t="shared" si="0"/>
        <v>7264</v>
      </c>
      <c r="K17" s="131">
        <f t="shared" si="1"/>
        <v>37463.000000000007</v>
      </c>
      <c r="L17" s="130">
        <f t="shared" si="2"/>
        <v>19.389797933961507</v>
      </c>
      <c r="N17" s="131">
        <f t="shared" si="3"/>
        <v>7025</v>
      </c>
      <c r="O17" s="131">
        <f t="shared" si="4"/>
        <v>38342.000000000007</v>
      </c>
      <c r="P17" s="575">
        <f t="shared" si="5"/>
        <v>18.321944603828697</v>
      </c>
    </row>
    <row r="18" spans="1:16">
      <c r="A18" s="129" t="s">
        <v>23</v>
      </c>
      <c r="B18" s="131">
        <v>4352</v>
      </c>
      <c r="C18" s="131">
        <v>31752</v>
      </c>
      <c r="D18" s="130">
        <v>13.706223230032755</v>
      </c>
      <c r="F18" s="131">
        <v>3835</v>
      </c>
      <c r="G18" s="131">
        <v>31262</v>
      </c>
      <c r="H18" s="131">
        <v>12.267289360885419</v>
      </c>
      <c r="J18" s="131">
        <f t="shared" si="0"/>
        <v>5578</v>
      </c>
      <c r="K18" s="131">
        <f t="shared" si="1"/>
        <v>32050</v>
      </c>
      <c r="L18" s="130">
        <f t="shared" si="2"/>
        <v>17.404056162246491</v>
      </c>
      <c r="N18" s="131">
        <f t="shared" si="3"/>
        <v>4507</v>
      </c>
      <c r="O18" s="131">
        <f t="shared" si="4"/>
        <v>32643.000000000004</v>
      </c>
      <c r="P18" s="575">
        <f t="shared" si="5"/>
        <v>13.806941763931011</v>
      </c>
    </row>
    <row r="19" spans="1:16">
      <c r="A19" s="129" t="s">
        <v>25</v>
      </c>
      <c r="B19" s="131">
        <v>8939</v>
      </c>
      <c r="C19" s="131">
        <v>49597.999999999993</v>
      </c>
      <c r="D19" s="130">
        <v>18.022904149360862</v>
      </c>
      <c r="F19" s="131">
        <v>6205</v>
      </c>
      <c r="G19" s="131">
        <v>46649</v>
      </c>
      <c r="H19" s="131">
        <v>13.301464125704731</v>
      </c>
      <c r="J19" s="131">
        <f t="shared" si="0"/>
        <v>7033</v>
      </c>
      <c r="K19" s="131">
        <f t="shared" si="1"/>
        <v>54235</v>
      </c>
      <c r="L19" s="130">
        <f t="shared" si="2"/>
        <v>12.967640822347192</v>
      </c>
      <c r="N19" s="131">
        <f t="shared" si="3"/>
        <v>9210</v>
      </c>
      <c r="O19" s="131">
        <f t="shared" si="4"/>
        <v>50256</v>
      </c>
      <c r="P19" s="575">
        <f t="shared" si="5"/>
        <v>18.326170009551099</v>
      </c>
    </row>
    <row r="20" spans="1:16">
      <c r="A20" s="129" t="s">
        <v>26</v>
      </c>
      <c r="B20" s="131">
        <v>30316</v>
      </c>
      <c r="C20" s="131">
        <v>129924</v>
      </c>
      <c r="D20" s="130">
        <v>23.333641205627906</v>
      </c>
      <c r="F20" s="131">
        <v>28170</v>
      </c>
      <c r="G20" s="131">
        <v>122083</v>
      </c>
      <c r="H20" s="131">
        <v>23.074465732329642</v>
      </c>
      <c r="J20" s="131">
        <f t="shared" si="0"/>
        <v>19851</v>
      </c>
      <c r="K20" s="131">
        <f t="shared" si="1"/>
        <v>121817</v>
      </c>
      <c r="L20" s="130">
        <f t="shared" si="2"/>
        <v>16.295755108071944</v>
      </c>
      <c r="N20" s="131">
        <f t="shared" si="3"/>
        <v>24233</v>
      </c>
      <c r="O20" s="131">
        <f t="shared" si="4"/>
        <v>125060</v>
      </c>
      <c r="P20" s="575">
        <f t="shared" si="5"/>
        <v>19.377098992483607</v>
      </c>
    </row>
    <row r="21" spans="1:16">
      <c r="A21" s="129" t="s">
        <v>28</v>
      </c>
      <c r="B21" s="131">
        <v>8585</v>
      </c>
      <c r="C21" s="131">
        <v>61881.000000000007</v>
      </c>
      <c r="D21" s="130">
        <v>13.873402175142612</v>
      </c>
      <c r="F21" s="131">
        <v>12094</v>
      </c>
      <c r="G21" s="131">
        <v>61422</v>
      </c>
      <c r="H21" s="131">
        <v>19.690013350265378</v>
      </c>
      <c r="J21" s="131">
        <f t="shared" si="0"/>
        <v>9986</v>
      </c>
      <c r="K21" s="131">
        <f t="shared" si="1"/>
        <v>62687</v>
      </c>
      <c r="L21" s="130">
        <f t="shared" si="2"/>
        <v>15.929937626621149</v>
      </c>
      <c r="N21" s="131">
        <f t="shared" si="3"/>
        <v>8008</v>
      </c>
      <c r="O21" s="131">
        <f t="shared" si="4"/>
        <v>66649</v>
      </c>
      <c r="P21" s="575">
        <f t="shared" si="5"/>
        <v>12.015184023766299</v>
      </c>
    </row>
    <row r="22" spans="1:16">
      <c r="A22" s="129" t="s">
        <v>30</v>
      </c>
      <c r="B22" s="131">
        <v>3624</v>
      </c>
      <c r="C22" s="131">
        <v>26900</v>
      </c>
      <c r="D22" s="130">
        <v>13.472118959107807</v>
      </c>
      <c r="F22" s="131">
        <v>2888</v>
      </c>
      <c r="G22" s="131">
        <v>26813</v>
      </c>
      <c r="H22" s="131">
        <v>10.770894715250066</v>
      </c>
      <c r="J22" s="131">
        <f t="shared" si="0"/>
        <v>3043</v>
      </c>
      <c r="K22" s="131">
        <f t="shared" si="1"/>
        <v>27218</v>
      </c>
      <c r="L22" s="130">
        <f t="shared" si="2"/>
        <v>11.18010140348299</v>
      </c>
      <c r="N22" s="131">
        <f t="shared" si="3"/>
        <v>2167</v>
      </c>
      <c r="O22" s="131">
        <f t="shared" si="4"/>
        <v>26807</v>
      </c>
      <c r="P22" s="575">
        <f t="shared" si="5"/>
        <v>8.0837094788674602</v>
      </c>
    </row>
    <row r="23" spans="1:16">
      <c r="A23" s="129" t="s">
        <v>31</v>
      </c>
      <c r="B23" s="131">
        <v>4527</v>
      </c>
      <c r="C23" s="131">
        <v>29287</v>
      </c>
      <c r="D23" s="130">
        <v>15.457370164236691</v>
      </c>
      <c r="F23" s="131">
        <v>4429</v>
      </c>
      <c r="G23" s="131">
        <v>28752</v>
      </c>
      <c r="H23" s="131">
        <v>15.404145798553145</v>
      </c>
      <c r="J23" s="131">
        <f t="shared" si="0"/>
        <v>3616</v>
      </c>
      <c r="K23" s="131">
        <f t="shared" si="1"/>
        <v>29012</v>
      </c>
      <c r="L23" s="130">
        <f t="shared" si="2"/>
        <v>12.463808079415415</v>
      </c>
      <c r="N23" s="131">
        <f t="shared" si="3"/>
        <v>5039</v>
      </c>
      <c r="O23" s="131">
        <f t="shared" si="4"/>
        <v>29700</v>
      </c>
      <c r="P23" s="575">
        <f t="shared" si="5"/>
        <v>16.966329966329965</v>
      </c>
    </row>
    <row r="24" spans="1:16">
      <c r="A24" s="129" t="s">
        <v>32</v>
      </c>
      <c r="B24" s="131">
        <v>842</v>
      </c>
      <c r="C24" s="131">
        <v>6623.9999999999991</v>
      </c>
      <c r="D24" s="130">
        <v>12.711352657004833</v>
      </c>
      <c r="F24" s="131">
        <v>709</v>
      </c>
      <c r="G24" s="131">
        <v>6280</v>
      </c>
      <c r="H24" s="131">
        <v>11.289808917197453</v>
      </c>
      <c r="J24" s="131">
        <f t="shared" si="0"/>
        <v>705</v>
      </c>
      <c r="K24" s="131">
        <f t="shared" si="1"/>
        <v>6467</v>
      </c>
      <c r="L24" s="130">
        <f t="shared" si="2"/>
        <v>10.901499922684398</v>
      </c>
      <c r="N24" s="131">
        <f t="shared" si="3"/>
        <v>1012</v>
      </c>
      <c r="O24" s="131">
        <f t="shared" si="4"/>
        <v>6398</v>
      </c>
      <c r="P24" s="575">
        <f t="shared" si="5"/>
        <v>15.817442950922164</v>
      </c>
    </row>
    <row r="25" spans="1:16">
      <c r="A25" s="129" t="s">
        <v>33</v>
      </c>
      <c r="B25" s="131">
        <v>9147</v>
      </c>
      <c r="C25" s="131">
        <v>39901</v>
      </c>
      <c r="D25" s="130">
        <v>22.924237487782261</v>
      </c>
      <c r="F25" s="131">
        <v>9814</v>
      </c>
      <c r="G25" s="131">
        <v>41083</v>
      </c>
      <c r="H25" s="131">
        <v>23.888226273641166</v>
      </c>
      <c r="J25" s="131">
        <f t="shared" si="0"/>
        <v>10478</v>
      </c>
      <c r="K25" s="131">
        <f t="shared" si="1"/>
        <v>44089</v>
      </c>
      <c r="L25" s="130">
        <f t="shared" si="2"/>
        <v>23.765565106942773</v>
      </c>
      <c r="N25" s="131">
        <f t="shared" si="3"/>
        <v>10090</v>
      </c>
      <c r="O25" s="131">
        <f t="shared" si="4"/>
        <v>40774</v>
      </c>
      <c r="P25" s="575">
        <f t="shared" si="5"/>
        <v>24.746161769755236</v>
      </c>
    </row>
    <row r="26" spans="1:16">
      <c r="A26" s="129" t="s">
        <v>35</v>
      </c>
      <c r="B26" s="379" t="s">
        <v>69</v>
      </c>
      <c r="C26" s="379" t="s">
        <v>69</v>
      </c>
      <c r="D26" s="380" t="s">
        <v>69</v>
      </c>
      <c r="F26" s="131">
        <v>867</v>
      </c>
      <c r="G26" s="131">
        <v>4886</v>
      </c>
      <c r="H26" s="131">
        <v>17.74457634056488</v>
      </c>
      <c r="J26" s="131">
        <f t="shared" si="0"/>
        <v>597</v>
      </c>
      <c r="K26" s="131">
        <f t="shared" si="1"/>
        <v>5084</v>
      </c>
      <c r="L26" s="130">
        <f t="shared" si="2"/>
        <v>11.742722265932336</v>
      </c>
      <c r="N26" s="576" t="s">
        <v>69</v>
      </c>
      <c r="O26" s="576" t="s">
        <v>69</v>
      </c>
      <c r="P26" s="577" t="s">
        <v>69</v>
      </c>
    </row>
    <row r="27" spans="1:16">
      <c r="A27" s="129" t="s">
        <v>36</v>
      </c>
      <c r="B27" s="131">
        <v>5983</v>
      </c>
      <c r="C27" s="131">
        <v>44268</v>
      </c>
      <c r="D27" s="130">
        <v>13.515406162464986</v>
      </c>
      <c r="F27" s="131">
        <v>4443</v>
      </c>
      <c r="G27" s="131">
        <v>43330</v>
      </c>
      <c r="H27" s="131">
        <v>10.253865681975537</v>
      </c>
      <c r="J27" s="131">
        <f t="shared" si="0"/>
        <v>7271</v>
      </c>
      <c r="K27" s="131">
        <f t="shared" si="1"/>
        <v>43934</v>
      </c>
      <c r="L27" s="130">
        <f t="shared" si="2"/>
        <v>16.549824737105659</v>
      </c>
      <c r="N27" s="131">
        <f t="shared" si="3"/>
        <v>7272</v>
      </c>
      <c r="O27" s="131">
        <f t="shared" si="4"/>
        <v>44794</v>
      </c>
      <c r="P27" s="575">
        <f t="shared" si="5"/>
        <v>16.23431709603965</v>
      </c>
    </row>
    <row r="28" spans="1:16">
      <c r="A28" s="129" t="s">
        <v>38</v>
      </c>
      <c r="B28" s="131">
        <v>4053</v>
      </c>
      <c r="C28" s="131">
        <v>32577</v>
      </c>
      <c r="D28" s="130">
        <v>12.441292936734506</v>
      </c>
      <c r="F28" s="131">
        <v>7011</v>
      </c>
      <c r="G28" s="131">
        <v>31326</v>
      </c>
      <c r="H28" s="131">
        <v>22.380769967439189</v>
      </c>
      <c r="J28" s="131">
        <f t="shared" si="0"/>
        <v>5340</v>
      </c>
      <c r="K28" s="131">
        <f t="shared" si="1"/>
        <v>34647</v>
      </c>
      <c r="L28" s="130">
        <f t="shared" si="2"/>
        <v>15.412589834617716</v>
      </c>
      <c r="N28" s="131">
        <f t="shared" si="3"/>
        <v>6307</v>
      </c>
      <c r="O28" s="131">
        <f t="shared" si="4"/>
        <v>32513</v>
      </c>
      <c r="P28" s="575">
        <f t="shared" si="5"/>
        <v>19.398394488358502</v>
      </c>
    </row>
    <row r="29" spans="1:16">
      <c r="A29" s="129" t="s">
        <v>39</v>
      </c>
      <c r="B29" s="131">
        <v>574</v>
      </c>
      <c r="C29" s="131">
        <v>5867</v>
      </c>
      <c r="D29" s="130">
        <v>9.7835350264189529</v>
      </c>
      <c r="F29" s="131">
        <v>1008</v>
      </c>
      <c r="G29" s="131">
        <v>5392</v>
      </c>
      <c r="H29" s="131">
        <v>18.694362017804153</v>
      </c>
      <c r="J29" s="131">
        <f t="shared" si="0"/>
        <v>1029</v>
      </c>
      <c r="K29" s="131">
        <f t="shared" si="1"/>
        <v>6939</v>
      </c>
      <c r="L29" s="130">
        <f t="shared" si="2"/>
        <v>14.829226113272806</v>
      </c>
      <c r="N29" s="576" t="s">
        <v>69</v>
      </c>
      <c r="O29" s="576" t="s">
        <v>69</v>
      </c>
      <c r="P29" s="577" t="s">
        <v>69</v>
      </c>
    </row>
    <row r="30" spans="1:16">
      <c r="A30" s="129" t="s">
        <v>40</v>
      </c>
      <c r="B30" s="131">
        <v>6295</v>
      </c>
      <c r="C30" s="131">
        <v>31626</v>
      </c>
      <c r="D30" s="130">
        <v>19.90450894833365</v>
      </c>
      <c r="F30" s="131">
        <v>7693</v>
      </c>
      <c r="G30" s="131">
        <v>33845</v>
      </c>
      <c r="H30" s="131">
        <v>22.730093071354705</v>
      </c>
      <c r="J30" s="131">
        <f t="shared" si="0"/>
        <v>8560</v>
      </c>
      <c r="K30" s="131">
        <f t="shared" si="1"/>
        <v>32712.000000000004</v>
      </c>
      <c r="L30" s="130">
        <f t="shared" si="2"/>
        <v>26.167767180239665</v>
      </c>
      <c r="N30" s="131">
        <f t="shared" si="3"/>
        <v>10508</v>
      </c>
      <c r="O30" s="131">
        <f t="shared" si="4"/>
        <v>32615</v>
      </c>
      <c r="P30" s="575">
        <f t="shared" si="5"/>
        <v>32.218304461137514</v>
      </c>
    </row>
    <row r="31" spans="1:16">
      <c r="A31" s="129" t="s">
        <v>42</v>
      </c>
      <c r="B31" s="131">
        <v>3960</v>
      </c>
      <c r="C31" s="131">
        <v>27132</v>
      </c>
      <c r="D31" s="130">
        <v>14.595311808934101</v>
      </c>
      <c r="F31" s="131">
        <v>3531</v>
      </c>
      <c r="G31" s="131">
        <v>25370</v>
      </c>
      <c r="H31" s="131">
        <v>13.918013401655498</v>
      </c>
      <c r="J31" s="131">
        <f t="shared" si="0"/>
        <v>4409</v>
      </c>
      <c r="K31" s="131">
        <f t="shared" si="1"/>
        <v>27564.999999999996</v>
      </c>
      <c r="L31" s="130">
        <f t="shared" si="2"/>
        <v>15.994921095592238</v>
      </c>
      <c r="N31" s="131">
        <f t="shared" si="3"/>
        <v>3662</v>
      </c>
      <c r="O31" s="131">
        <f t="shared" si="4"/>
        <v>28265.999999999996</v>
      </c>
      <c r="P31" s="575">
        <f t="shared" si="5"/>
        <v>12.955494233354562</v>
      </c>
    </row>
    <row r="32" spans="1:16">
      <c r="A32" s="129" t="s">
        <v>22</v>
      </c>
      <c r="B32" s="131">
        <v>4529</v>
      </c>
      <c r="C32" s="131">
        <v>28636</v>
      </c>
      <c r="D32" s="130">
        <v>15.81575639055734</v>
      </c>
      <c r="F32" s="131">
        <v>4884</v>
      </c>
      <c r="G32" s="131">
        <v>29143</v>
      </c>
      <c r="H32" s="131">
        <v>16.758741378718732</v>
      </c>
      <c r="J32" s="131">
        <f t="shared" si="0"/>
        <v>4666</v>
      </c>
      <c r="K32" s="131">
        <f t="shared" si="1"/>
        <v>29598.999999999996</v>
      </c>
      <c r="L32" s="130">
        <f t="shared" si="2"/>
        <v>15.764046082637929</v>
      </c>
      <c r="N32" s="131">
        <f t="shared" si="3"/>
        <v>4880</v>
      </c>
      <c r="O32" s="131">
        <f t="shared" si="4"/>
        <v>28991.000000000004</v>
      </c>
      <c r="P32" s="575">
        <f t="shared" si="5"/>
        <v>16.832810182470421</v>
      </c>
    </row>
    <row r="33" spans="1:18">
      <c r="A33" s="129" t="s">
        <v>24</v>
      </c>
      <c r="B33" s="131">
        <v>5112</v>
      </c>
      <c r="C33" s="131">
        <v>27792</v>
      </c>
      <c r="D33" s="130">
        <v>18.393782383419687</v>
      </c>
      <c r="F33" s="131">
        <v>5294</v>
      </c>
      <c r="G33" s="131">
        <v>26598</v>
      </c>
      <c r="H33" s="131">
        <v>19.90375216181668</v>
      </c>
      <c r="J33" s="131">
        <f t="shared" si="0"/>
        <v>2598</v>
      </c>
      <c r="K33" s="131">
        <f t="shared" si="1"/>
        <v>24940</v>
      </c>
      <c r="L33" s="130">
        <f t="shared" si="2"/>
        <v>10.417000801924619</v>
      </c>
      <c r="N33" s="131">
        <f t="shared" si="3"/>
        <v>2857</v>
      </c>
      <c r="O33" s="131">
        <f t="shared" si="4"/>
        <v>25455</v>
      </c>
      <c r="P33" s="575">
        <f t="shared" si="5"/>
        <v>11.223728147711649</v>
      </c>
    </row>
    <row r="34" spans="1:18">
      <c r="A34" s="129" t="s">
        <v>27</v>
      </c>
      <c r="B34" s="131">
        <v>56611</v>
      </c>
      <c r="C34" s="131">
        <v>251675.99999999997</v>
      </c>
      <c r="D34" s="130">
        <v>22.493602886250578</v>
      </c>
      <c r="F34" s="131">
        <v>63040</v>
      </c>
      <c r="G34" s="131">
        <v>258469</v>
      </c>
      <c r="H34" s="131">
        <v>24.389772080984567</v>
      </c>
      <c r="J34" s="131">
        <f t="shared" si="0"/>
        <v>52180</v>
      </c>
      <c r="K34" s="131">
        <f t="shared" si="1"/>
        <v>253502</v>
      </c>
      <c r="L34" s="130">
        <f t="shared" si="2"/>
        <v>20.583664034208805</v>
      </c>
      <c r="N34" s="131">
        <f t="shared" si="3"/>
        <v>50695</v>
      </c>
      <c r="O34" s="131">
        <f t="shared" si="4"/>
        <v>248400</v>
      </c>
      <c r="P34" s="575">
        <f t="shared" si="5"/>
        <v>20.408615136876008</v>
      </c>
    </row>
    <row r="35" spans="1:18">
      <c r="A35" s="129" t="s">
        <v>29</v>
      </c>
      <c r="B35" s="131">
        <v>5225</v>
      </c>
      <c r="C35" s="131">
        <v>23642</v>
      </c>
      <c r="D35" s="130">
        <v>22.100499111750274</v>
      </c>
      <c r="F35" s="131">
        <v>3408</v>
      </c>
      <c r="G35" s="131">
        <v>22769</v>
      </c>
      <c r="H35" s="131">
        <v>14.967719267425009</v>
      </c>
      <c r="J35" s="131">
        <f t="shared" si="0"/>
        <v>4346</v>
      </c>
      <c r="K35" s="131">
        <f t="shared" si="1"/>
        <v>23638</v>
      </c>
      <c r="L35" s="130">
        <f t="shared" si="2"/>
        <v>18.385650224215247</v>
      </c>
      <c r="N35" s="131">
        <f t="shared" si="3"/>
        <v>4033</v>
      </c>
      <c r="O35" s="131">
        <f t="shared" si="4"/>
        <v>22249</v>
      </c>
      <c r="P35" s="575">
        <f t="shared" si="5"/>
        <v>18.126657377859679</v>
      </c>
    </row>
    <row r="36" spans="1:18">
      <c r="A36" s="129" t="s">
        <v>34</v>
      </c>
      <c r="B36" s="131">
        <v>22220</v>
      </c>
      <c r="C36" s="131">
        <v>105711.99999999999</v>
      </c>
      <c r="D36" s="130">
        <v>21.019373391857123</v>
      </c>
      <c r="F36" s="131">
        <v>29844</v>
      </c>
      <c r="G36" s="131">
        <v>110043</v>
      </c>
      <c r="H36" s="131">
        <v>27.120307516152774</v>
      </c>
      <c r="J36" s="131">
        <f t="shared" si="0"/>
        <v>26950</v>
      </c>
      <c r="K36" s="131">
        <f t="shared" si="1"/>
        <v>113707</v>
      </c>
      <c r="L36" s="130">
        <f t="shared" si="2"/>
        <v>23.701267292251138</v>
      </c>
      <c r="N36" s="131">
        <f t="shared" si="3"/>
        <v>20525</v>
      </c>
      <c r="O36" s="131">
        <f t="shared" si="4"/>
        <v>115461</v>
      </c>
      <c r="P36" s="575">
        <f t="shared" si="5"/>
        <v>17.776565247139729</v>
      </c>
    </row>
    <row r="37" spans="1:18">
      <c r="A37" s="129" t="s">
        <v>37</v>
      </c>
      <c r="B37" s="131">
        <v>9422</v>
      </c>
      <c r="C37" s="131">
        <v>57129</v>
      </c>
      <c r="D37" s="130">
        <v>16.492499431112044</v>
      </c>
      <c r="F37" s="131">
        <v>10704</v>
      </c>
      <c r="G37" s="131">
        <v>59902</v>
      </c>
      <c r="H37" s="131">
        <v>17.869186337684887</v>
      </c>
      <c r="J37" s="131">
        <f t="shared" si="0"/>
        <v>11071</v>
      </c>
      <c r="K37" s="131">
        <f t="shared" si="1"/>
        <v>59379</v>
      </c>
      <c r="L37" s="130">
        <f t="shared" si="2"/>
        <v>18.64463867697334</v>
      </c>
      <c r="N37" s="131">
        <f t="shared" si="3"/>
        <v>9808</v>
      </c>
      <c r="O37" s="131">
        <f t="shared" si="4"/>
        <v>57476</v>
      </c>
      <c r="P37" s="575">
        <f t="shared" si="5"/>
        <v>17.064513884055955</v>
      </c>
    </row>
    <row r="38" spans="1:18">
      <c r="A38" s="129" t="s">
        <v>41</v>
      </c>
      <c r="B38" s="131">
        <v>18365</v>
      </c>
      <c r="C38" s="131">
        <v>103824</v>
      </c>
      <c r="D38" s="130">
        <v>17.688588380335954</v>
      </c>
      <c r="F38" s="131">
        <v>19478</v>
      </c>
      <c r="G38" s="131">
        <v>106115</v>
      </c>
      <c r="H38" s="131">
        <v>18.355557649719646</v>
      </c>
      <c r="J38" s="131">
        <f t="shared" si="0"/>
        <v>16803</v>
      </c>
      <c r="K38" s="131">
        <f t="shared" si="1"/>
        <v>106208</v>
      </c>
      <c r="L38" s="130">
        <f t="shared" si="2"/>
        <v>15.820842121120821</v>
      </c>
      <c r="N38" s="131">
        <f t="shared" si="3"/>
        <v>14233</v>
      </c>
      <c r="O38" s="131">
        <f t="shared" si="4"/>
        <v>99649</v>
      </c>
      <c r="P38" s="575">
        <f t="shared" si="5"/>
        <v>14.283133799636724</v>
      </c>
    </row>
    <row r="39" spans="1:18">
      <c r="A39" s="129" t="s">
        <v>43</v>
      </c>
      <c r="B39" s="131">
        <v>5557</v>
      </c>
      <c r="C39" s="131">
        <v>29214</v>
      </c>
      <c r="D39" s="130">
        <v>19.021701923735197</v>
      </c>
      <c r="F39" s="131">
        <v>5322</v>
      </c>
      <c r="G39" s="131">
        <v>28422</v>
      </c>
      <c r="H39" s="131">
        <v>18.724931391175851</v>
      </c>
      <c r="J39" s="131">
        <f t="shared" si="0"/>
        <v>4870</v>
      </c>
      <c r="K39" s="131">
        <f t="shared" si="1"/>
        <v>28263</v>
      </c>
      <c r="L39" s="130">
        <f t="shared" si="2"/>
        <v>17.231008739341188</v>
      </c>
      <c r="N39" s="131">
        <f t="shared" si="3"/>
        <v>6543</v>
      </c>
      <c r="O39" s="131">
        <f t="shared" si="4"/>
        <v>27357</v>
      </c>
      <c r="P39" s="575">
        <f t="shared" si="5"/>
        <v>23.917096172825968</v>
      </c>
    </row>
    <row r="40" spans="1:18">
      <c r="A40" s="129" t="s">
        <v>44</v>
      </c>
      <c r="B40" s="131">
        <v>9044</v>
      </c>
      <c r="C40" s="131">
        <v>58952</v>
      </c>
      <c r="D40" s="130">
        <v>15.341294612566156</v>
      </c>
      <c r="F40" s="131">
        <v>10243</v>
      </c>
      <c r="G40" s="131">
        <v>56255</v>
      </c>
      <c r="H40" s="131">
        <v>18.208159274731134</v>
      </c>
      <c r="J40" s="131">
        <f t="shared" si="0"/>
        <v>10412</v>
      </c>
      <c r="K40" s="131">
        <f t="shared" si="1"/>
        <v>61709.000000000007</v>
      </c>
      <c r="L40" s="130">
        <f t="shared" si="2"/>
        <v>16.872741415352703</v>
      </c>
      <c r="N40" s="131">
        <f t="shared" si="3"/>
        <v>9673</v>
      </c>
      <c r="O40" s="131">
        <f t="shared" si="4"/>
        <v>60886</v>
      </c>
      <c r="P40" s="575">
        <f t="shared" si="5"/>
        <v>15.887067634595804</v>
      </c>
      <c r="R40" s="131"/>
    </row>
    <row r="41" spans="1:18">
      <c r="A41" s="129" t="s">
        <v>47</v>
      </c>
      <c r="B41" s="131">
        <v>127041</v>
      </c>
      <c r="C41" s="131">
        <v>627625</v>
      </c>
      <c r="D41" s="130">
        <v>20.241545508862778</v>
      </c>
      <c r="F41" s="131">
        <v>141974</v>
      </c>
      <c r="G41" s="131">
        <v>641461</v>
      </c>
      <c r="H41" s="131">
        <v>22.132912211342546</v>
      </c>
      <c r="J41" s="131" cm="1">
        <f t="array" ref="J41">SUM(SUMIFS(J9:J40,$A$9:$A$40,{"Glasgow City","Inverclyde","South Lanarkshire","North Lanarkshire","East Renfrewshire","Renfrewshire","West Dunbartonshire","East Dunbatonshire"}))</f>
        <v>118818</v>
      </c>
      <c r="K41" s="131" cm="1">
        <f t="array" ref="K41">SUM(SUMIFS(K9:K40,$A$9:$A$40,{"Glasgow City","Inverclyde","South Lanarkshire","North Lanarkshire","East Renfrewshire","Renfrewshire","West Dunbartonshire","East Dunbatonshire"}))</f>
        <v>609637</v>
      </c>
      <c r="L41" s="130">
        <f>SUM(J41/K41)*100</f>
        <v>19.489958778748665</v>
      </c>
      <c r="N41" s="131" cm="1">
        <f t="array" ref="N41">SUM(SUMIFS(N9:N40,$A$9:$A$40,{"Glasgow City","Inverclyde","South Lanarkshire","North Lanarkshire","East Renfrewshire","Renfrewshire","West Dunbartonshire","East Dunbatonshire"}))</f>
        <v>108694</v>
      </c>
      <c r="O41" s="131" cm="1">
        <f t="array" ref="O41">SUM(SUMIFS(O9:O40,$A$9:$A$40,{"Glasgow City","Inverclyde","South Lanarkshire","North Lanarkshire","East Renfrewshire","Renfrewshire","West Dunbartonshire","East Dunbatonshire"}))</f>
        <v>596047</v>
      </c>
      <c r="P41" s="130">
        <f>SUM(N41/O41)*100</f>
        <v>18.235810263284609</v>
      </c>
    </row>
    <row r="42" spans="1:18">
      <c r="A42" s="129" t="s">
        <v>45</v>
      </c>
      <c r="B42" s="131">
        <v>319006</v>
      </c>
      <c r="C42" s="131">
        <v>1487158.6622390093</v>
      </c>
      <c r="D42" s="130">
        <v>21.450703821992789</v>
      </c>
      <c r="F42" s="131">
        <v>329209</v>
      </c>
      <c r="G42" s="131">
        <v>1772240</v>
      </c>
      <c r="H42" s="131">
        <v>18.57587008531576</v>
      </c>
      <c r="J42" s="131">
        <f t="shared" si="0"/>
        <v>320089</v>
      </c>
      <c r="K42" s="131">
        <f t="shared" ref="K42" si="6">SUM(J42/(L42/100))</f>
        <v>1800230.9999999998</v>
      </c>
      <c r="L42" s="130">
        <f t="shared" si="2"/>
        <v>17.78044039903768</v>
      </c>
      <c r="N42" s="131">
        <f t="shared" si="3"/>
        <v>309060</v>
      </c>
      <c r="O42" s="131">
        <f t="shared" si="4"/>
        <v>1775063</v>
      </c>
      <c r="P42" s="575">
        <f t="shared" si="5"/>
        <v>17.411213010467797</v>
      </c>
    </row>
    <row r="43" spans="1:18">
      <c r="A43" s="198" t="s">
        <v>543</v>
      </c>
      <c r="B43" s="393">
        <f>SUM(SUMIFS(B$9:B$40,$A$9:$A$40,{"Na h-Eileanan Siar","Argyll and Bute","Shetland Islands","Highland","Orkney Islands","Scottish Borders","Dumfries and Galloway","Aberdeenshire"}))</f>
        <v>37654</v>
      </c>
      <c r="C43" s="393">
        <f>SUM(SUMIFS(C$9:C$40,$A$9:$A$40,{"Na h-Eileanan Siar","Argyll and Bute","Shetland Islands","Highland","Orkney Islands","Scottish Borders","Dumfries and Galloway","Aberdeenshire"}))</f>
        <v>250281</v>
      </c>
      <c r="D43" s="394">
        <f>SUM(B43/C43)*100</f>
        <v>15.044689768699982</v>
      </c>
      <c r="F43" s="393">
        <f>SUM(SUMIFS(F$9:F$40,$A$9:$A$40,{"Na h-Eileanan Siar","Argyll and Bute","Shetland Islands","Highland","Orkney Islands","Scottish Borders","Dumfries and Galloway","Aberdeenshire"}))</f>
        <v>43922</v>
      </c>
      <c r="G43" s="393">
        <f>SUM(SUMIFS(G$9:G$40,$A$9:$A$40,{"Na h-Eileanan Siar","Argyll and Bute","Shetland Islands","Highland","Orkney Islands","Scottish Borders","Dumfries and Galloway","Aberdeenshire"}))</f>
        <v>249860</v>
      </c>
      <c r="H43" s="394">
        <f>SUM(F43/G43)*100</f>
        <v>17.578644040662773</v>
      </c>
      <c r="J43" s="393">
        <f>SUM(SUMIFS(J$9:J$40,$A$9:$A$40,{"Na h-Eileanan Siar","Argyll and Bute","Shetland Islands","Highland","Orkney Islands","Scottish Borders","Dumfries and Galloway","Aberdeenshire"}))</f>
        <v>41335</v>
      </c>
      <c r="K43" s="393">
        <f>SUM(SUMIFS(K$9:K$40,$A$9:$A$40,{"Na h-Eileanan Siar","Argyll and Bute","Shetland Islands","Highland","Orkney Islands","Scottish Borders","Dumfries and Galloway","Aberdeenshire"}))</f>
        <v>258563</v>
      </c>
      <c r="L43" s="394">
        <f>SUM(J43/K43)*100</f>
        <v>15.986432706922491</v>
      </c>
      <c r="N43" s="393">
        <f>SUM(SUMIFS(N$9:N$40,$A$9:$A$40,{"Na h-Eileanan Siar","Argyll and Bute","Shetland Islands","Highland","Orkney Islands","Scottish Borders","Dumfries and Galloway","Aberdeenshire"}))</f>
        <v>39003</v>
      </c>
      <c r="O43" s="393">
        <f>SUM(SUMIFS(O$9:O$40,$A$9:$A$40,{"Na h-Eileanan Siar","Argyll and Bute","Shetland Islands","Highland","Orkney Islands","Scottish Borders","Dumfries and Galloway","Aberdeenshire"}))</f>
        <v>249219</v>
      </c>
      <c r="P43" s="394">
        <f>SUM(N43/O43)*100</f>
        <v>15.650090883921369</v>
      </c>
    </row>
    <row r="44" spans="1:18">
      <c r="A44" s="198" t="s">
        <v>544</v>
      </c>
      <c r="B44" s="393">
        <f>SUM(SUMIFS(B$9:B$40,$A$9:$A$40,{"Perth and Kinross","Stirling","Moray","South Ayrshire","East Ayrshire","East Lothian","North Ayrshire","Fife"}))</f>
        <v>71198</v>
      </c>
      <c r="C44" s="393">
        <f>SUM(SUMIFS(C$9:C$40,$A$9:$A$40,{"Perth and Kinross","Stirling","Moray","South Ayrshire","East Ayrshire","East Lothian","North Ayrshire","Fife"}))</f>
        <v>371565</v>
      </c>
      <c r="D44" s="394">
        <f>SUM(B44/C44)*100</f>
        <v>19.161654084749642</v>
      </c>
      <c r="F44" s="393">
        <f>SUM(SUMIFS(F$9:F$40,$A$9:$A$40,{"Perth and Kinross","Stirling","Moray","South Ayrshire","East Ayrshire","East Lothian","North Ayrshire","Fife"}))</f>
        <v>68889</v>
      </c>
      <c r="G44" s="393">
        <f>SUM(SUMIFS(G$9:G$40,$A$9:$A$40,{"Perth and Kinross","Stirling","Moray","South Ayrshire","East Ayrshire","East Lothian","North Ayrshire","Fife"}))</f>
        <v>364971</v>
      </c>
      <c r="H44" s="394">
        <f>SUM(F44/G44)*100</f>
        <v>18.875198303426849</v>
      </c>
      <c r="J44" s="393">
        <f>SUM(SUMIFS(J$9:J$40,$A$9:$A$40,{"Perth and Kinross","Stirling","Moray","South Ayrshire","East Ayrshire","East Lothian","North Ayrshire","Fife"}))</f>
        <v>67027</v>
      </c>
      <c r="K44" s="393">
        <f>SUM(SUMIFS(K$9:K$40,$A$9:$A$40,{"Perth and Kinross","Stirling","Moray","South Ayrshire","East Ayrshire","East Lothian","North Ayrshire","Fife"}))</f>
        <v>368642</v>
      </c>
      <c r="L44" s="394">
        <f>SUM(J44/K44)*100</f>
        <v>18.18213876877838</v>
      </c>
      <c r="N44" s="393">
        <f>SUM(SUMIFS(N$9:N$40,$A$9:$A$40,{"Perth and Kinross","Stirling","Moray","South Ayrshire","East Ayrshire","East Lothian","North Ayrshire","Fife"}))</f>
        <v>72336</v>
      </c>
      <c r="O44" s="393">
        <f>SUM(SUMIFS(O$9:O$40,$A$9:$A$40,{"Perth and Kinross","Stirling","Moray","South Ayrshire","East Ayrshire","East Lothian","North Ayrshire","Fife"}))</f>
        <v>372194</v>
      </c>
      <c r="P44" s="394">
        <f>SUM(N44/O44)*100</f>
        <v>19.43502581986813</v>
      </c>
    </row>
    <row r="45" spans="1:18">
      <c r="A45" s="198" t="s">
        <v>545</v>
      </c>
      <c r="B45" s="393">
        <f>SUM(SUMIFS(B$9:B$40,$A$9:$A$40,{"Angus","Clackmannanshire","Midlothian","South Lanarkshire","Inverclyde","Renfrewshire","West Lothian","East Renfrewshire"}))</f>
        <v>59534</v>
      </c>
      <c r="C45" s="393">
        <f>SUM(SUMIFS(C$9:C$40,$A$9:$A$40,{"Angus","Clackmannanshire","Midlothian","South Lanarkshire","Inverclyde","Renfrewshire","West Lothian","East Renfrewshire"}))</f>
        <v>349553</v>
      </c>
      <c r="D45" s="394">
        <f>SUM(B45/C45)*100</f>
        <v>17.031465900736084</v>
      </c>
      <c r="F45" s="393">
        <f>SUM(SUMIFS(F$9:F$40,$A$9:$A$40,{"Angus","Clackmannanshire","Midlothian","South Lanarkshire","Inverclyde","Renfrewshire","West Lothian","East Renfrewshire"}))</f>
        <v>61604</v>
      </c>
      <c r="G45" s="393">
        <f>SUM(SUMIFS(G$9:G$40,$A$9:$A$40,{"Angus","Clackmannanshire","Midlothian","South Lanarkshire","Inverclyde","Renfrewshire","West Lothian","East Renfrewshire"}))</f>
        <v>347253</v>
      </c>
      <c r="H45" s="394">
        <f>SUM(F45/G45)*100</f>
        <v>17.740379492761761</v>
      </c>
      <c r="J45" s="393">
        <f>SUM(SUMIFS(J$9:J$40,$A$9:$A$40,{"Angus","Clackmannanshire","Midlothian","South Lanarkshire","Inverclyde","Renfrewshire","West Lothian","East Renfrewshire"}))</f>
        <v>59260</v>
      </c>
      <c r="K45" s="393">
        <f>SUM(SUMIFS(K$9:K$40,$A$9:$A$40,{"Angus","Clackmannanshire","Midlothian","South Lanarkshire","Inverclyde","Renfrewshire","West Lothian","East Renfrewshire"}))</f>
        <v>352942</v>
      </c>
      <c r="L45" s="394">
        <f>SUM(J45/K45)*100</f>
        <v>16.790294155980305</v>
      </c>
      <c r="N45" s="393">
        <f>SUM(SUMIFS(N$9:N$40,$A$9:$A$40,{"Angus","Clackmannanshire","Midlothian","South Lanarkshire","Inverclyde","Renfrewshire","West Lothian","East Renfrewshire"}))</f>
        <v>54201</v>
      </c>
      <c r="O45" s="393">
        <f>SUM(SUMIFS(O$9:O$40,$A$9:$A$40,{"Angus","Clackmannanshire","Midlothian","South Lanarkshire","Inverclyde","Renfrewshire","West Lothian","East Renfrewshire"}))</f>
        <v>340782</v>
      </c>
      <c r="P45" s="394">
        <f>SUM(N45/O45)*100</f>
        <v>15.904889342746975</v>
      </c>
    </row>
    <row r="46" spans="1:18">
      <c r="A46" s="198" t="s">
        <v>546</v>
      </c>
      <c r="B46" s="393">
        <f>SUM(SUMIFS(B$9:B$40,$A$9:$A$40,{"North Lanarkshire","Falkirk","East Dunbartonshire","Aberdeen City","Edinburgh, City of","West Dunbartonshire","Dundee City","Glasgow City"}))</f>
        <v>151602</v>
      </c>
      <c r="C46" s="393">
        <f>SUM(SUMIFS(C$9:C$40,$A$9:$A$40,{"North Lanarkshire","Falkirk","East Dunbartonshire","Aberdeen City","Edinburgh, City of","West Dunbartonshire","Dundee City","Glasgow City"}))</f>
        <v>794456</v>
      </c>
      <c r="D46" s="394">
        <f>SUM(B46/C46)*100</f>
        <v>19.082491667254072</v>
      </c>
      <c r="F46" s="393">
        <f>SUM(SUMIFS(F$9:F$40,$A$9:$A$40,{"North Lanarkshire","Falkirk","East Dunbartonshire","Aberdeen City","Edinburgh, City of","West Dunbartonshire","Dundee City","Glasgow City"}))</f>
        <v>154794</v>
      </c>
      <c r="G46" s="393">
        <f>SUM(SUMIFS(G$9:G$40,$A$9:$A$40,{"North Lanarkshire","Falkirk","East Dunbartonshire","Aberdeen City","Edinburgh, City of","West Dunbartonshire","Dundee City","Glasgow City"}))</f>
        <v>810156</v>
      </c>
      <c r="H46" s="394">
        <f>SUM(F46/G46)*100</f>
        <v>19.106690563298919</v>
      </c>
      <c r="J46" s="393">
        <f>SUM(SUMIFS(J$9:J$40,$A$9:$A$40,{"North Lanarkshire","Falkirk","East Dunbartonshire","Aberdeen City","Edinburgh, City of","West Dunbartonshire","Dundee City","Glasgow City"}))</f>
        <v>152467</v>
      </c>
      <c r="K46" s="393">
        <f>SUM(SUMIFS(K$9:K$40,$A$9:$A$40,{"North Lanarkshire","Falkirk","East Dunbartonshire","Aberdeen City","Edinburgh, City of","West Dunbartonshire","Dundee City","Glasgow City"}))</f>
        <v>820084</v>
      </c>
      <c r="L46" s="394">
        <f>SUM(J46/K46)*100</f>
        <v>18.591632076714092</v>
      </c>
      <c r="N46" s="393">
        <f>SUM(SUMIFS(N$9:N$40,$A$9:$A$40,{"North Lanarkshire","Falkirk","East Dunbartonshire","Aberdeen City","Edinburgh, City of","West Dunbartonshire","Dundee City","Glasgow City"}))</f>
        <v>142608</v>
      </c>
      <c r="O46" s="393">
        <f>SUM(SUMIFS(O$9:O$40,$A$9:$A$40,{"North Lanarkshire","Falkirk","East Dunbartonshire","Aberdeen City","Edinburgh, City of","West Dunbartonshire","Dundee City","Glasgow City"}))</f>
        <v>801833</v>
      </c>
      <c r="P46" s="394">
        <f>SUM(N46/O46)*100</f>
        <v>17.785249546975493</v>
      </c>
    </row>
    <row r="47" spans="1:18">
      <c r="A47" s="129" t="s">
        <v>46</v>
      </c>
      <c r="B47" s="131">
        <v>2960031</v>
      </c>
      <c r="C47" s="131">
        <v>18162910.013356198</v>
      </c>
      <c r="D47" s="130">
        <v>16.297118676596011</v>
      </c>
      <c r="F47" s="131">
        <v>2970506</v>
      </c>
      <c r="G47" s="131">
        <v>21015046</v>
      </c>
      <c r="H47" s="131">
        <v>14.135139175997995</v>
      </c>
      <c r="J47" s="131">
        <f t="shared" ref="J47" si="7">VLOOKUP($A47,$A$52:$C$85,2,FALSE)</f>
        <v>2953765</v>
      </c>
      <c r="K47" s="131">
        <f t="shared" ref="K47" si="8">SUM(J47/(L47/100))</f>
        <v>21213593</v>
      </c>
      <c r="L47" s="130">
        <f t="shared" ref="L47" si="9">VLOOKUP($A47,$A$52:$C$85,3,FALSE)</f>
        <v>13.923926041194438</v>
      </c>
      <c r="N47" s="131">
        <f t="shared" ref="N47" si="10">VLOOKUP($A47,$A$52:$E$85,4,FALSE)</f>
        <v>2955658</v>
      </c>
      <c r="O47" s="131">
        <f t="shared" ref="O47" si="11">SUM(N47/(P47/100))</f>
        <v>21281405</v>
      </c>
      <c r="P47" s="575">
        <f t="shared" ref="P47" si="12">VLOOKUP($A47,$A$52:$E$85,5,FALSE)</f>
        <v>13.888453323453035</v>
      </c>
    </row>
    <row r="49" spans="1:5">
      <c r="B49" s="131"/>
    </row>
    <row r="50" spans="1:5">
      <c r="B50" s="129">
        <v>2022</v>
      </c>
      <c r="C50" s="129">
        <v>2022</v>
      </c>
      <c r="D50" s="129">
        <v>2023</v>
      </c>
      <c r="E50" s="129">
        <v>2023</v>
      </c>
    </row>
    <row r="51" spans="1:5" ht="69" customHeight="1">
      <c r="A51" s="449" t="s">
        <v>722</v>
      </c>
      <c r="B51" s="452" t="s">
        <v>723</v>
      </c>
      <c r="C51" s="453" t="s">
        <v>724</v>
      </c>
      <c r="D51" s="452" t="s">
        <v>723</v>
      </c>
      <c r="E51" s="453" t="s">
        <v>724</v>
      </c>
    </row>
    <row r="52" spans="1:5" ht="15.5">
      <c r="A52" s="446" t="s">
        <v>46</v>
      </c>
      <c r="B52" s="447">
        <v>2953765</v>
      </c>
      <c r="C52" s="448">
        <v>13.923926041194438</v>
      </c>
      <c r="D52" s="447">
        <v>2955658</v>
      </c>
      <c r="E52" s="574">
        <v>13.888453323453035</v>
      </c>
    </row>
    <row r="53" spans="1:5" ht="15.5">
      <c r="A53" s="450" t="s">
        <v>45</v>
      </c>
      <c r="B53" s="447">
        <v>320089</v>
      </c>
      <c r="C53" s="448">
        <v>17.78044039903768</v>
      </c>
      <c r="D53" s="447">
        <v>309060</v>
      </c>
      <c r="E53" s="574">
        <v>17.411213010467797</v>
      </c>
    </row>
    <row r="54" spans="1:5" ht="15.5">
      <c r="A54" s="451" t="s">
        <v>14</v>
      </c>
      <c r="B54" s="447">
        <v>15198</v>
      </c>
      <c r="C54" s="448">
        <v>18.426285160038798</v>
      </c>
      <c r="D54" s="447">
        <v>13474</v>
      </c>
      <c r="E54" s="574">
        <v>16.216541498170614</v>
      </c>
    </row>
    <row r="55" spans="1:5" ht="15.5">
      <c r="A55" s="451" t="s">
        <v>15</v>
      </c>
      <c r="B55" s="447">
        <v>9970</v>
      </c>
      <c r="C55" s="448">
        <v>12.758333866530169</v>
      </c>
      <c r="D55" s="447">
        <v>9678</v>
      </c>
      <c r="E55" s="574">
        <v>11.360354967073986</v>
      </c>
    </row>
    <row r="56" spans="1:5" ht="15.5">
      <c r="A56" s="451" t="s">
        <v>16</v>
      </c>
      <c r="B56" s="447">
        <v>6388</v>
      </c>
      <c r="C56" s="448">
        <v>19.293847594309703</v>
      </c>
      <c r="D56" s="447">
        <v>6693</v>
      </c>
      <c r="E56" s="574">
        <v>20.943112835596718</v>
      </c>
    </row>
    <row r="57" spans="1:5" ht="15.5">
      <c r="A57" s="451" t="s">
        <v>17</v>
      </c>
      <c r="B57" s="447">
        <v>3911</v>
      </c>
      <c r="C57" s="448">
        <v>18.605204319490035</v>
      </c>
      <c r="D57" s="447">
        <v>4616</v>
      </c>
      <c r="E57" s="574">
        <v>23.014408934536572</v>
      </c>
    </row>
    <row r="58" spans="1:5" ht="15.5">
      <c r="A58" s="451" t="s">
        <v>189</v>
      </c>
      <c r="B58" s="447">
        <v>31304</v>
      </c>
      <c r="C58" s="448">
        <v>15.090046662296094</v>
      </c>
      <c r="D58" s="447">
        <v>23026</v>
      </c>
      <c r="E58" s="574">
        <v>11.764104817325819</v>
      </c>
    </row>
    <row r="59" spans="1:5" ht="15.5">
      <c r="A59" s="451" t="s">
        <v>18</v>
      </c>
      <c r="B59" s="447">
        <v>4599</v>
      </c>
      <c r="C59" s="448">
        <v>27.471477211636103</v>
      </c>
      <c r="D59" s="447">
        <v>4737</v>
      </c>
      <c r="E59" s="574">
        <v>29.057784320942215</v>
      </c>
    </row>
    <row r="60" spans="1:5" ht="15.5">
      <c r="A60" s="451" t="s">
        <v>19</v>
      </c>
      <c r="B60" s="447">
        <v>9797</v>
      </c>
      <c r="C60" s="448">
        <v>22.484107130562506</v>
      </c>
      <c r="D60" s="447">
        <v>9382</v>
      </c>
      <c r="E60" s="574">
        <v>24.425294837416363</v>
      </c>
    </row>
    <row r="61" spans="1:5" ht="15.5">
      <c r="A61" s="451" t="s">
        <v>20</v>
      </c>
      <c r="B61" s="447">
        <v>10266</v>
      </c>
      <c r="C61" s="448">
        <v>20.188790560471976</v>
      </c>
      <c r="D61" s="447">
        <v>14255</v>
      </c>
      <c r="E61" s="574">
        <v>27.12706236084416</v>
      </c>
    </row>
    <row r="62" spans="1:5" ht="15.5">
      <c r="A62" s="451" t="s">
        <v>21</v>
      </c>
      <c r="B62" s="447">
        <v>7264</v>
      </c>
      <c r="C62" s="448">
        <v>19.389797933961507</v>
      </c>
      <c r="D62" s="447">
        <v>7025</v>
      </c>
      <c r="E62" s="574">
        <v>18.321944603828697</v>
      </c>
    </row>
    <row r="63" spans="1:5" ht="15.5">
      <c r="A63" s="451" t="s">
        <v>22</v>
      </c>
      <c r="B63" s="447">
        <v>4666</v>
      </c>
      <c r="C63" s="448">
        <v>15.764046082637929</v>
      </c>
      <c r="D63" s="447">
        <v>4880</v>
      </c>
      <c r="E63" s="574">
        <v>16.832810182470421</v>
      </c>
    </row>
    <row r="64" spans="1:5" ht="15.5">
      <c r="A64" s="451" t="s">
        <v>23</v>
      </c>
      <c r="B64" s="447">
        <v>5578</v>
      </c>
      <c r="C64" s="448">
        <v>17.404056162246491</v>
      </c>
      <c r="D64" s="447">
        <v>4507</v>
      </c>
      <c r="E64" s="574">
        <v>13.806941763931011</v>
      </c>
    </row>
    <row r="65" spans="1:5" ht="15.5">
      <c r="A65" s="451" t="s">
        <v>24</v>
      </c>
      <c r="B65" s="447">
        <v>2598</v>
      </c>
      <c r="C65" s="448">
        <v>10.417000801924619</v>
      </c>
      <c r="D65" s="447">
        <v>2857</v>
      </c>
      <c r="E65" s="574">
        <v>11.223728147711649</v>
      </c>
    </row>
    <row r="66" spans="1:5" ht="15.5">
      <c r="A66" s="451" t="s">
        <v>25</v>
      </c>
      <c r="B66" s="447">
        <v>7033</v>
      </c>
      <c r="C66" s="448">
        <v>12.967640822347192</v>
      </c>
      <c r="D66" s="447">
        <v>9210</v>
      </c>
      <c r="E66" s="574">
        <v>18.326170009551099</v>
      </c>
    </row>
    <row r="67" spans="1:5" ht="15.5">
      <c r="A67" s="451" t="s">
        <v>26</v>
      </c>
      <c r="B67" s="447">
        <v>19851</v>
      </c>
      <c r="C67" s="448">
        <v>16.295755108071944</v>
      </c>
      <c r="D67" s="447">
        <v>24233</v>
      </c>
      <c r="E67" s="574">
        <v>19.377098992483607</v>
      </c>
    </row>
    <row r="68" spans="1:5" ht="15.5">
      <c r="A68" s="451" t="s">
        <v>27</v>
      </c>
      <c r="B68" s="447">
        <v>52180</v>
      </c>
      <c r="C68" s="448">
        <v>20.583664034208805</v>
      </c>
      <c r="D68" s="447">
        <v>50695</v>
      </c>
      <c r="E68" s="574">
        <v>20.408615136876008</v>
      </c>
    </row>
    <row r="69" spans="1:5" ht="15.5">
      <c r="A69" s="451" t="s">
        <v>28</v>
      </c>
      <c r="B69" s="447">
        <v>9986</v>
      </c>
      <c r="C69" s="448">
        <v>15.929937626621149</v>
      </c>
      <c r="D69" s="447">
        <v>8008</v>
      </c>
      <c r="E69" s="574">
        <v>12.015184023766299</v>
      </c>
    </row>
    <row r="70" spans="1:5" ht="15.5">
      <c r="A70" s="451" t="s">
        <v>29</v>
      </c>
      <c r="B70" s="447">
        <v>4346</v>
      </c>
      <c r="C70" s="448">
        <v>18.385650224215247</v>
      </c>
      <c r="D70" s="447">
        <v>4033</v>
      </c>
      <c r="E70" s="574">
        <v>18.126657377859679</v>
      </c>
    </row>
    <row r="71" spans="1:5" ht="15.5">
      <c r="A71" s="451" t="s">
        <v>30</v>
      </c>
      <c r="B71" s="447">
        <v>3043</v>
      </c>
      <c r="C71" s="448">
        <v>11.18010140348299</v>
      </c>
      <c r="D71" s="447">
        <v>2167</v>
      </c>
      <c r="E71" s="574">
        <v>8.0837094788674602</v>
      </c>
    </row>
    <row r="72" spans="1:5" ht="15.5">
      <c r="A72" s="451" t="s">
        <v>31</v>
      </c>
      <c r="B72" s="447">
        <v>3616</v>
      </c>
      <c r="C72" s="448">
        <v>12.463808079415415</v>
      </c>
      <c r="D72" s="447">
        <v>5039</v>
      </c>
      <c r="E72" s="574">
        <v>16.966329966329965</v>
      </c>
    </row>
    <row r="73" spans="1:5" ht="15.5">
      <c r="A73" s="451" t="s">
        <v>32</v>
      </c>
      <c r="B73" s="447">
        <v>705</v>
      </c>
      <c r="C73" s="448">
        <v>10.901499922684398</v>
      </c>
      <c r="D73" s="447">
        <v>1012</v>
      </c>
      <c r="E73" s="574">
        <v>15.817442950922164</v>
      </c>
    </row>
    <row r="74" spans="1:5" ht="15.5">
      <c r="A74" s="451" t="s">
        <v>33</v>
      </c>
      <c r="B74" s="447">
        <v>10478</v>
      </c>
      <c r="C74" s="448">
        <v>23.765565106942773</v>
      </c>
      <c r="D74" s="447">
        <v>10090</v>
      </c>
      <c r="E74" s="574">
        <v>24.746161769755236</v>
      </c>
    </row>
    <row r="75" spans="1:5" ht="15.5">
      <c r="A75" s="451" t="s">
        <v>34</v>
      </c>
      <c r="B75" s="447">
        <v>26950</v>
      </c>
      <c r="C75" s="448">
        <v>23.701267292251138</v>
      </c>
      <c r="D75" s="447">
        <v>20525</v>
      </c>
      <c r="E75" s="574">
        <v>17.776565247139729</v>
      </c>
    </row>
    <row r="76" spans="1:5" ht="15.5">
      <c r="A76" s="451" t="s">
        <v>35</v>
      </c>
      <c r="B76" s="447">
        <v>597</v>
      </c>
      <c r="C76" s="448">
        <v>11.742722265932336</v>
      </c>
      <c r="D76" s="447" t="s">
        <v>701</v>
      </c>
      <c r="E76" s="574" t="s">
        <v>701</v>
      </c>
    </row>
    <row r="77" spans="1:5" ht="15.5">
      <c r="A77" s="451" t="s">
        <v>36</v>
      </c>
      <c r="B77" s="447">
        <v>7271</v>
      </c>
      <c r="C77" s="448">
        <v>16.549824737105659</v>
      </c>
      <c r="D77" s="447">
        <v>7272</v>
      </c>
      <c r="E77" s="574">
        <v>16.23431709603965</v>
      </c>
    </row>
    <row r="78" spans="1:5" ht="15.5">
      <c r="A78" s="451" t="s">
        <v>37</v>
      </c>
      <c r="B78" s="447">
        <v>11071</v>
      </c>
      <c r="C78" s="448">
        <v>18.64463867697334</v>
      </c>
      <c r="D78" s="447">
        <v>9808</v>
      </c>
      <c r="E78" s="574">
        <v>17.064513884055955</v>
      </c>
    </row>
    <row r="79" spans="1:5" ht="15.5">
      <c r="A79" s="451" t="s">
        <v>38</v>
      </c>
      <c r="B79" s="447">
        <v>5340</v>
      </c>
      <c r="C79" s="448">
        <v>15.412589834617716</v>
      </c>
      <c r="D79" s="447">
        <v>6307</v>
      </c>
      <c r="E79" s="574">
        <v>19.398394488358502</v>
      </c>
    </row>
    <row r="80" spans="1:5" ht="15.5">
      <c r="A80" s="451" t="s">
        <v>39</v>
      </c>
      <c r="B80" s="447">
        <v>1029</v>
      </c>
      <c r="C80" s="448">
        <v>14.829226113272806</v>
      </c>
      <c r="D80" s="447" t="s">
        <v>701</v>
      </c>
      <c r="E80" s="574" t="s">
        <v>701</v>
      </c>
    </row>
    <row r="81" spans="1:5" ht="15.5">
      <c r="A81" s="451" t="s">
        <v>40</v>
      </c>
      <c r="B81" s="447">
        <v>8560</v>
      </c>
      <c r="C81" s="448">
        <v>26.167767180239665</v>
      </c>
      <c r="D81" s="447">
        <v>10508</v>
      </c>
      <c r="E81" s="574">
        <v>32.218304461137514</v>
      </c>
    </row>
    <row r="82" spans="1:5" ht="15.5">
      <c r="A82" s="451" t="s">
        <v>41</v>
      </c>
      <c r="B82" s="447">
        <v>16803</v>
      </c>
      <c r="C82" s="448">
        <v>15.820842121120821</v>
      </c>
      <c r="D82" s="447">
        <v>14233</v>
      </c>
      <c r="E82" s="574">
        <v>14.283133799636724</v>
      </c>
    </row>
    <row r="83" spans="1:5" ht="15.5">
      <c r="A83" s="451" t="s">
        <v>42</v>
      </c>
      <c r="B83" s="447">
        <v>4409</v>
      </c>
      <c r="C83" s="448">
        <v>15.994921095592238</v>
      </c>
      <c r="D83" s="447">
        <v>3662</v>
      </c>
      <c r="E83" s="574">
        <v>12.955494233354562</v>
      </c>
    </row>
    <row r="84" spans="1:5" ht="15.5">
      <c r="A84" s="451" t="s">
        <v>43</v>
      </c>
      <c r="B84" s="447">
        <v>4870</v>
      </c>
      <c r="C84" s="448">
        <v>17.231008739341188</v>
      </c>
      <c r="D84" s="447">
        <v>6543</v>
      </c>
      <c r="E84" s="574">
        <v>23.917096172825968</v>
      </c>
    </row>
    <row r="85" spans="1:5" ht="15.5">
      <c r="A85" s="451" t="s">
        <v>44</v>
      </c>
      <c r="B85" s="447">
        <v>10412</v>
      </c>
      <c r="C85" s="448">
        <v>16.872741415352703</v>
      </c>
      <c r="D85" s="447">
        <v>9673</v>
      </c>
      <c r="E85" s="574">
        <v>15.887067634595804</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autoPageBreaks="0"/>
  </sheetPr>
  <dimension ref="A1:W519"/>
  <sheetViews>
    <sheetView showGridLines="0" topLeftCell="F1" zoomScale="80" zoomScaleNormal="80" workbookViewId="0">
      <selection activeCell="S31" sqref="S31"/>
    </sheetView>
  </sheetViews>
  <sheetFormatPr defaultColWidth="9.1796875" defaultRowHeight="12.5"/>
  <cols>
    <col min="1" max="1" width="24.453125" style="109" bestFit="1" customWidth="1"/>
    <col min="2" max="16" width="13.81640625" style="109" customWidth="1"/>
    <col min="17" max="18" width="9.1796875" style="109"/>
    <col min="19" max="19" width="29.81640625" style="109" customWidth="1"/>
    <col min="20" max="21" width="9.1796875" style="109"/>
    <col min="22" max="22" width="31.81640625" style="109" customWidth="1"/>
    <col min="23" max="16384" width="9.1796875" style="109"/>
  </cols>
  <sheetData>
    <row r="1" spans="1:23" ht="14.5">
      <c r="B1" t="s">
        <v>295</v>
      </c>
      <c r="E1" s="118"/>
    </row>
    <row r="2" spans="1:23">
      <c r="B2" s="117"/>
    </row>
    <row r="3" spans="1:23" ht="14.5">
      <c r="B3" s="116" t="s">
        <v>294</v>
      </c>
      <c r="C3" s="113"/>
      <c r="D3" s="112"/>
      <c r="E3" s="112"/>
      <c r="F3" s="112"/>
    </row>
    <row r="4" spans="1:23" ht="14.5">
      <c r="B4" s="116"/>
      <c r="C4" s="113"/>
      <c r="D4" s="112"/>
      <c r="E4" s="112"/>
      <c r="F4" s="112"/>
    </row>
    <row r="5" spans="1:23" ht="14.5">
      <c r="B5" s="115" t="s">
        <v>187</v>
      </c>
      <c r="C5" s="113"/>
      <c r="D5" s="112"/>
      <c r="E5" s="112"/>
      <c r="F5" s="112"/>
    </row>
    <row r="6" spans="1:23" ht="14.5">
      <c r="B6" s="114" t="s">
        <v>293</v>
      </c>
      <c r="C6" s="113"/>
      <c r="E6" s="112"/>
      <c r="F6" s="112"/>
    </row>
    <row r="7" spans="1:23">
      <c r="E7" s="111"/>
      <c r="F7" s="110"/>
    </row>
    <row r="8" spans="1:23">
      <c r="A8" s="119"/>
      <c r="B8" s="414" t="str">
        <f>$H$61</f>
        <v>2019-20</v>
      </c>
      <c r="C8" s="414" t="str">
        <f>$H$61</f>
        <v>2019-20</v>
      </c>
      <c r="D8" s="414" t="str">
        <f>$H$61</f>
        <v>2019-20</v>
      </c>
      <c r="E8" s="120"/>
      <c r="F8" s="414" t="str">
        <f>$H$60</f>
        <v>2020-21</v>
      </c>
      <c r="G8" s="414" t="str">
        <f>$H$60</f>
        <v>2020-21</v>
      </c>
      <c r="H8" s="414" t="str">
        <f>$H$60</f>
        <v>2020-21</v>
      </c>
      <c r="I8" s="120"/>
      <c r="J8" s="414" t="str">
        <f>$H$59</f>
        <v>2021-22</v>
      </c>
      <c r="K8" s="414" t="str">
        <f>$H$59</f>
        <v>2021-22</v>
      </c>
      <c r="L8" s="414" t="str">
        <f>$H$59</f>
        <v>2021-22</v>
      </c>
      <c r="M8" s="120"/>
      <c r="N8" s="414" t="str">
        <f>$H$58</f>
        <v>2022-23</v>
      </c>
      <c r="O8" s="414" t="str">
        <f>$H$58</f>
        <v>2022-23</v>
      </c>
      <c r="P8" s="414" t="str">
        <f>$H$58</f>
        <v>2022-23</v>
      </c>
      <c r="T8" s="417"/>
      <c r="W8" s="417"/>
    </row>
    <row r="9" spans="1:23">
      <c r="A9" s="119" t="s">
        <v>14</v>
      </c>
      <c r="B9" s="415">
        <f t="shared" ref="B9:B37" si="0">VLOOKUP($A9&amp;B$8,$A$58:$F$486,6,0)</f>
        <v>1312</v>
      </c>
      <c r="C9" s="415">
        <f t="shared" ref="C9:C37" si="1">VLOOKUP($A9&amp;C$8,$A$58:$F$486,5,0)</f>
        <v>1453</v>
      </c>
      <c r="D9" s="416">
        <f>(B9/C9)*100</f>
        <v>90.295939435650368</v>
      </c>
      <c r="E9" s="120"/>
      <c r="F9" s="415">
        <f t="shared" ref="F9:F27" si="2">VLOOKUP($A9&amp;F$8,$A$58:$F$486,6,0)</f>
        <v>1404</v>
      </c>
      <c r="G9" s="415">
        <f t="shared" ref="G9:G37" si="3">VLOOKUP($A9&amp;G$8,$A$58:$F$486,5,0)</f>
        <v>1472</v>
      </c>
      <c r="H9" s="416">
        <f>(F9/G9)*100</f>
        <v>95.380434782608688</v>
      </c>
      <c r="I9" s="120"/>
      <c r="J9" s="415">
        <f t="shared" ref="J9:J27" si="4">VLOOKUP($A9&amp;J$8,$A$58:$F$486,6,0)</f>
        <v>1684</v>
      </c>
      <c r="K9" s="415">
        <f t="shared" ref="K9:K37" si="5">VLOOKUP($A9&amp;K$8,$A$58:$F$486,5,0)</f>
        <v>1795</v>
      </c>
      <c r="L9" s="416">
        <f>(J9/K9)*100</f>
        <v>93.816155988857943</v>
      </c>
      <c r="M9" s="120"/>
      <c r="N9" s="415">
        <f t="shared" ref="N9:N27" si="6">VLOOKUP($A9&amp;N$8,$A$58:$F$486,6,0)</f>
        <v>1691</v>
      </c>
      <c r="O9" s="415">
        <f t="shared" ref="O9:O37" si="7">VLOOKUP($A9&amp;O$8,$A$58:$F$486,5,0)</f>
        <v>1807</v>
      </c>
      <c r="P9" s="416">
        <f>(N9/O9)*100</f>
        <v>93.580520199225234</v>
      </c>
      <c r="T9" s="417"/>
      <c r="W9" s="417"/>
    </row>
    <row r="10" spans="1:23">
      <c r="A10" s="119" t="s">
        <v>15</v>
      </c>
      <c r="B10" s="415">
        <f t="shared" si="0"/>
        <v>2398</v>
      </c>
      <c r="C10" s="415">
        <f t="shared" si="1"/>
        <v>2532</v>
      </c>
      <c r="D10" s="416">
        <f t="shared" ref="D10:D43" si="8">(B10/C10)*100</f>
        <v>94.707740916271717</v>
      </c>
      <c r="E10" s="120"/>
      <c r="F10" s="415">
        <f t="shared" si="2"/>
        <v>2535</v>
      </c>
      <c r="G10" s="415">
        <f t="shared" si="3"/>
        <v>2635</v>
      </c>
      <c r="H10" s="416">
        <f t="shared" ref="H10:H43" si="9">(F10/G10)*100</f>
        <v>96.204933586337759</v>
      </c>
      <c r="I10" s="120"/>
      <c r="J10" s="415">
        <f t="shared" si="4"/>
        <v>2713</v>
      </c>
      <c r="K10" s="415">
        <f t="shared" si="5"/>
        <v>2807</v>
      </c>
      <c r="L10" s="416">
        <f t="shared" ref="L10:L43" si="10">(J10/K10)*100</f>
        <v>96.651229070181685</v>
      </c>
      <c r="M10" s="120"/>
      <c r="N10" s="415">
        <f t="shared" si="6"/>
        <v>2710</v>
      </c>
      <c r="O10" s="415">
        <f t="shared" si="7"/>
        <v>2834</v>
      </c>
      <c r="P10" s="416">
        <f t="shared" ref="P10:P43" si="11">(N10/O10)*100</f>
        <v>95.624558927311227</v>
      </c>
      <c r="T10" s="417"/>
      <c r="W10" s="417"/>
    </row>
    <row r="11" spans="1:23">
      <c r="A11" s="119" t="s">
        <v>16</v>
      </c>
      <c r="B11" s="415">
        <f t="shared" si="0"/>
        <v>1000</v>
      </c>
      <c r="C11" s="415">
        <f t="shared" si="1"/>
        <v>1067</v>
      </c>
      <c r="D11" s="416">
        <f t="shared" si="8"/>
        <v>93.720712277413313</v>
      </c>
      <c r="E11" s="120"/>
      <c r="F11" s="415">
        <f t="shared" si="2"/>
        <v>1146</v>
      </c>
      <c r="G11" s="415">
        <f t="shared" si="3"/>
        <v>1197</v>
      </c>
      <c r="H11" s="416">
        <f t="shared" si="9"/>
        <v>95.739348370927317</v>
      </c>
      <c r="I11" s="120"/>
      <c r="J11" s="415">
        <f t="shared" si="4"/>
        <v>1222</v>
      </c>
      <c r="K11" s="415">
        <f t="shared" si="5"/>
        <v>1312</v>
      </c>
      <c r="L11" s="416">
        <f t="shared" si="10"/>
        <v>93.140243902439025</v>
      </c>
      <c r="M11" s="120"/>
      <c r="N11" s="415">
        <f t="shared" si="6"/>
        <v>1124</v>
      </c>
      <c r="O11" s="415">
        <f t="shared" si="7"/>
        <v>1191</v>
      </c>
      <c r="P11" s="416">
        <f t="shared" si="11"/>
        <v>94.374475230898398</v>
      </c>
      <c r="T11" s="417"/>
      <c r="W11" s="417"/>
    </row>
    <row r="12" spans="1:23">
      <c r="A12" s="119" t="s">
        <v>17</v>
      </c>
      <c r="B12" s="415">
        <f t="shared" si="0"/>
        <v>650</v>
      </c>
      <c r="C12" s="415">
        <f t="shared" si="1"/>
        <v>704</v>
      </c>
      <c r="D12" s="416">
        <f t="shared" si="8"/>
        <v>92.329545454545453</v>
      </c>
      <c r="E12" s="120"/>
      <c r="F12" s="415">
        <f t="shared" si="2"/>
        <v>763</v>
      </c>
      <c r="G12" s="415">
        <f t="shared" si="3"/>
        <v>803</v>
      </c>
      <c r="H12" s="416">
        <f t="shared" si="9"/>
        <v>95.018679950186808</v>
      </c>
      <c r="I12" s="120"/>
      <c r="J12" s="415">
        <f t="shared" si="4"/>
        <v>810</v>
      </c>
      <c r="K12" s="415">
        <f t="shared" si="5"/>
        <v>840</v>
      </c>
      <c r="L12" s="416">
        <f t="shared" si="10"/>
        <v>96.428571428571431</v>
      </c>
      <c r="M12" s="120"/>
      <c r="N12" s="415">
        <f t="shared" si="6"/>
        <v>745</v>
      </c>
      <c r="O12" s="415">
        <f t="shared" si="7"/>
        <v>783</v>
      </c>
      <c r="P12" s="416">
        <f t="shared" si="11"/>
        <v>95.146871008939968</v>
      </c>
      <c r="T12" s="417"/>
      <c r="W12" s="417"/>
    </row>
    <row r="13" spans="1:23">
      <c r="A13" s="119" t="s">
        <v>189</v>
      </c>
      <c r="B13" s="415">
        <f t="shared" si="0"/>
        <v>2813</v>
      </c>
      <c r="C13" s="415">
        <f t="shared" si="1"/>
        <v>3042</v>
      </c>
      <c r="D13" s="416">
        <f t="shared" si="8"/>
        <v>92.472057856673246</v>
      </c>
      <c r="E13" s="120"/>
      <c r="F13" s="415">
        <f t="shared" si="2"/>
        <v>3089</v>
      </c>
      <c r="G13" s="415">
        <f t="shared" si="3"/>
        <v>3247</v>
      </c>
      <c r="H13" s="416">
        <f t="shared" si="9"/>
        <v>95.133969818293806</v>
      </c>
      <c r="I13" s="120"/>
      <c r="J13" s="415">
        <f t="shared" si="4"/>
        <v>3457</v>
      </c>
      <c r="K13" s="415">
        <f t="shared" si="5"/>
        <v>3596</v>
      </c>
      <c r="L13" s="416">
        <f t="shared" si="10"/>
        <v>96.134593993325922</v>
      </c>
      <c r="M13" s="120"/>
      <c r="N13" s="415">
        <f t="shared" si="6"/>
        <v>3524</v>
      </c>
      <c r="O13" s="415">
        <f t="shared" si="7"/>
        <v>3699</v>
      </c>
      <c r="P13" s="416">
        <f t="shared" si="11"/>
        <v>95.268991619356584</v>
      </c>
      <c r="T13" s="417"/>
      <c r="W13" s="417"/>
    </row>
    <row r="14" spans="1:23">
      <c r="A14" s="119" t="s">
        <v>18</v>
      </c>
      <c r="B14" s="415">
        <f t="shared" si="0"/>
        <v>439</v>
      </c>
      <c r="C14" s="415">
        <f t="shared" si="1"/>
        <v>455</v>
      </c>
      <c r="D14" s="416">
        <f t="shared" si="8"/>
        <v>96.483516483516482</v>
      </c>
      <c r="E14" s="120"/>
      <c r="F14" s="415">
        <f t="shared" si="2"/>
        <v>376</v>
      </c>
      <c r="G14" s="415">
        <f t="shared" si="3"/>
        <v>392</v>
      </c>
      <c r="H14" s="416">
        <f t="shared" si="9"/>
        <v>95.918367346938766</v>
      </c>
      <c r="I14" s="120"/>
      <c r="J14" s="415">
        <f t="shared" si="4"/>
        <v>523</v>
      </c>
      <c r="K14" s="415">
        <f t="shared" si="5"/>
        <v>542</v>
      </c>
      <c r="L14" s="416">
        <f t="shared" si="10"/>
        <v>96.494464944649451</v>
      </c>
      <c r="M14" s="120"/>
      <c r="N14" s="415">
        <f t="shared" si="6"/>
        <v>461</v>
      </c>
      <c r="O14" s="415">
        <f t="shared" si="7"/>
        <v>486</v>
      </c>
      <c r="P14" s="416">
        <f t="shared" si="11"/>
        <v>94.855967078189295</v>
      </c>
      <c r="T14" s="417"/>
      <c r="W14" s="417"/>
    </row>
    <row r="15" spans="1:23">
      <c r="A15" s="119" t="s">
        <v>19</v>
      </c>
      <c r="B15" s="415">
        <f t="shared" si="0"/>
        <v>1335</v>
      </c>
      <c r="C15" s="415">
        <f t="shared" si="1"/>
        <v>1440</v>
      </c>
      <c r="D15" s="416">
        <f t="shared" si="8"/>
        <v>92.708333333333343</v>
      </c>
      <c r="E15" s="120"/>
      <c r="F15" s="415">
        <f t="shared" si="2"/>
        <v>1398</v>
      </c>
      <c r="G15" s="415">
        <f t="shared" si="3"/>
        <v>1478</v>
      </c>
      <c r="H15" s="416">
        <f t="shared" si="9"/>
        <v>94.587280108254404</v>
      </c>
      <c r="I15" s="120"/>
      <c r="J15" s="415">
        <f t="shared" si="4"/>
        <v>1579</v>
      </c>
      <c r="K15" s="415">
        <f t="shared" si="5"/>
        <v>1647</v>
      </c>
      <c r="L15" s="416">
        <f t="shared" si="10"/>
        <v>95.871281117182761</v>
      </c>
      <c r="M15" s="120"/>
      <c r="N15" s="415">
        <f t="shared" si="6"/>
        <v>1419</v>
      </c>
      <c r="O15" s="415">
        <f t="shared" si="7"/>
        <v>1479</v>
      </c>
      <c r="P15" s="416">
        <f t="shared" si="11"/>
        <v>95.943204868154154</v>
      </c>
      <c r="T15" s="417"/>
      <c r="W15" s="417"/>
    </row>
    <row r="16" spans="1:23">
      <c r="A16" s="119" t="s">
        <v>20</v>
      </c>
      <c r="B16" s="415">
        <f t="shared" si="0"/>
        <v>1078</v>
      </c>
      <c r="C16" s="415">
        <f t="shared" si="1"/>
        <v>1168</v>
      </c>
      <c r="D16" s="416">
        <f t="shared" si="8"/>
        <v>92.294520547945197</v>
      </c>
      <c r="E16" s="120"/>
      <c r="F16" s="415">
        <f t="shared" si="2"/>
        <v>1146</v>
      </c>
      <c r="G16" s="415">
        <f t="shared" si="3"/>
        <v>1224</v>
      </c>
      <c r="H16" s="416">
        <f t="shared" si="9"/>
        <v>93.627450980392155</v>
      </c>
      <c r="I16" s="120"/>
      <c r="J16" s="415">
        <f t="shared" si="4"/>
        <v>1309</v>
      </c>
      <c r="K16" s="415">
        <f t="shared" si="5"/>
        <v>1394</v>
      </c>
      <c r="L16" s="416">
        <f t="shared" si="10"/>
        <v>93.902439024390233</v>
      </c>
      <c r="M16" s="120"/>
      <c r="N16" s="415">
        <f t="shared" si="6"/>
        <v>1377</v>
      </c>
      <c r="O16" s="415">
        <f t="shared" si="7"/>
        <v>1441</v>
      </c>
      <c r="P16" s="416">
        <f t="shared" si="11"/>
        <v>95.558639833448993</v>
      </c>
      <c r="T16" s="417"/>
      <c r="W16" s="417"/>
    </row>
    <row r="17" spans="1:23">
      <c r="A17" s="119" t="s">
        <v>21</v>
      </c>
      <c r="B17" s="415">
        <f t="shared" si="0"/>
        <v>1073</v>
      </c>
      <c r="C17" s="415">
        <f t="shared" si="1"/>
        <v>1132</v>
      </c>
      <c r="D17" s="416">
        <f t="shared" si="8"/>
        <v>94.78798586572438</v>
      </c>
      <c r="E17" s="120"/>
      <c r="F17" s="415">
        <f t="shared" si="2"/>
        <v>1156</v>
      </c>
      <c r="G17" s="415">
        <f t="shared" si="3"/>
        <v>1208</v>
      </c>
      <c r="H17" s="416">
        <f t="shared" si="9"/>
        <v>95.69536423841059</v>
      </c>
      <c r="I17" s="120"/>
      <c r="J17" s="415">
        <f t="shared" si="4"/>
        <v>1261</v>
      </c>
      <c r="K17" s="415">
        <f t="shared" si="5"/>
        <v>1302</v>
      </c>
      <c r="L17" s="416">
        <f t="shared" si="10"/>
        <v>96.850998463901689</v>
      </c>
      <c r="M17" s="120"/>
      <c r="N17" s="415">
        <f t="shared" si="6"/>
        <v>1242</v>
      </c>
      <c r="O17" s="415">
        <f t="shared" si="7"/>
        <v>1306</v>
      </c>
      <c r="P17" s="416">
        <f t="shared" si="11"/>
        <v>95.09954058192956</v>
      </c>
      <c r="T17" s="417"/>
      <c r="W17" s="417"/>
    </row>
    <row r="18" spans="1:23">
      <c r="A18" s="119" t="s">
        <v>22</v>
      </c>
      <c r="B18" s="415">
        <f t="shared" si="0"/>
        <v>1253</v>
      </c>
      <c r="C18" s="415">
        <f t="shared" si="1"/>
        <v>1285</v>
      </c>
      <c r="D18" s="416">
        <f t="shared" si="8"/>
        <v>97.509727626459139</v>
      </c>
      <c r="E18" s="120"/>
      <c r="F18" s="415">
        <f t="shared" si="2"/>
        <v>1306</v>
      </c>
      <c r="G18" s="415">
        <f t="shared" si="3"/>
        <v>1324</v>
      </c>
      <c r="H18" s="416">
        <f t="shared" si="9"/>
        <v>98.64048338368579</v>
      </c>
      <c r="I18" s="120"/>
      <c r="J18" s="415">
        <f t="shared" si="4"/>
        <v>1412</v>
      </c>
      <c r="K18" s="415">
        <f t="shared" si="5"/>
        <v>1427</v>
      </c>
      <c r="L18" s="416">
        <f t="shared" si="10"/>
        <v>98.948843728100911</v>
      </c>
      <c r="M18" s="120"/>
      <c r="N18" s="415">
        <f t="shared" si="6"/>
        <v>1291</v>
      </c>
      <c r="O18" s="415">
        <f t="shared" si="7"/>
        <v>1309</v>
      </c>
      <c r="P18" s="416">
        <f t="shared" si="11"/>
        <v>98.624904507257455</v>
      </c>
      <c r="T18" s="417"/>
      <c r="W18" s="417"/>
    </row>
    <row r="19" spans="1:23">
      <c r="A19" s="119" t="s">
        <v>23</v>
      </c>
      <c r="B19" s="415">
        <f t="shared" si="0"/>
        <v>850</v>
      </c>
      <c r="C19" s="415">
        <f t="shared" si="1"/>
        <v>919</v>
      </c>
      <c r="D19" s="416">
        <f t="shared" si="8"/>
        <v>92.491838955386285</v>
      </c>
      <c r="E19" s="120"/>
      <c r="F19" s="415">
        <f t="shared" si="2"/>
        <v>1047</v>
      </c>
      <c r="G19" s="415">
        <f t="shared" si="3"/>
        <v>1089</v>
      </c>
      <c r="H19" s="416">
        <f t="shared" si="9"/>
        <v>96.143250688705237</v>
      </c>
      <c r="I19" s="120"/>
      <c r="J19" s="415">
        <f t="shared" si="4"/>
        <v>1054</v>
      </c>
      <c r="K19" s="415">
        <f t="shared" si="5"/>
        <v>1102</v>
      </c>
      <c r="L19" s="416">
        <f t="shared" si="10"/>
        <v>95.644283121597098</v>
      </c>
      <c r="M19" s="120"/>
      <c r="N19" s="415">
        <f t="shared" si="6"/>
        <v>1132</v>
      </c>
      <c r="O19" s="415">
        <f t="shared" si="7"/>
        <v>1176</v>
      </c>
      <c r="P19" s="416">
        <f t="shared" si="11"/>
        <v>96.258503401360542</v>
      </c>
      <c r="T19" s="417"/>
      <c r="W19" s="417"/>
    </row>
    <row r="20" spans="1:23">
      <c r="A20" s="119" t="s">
        <v>24</v>
      </c>
      <c r="B20" s="415">
        <f t="shared" si="0"/>
        <v>1252</v>
      </c>
      <c r="C20" s="415">
        <f t="shared" si="1"/>
        <v>1301</v>
      </c>
      <c r="D20" s="416">
        <f t="shared" si="8"/>
        <v>96.233666410453495</v>
      </c>
      <c r="E20" s="120"/>
      <c r="F20" s="415">
        <f t="shared" si="2"/>
        <v>1347</v>
      </c>
      <c r="G20" s="415">
        <f t="shared" si="3"/>
        <v>1383</v>
      </c>
      <c r="H20" s="416">
        <f t="shared" si="9"/>
        <v>97.396963123644255</v>
      </c>
      <c r="I20" s="120"/>
      <c r="J20" s="415">
        <f t="shared" si="4"/>
        <v>1408</v>
      </c>
      <c r="K20" s="415">
        <f t="shared" si="5"/>
        <v>1430</v>
      </c>
      <c r="L20" s="416">
        <f t="shared" si="10"/>
        <v>98.461538461538467</v>
      </c>
      <c r="M20" s="120"/>
      <c r="N20" s="415">
        <f t="shared" si="6"/>
        <v>1336</v>
      </c>
      <c r="O20" s="415">
        <f t="shared" si="7"/>
        <v>1353</v>
      </c>
      <c r="P20" s="416">
        <f t="shared" si="11"/>
        <v>98.743532889874359</v>
      </c>
      <c r="T20" s="417"/>
      <c r="W20" s="417"/>
    </row>
    <row r="21" spans="1:23">
      <c r="A21" s="119" t="s">
        <v>25</v>
      </c>
      <c r="B21" s="415">
        <f t="shared" si="0"/>
        <v>1370</v>
      </c>
      <c r="C21" s="415">
        <f t="shared" si="1"/>
        <v>1483</v>
      </c>
      <c r="D21" s="416">
        <f t="shared" si="8"/>
        <v>92.380310182063383</v>
      </c>
      <c r="E21" s="120"/>
      <c r="F21" s="415">
        <f t="shared" si="2"/>
        <v>1483</v>
      </c>
      <c r="G21" s="415">
        <f t="shared" si="3"/>
        <v>1554</v>
      </c>
      <c r="H21" s="416">
        <f t="shared" si="9"/>
        <v>95.431145431145438</v>
      </c>
      <c r="I21" s="120"/>
      <c r="J21" s="415">
        <f t="shared" si="4"/>
        <v>1606</v>
      </c>
      <c r="K21" s="415">
        <f t="shared" si="5"/>
        <v>1704</v>
      </c>
      <c r="L21" s="416">
        <f t="shared" si="10"/>
        <v>94.248826291079808</v>
      </c>
      <c r="M21" s="120"/>
      <c r="N21" s="415">
        <f t="shared" si="6"/>
        <v>1685</v>
      </c>
      <c r="O21" s="415">
        <f t="shared" si="7"/>
        <v>1766</v>
      </c>
      <c r="P21" s="416">
        <f t="shared" si="11"/>
        <v>95.413363533408841</v>
      </c>
      <c r="T21" s="417"/>
      <c r="W21" s="417"/>
    </row>
    <row r="22" spans="1:23">
      <c r="A22" s="119" t="s">
        <v>26</v>
      </c>
      <c r="B22" s="415">
        <f t="shared" si="0"/>
        <v>3130</v>
      </c>
      <c r="C22" s="415">
        <f t="shared" si="1"/>
        <v>3406</v>
      </c>
      <c r="D22" s="416">
        <f t="shared" si="8"/>
        <v>91.896652965355258</v>
      </c>
      <c r="E22" s="120"/>
      <c r="F22" s="415">
        <f t="shared" si="2"/>
        <v>3522</v>
      </c>
      <c r="G22" s="415">
        <f t="shared" si="3"/>
        <v>3752</v>
      </c>
      <c r="H22" s="416">
        <f t="shared" si="9"/>
        <v>93.869936034115142</v>
      </c>
      <c r="I22" s="120"/>
      <c r="J22" s="415">
        <f t="shared" si="4"/>
        <v>3877</v>
      </c>
      <c r="K22" s="415">
        <f t="shared" si="5"/>
        <v>4088</v>
      </c>
      <c r="L22" s="416">
        <f t="shared" si="10"/>
        <v>94.838551859099809</v>
      </c>
      <c r="M22" s="120"/>
      <c r="N22" s="415">
        <f t="shared" si="6"/>
        <v>3734</v>
      </c>
      <c r="O22" s="415">
        <f t="shared" si="7"/>
        <v>3920</v>
      </c>
      <c r="P22" s="416">
        <f t="shared" si="11"/>
        <v>95.255102040816325</v>
      </c>
      <c r="T22" s="417"/>
      <c r="W22" s="417"/>
    </row>
    <row r="23" spans="1:23">
      <c r="A23" s="119" t="s">
        <v>27</v>
      </c>
      <c r="B23" s="415">
        <f t="shared" si="0"/>
        <v>4000</v>
      </c>
      <c r="C23" s="415">
        <f t="shared" si="1"/>
        <v>4311</v>
      </c>
      <c r="D23" s="416">
        <f t="shared" si="8"/>
        <v>92.785896543725357</v>
      </c>
      <c r="E23" s="120"/>
      <c r="F23" s="415">
        <f t="shared" si="2"/>
        <v>4405</v>
      </c>
      <c r="G23" s="415">
        <f t="shared" si="3"/>
        <v>4578</v>
      </c>
      <c r="H23" s="416">
        <f t="shared" si="9"/>
        <v>96.221057230231537</v>
      </c>
      <c r="I23" s="120"/>
      <c r="J23" s="415">
        <f t="shared" si="4"/>
        <v>4838</v>
      </c>
      <c r="K23" s="415">
        <f t="shared" si="5"/>
        <v>4985</v>
      </c>
      <c r="L23" s="416">
        <f t="shared" si="10"/>
        <v>97.051153460381144</v>
      </c>
      <c r="M23" s="120"/>
      <c r="N23" s="415">
        <f t="shared" si="6"/>
        <v>4893</v>
      </c>
      <c r="O23" s="415">
        <f t="shared" si="7"/>
        <v>5007</v>
      </c>
      <c r="P23" s="416">
        <f t="shared" si="11"/>
        <v>97.723187537447572</v>
      </c>
      <c r="T23" s="417"/>
      <c r="W23" s="417"/>
    </row>
    <row r="24" spans="1:23">
      <c r="A24" s="119" t="s">
        <v>28</v>
      </c>
      <c r="B24" s="415">
        <f t="shared" si="0"/>
        <v>2053</v>
      </c>
      <c r="C24" s="415">
        <f t="shared" si="1"/>
        <v>2220</v>
      </c>
      <c r="D24" s="416">
        <f t="shared" si="8"/>
        <v>92.477477477477478</v>
      </c>
      <c r="E24" s="120"/>
      <c r="F24" s="415">
        <f t="shared" si="2"/>
        <v>2199</v>
      </c>
      <c r="G24" s="415">
        <f t="shared" si="3"/>
        <v>2333</v>
      </c>
      <c r="H24" s="416">
        <f t="shared" si="9"/>
        <v>94.25632233176168</v>
      </c>
      <c r="I24" s="120"/>
      <c r="J24" s="415">
        <f t="shared" si="4"/>
        <v>2420</v>
      </c>
      <c r="K24" s="415">
        <f t="shared" si="5"/>
        <v>2562</v>
      </c>
      <c r="L24" s="416">
        <f t="shared" si="10"/>
        <v>94.457455113192822</v>
      </c>
      <c r="M24" s="120"/>
      <c r="N24" s="415">
        <f t="shared" si="6"/>
        <v>2358</v>
      </c>
      <c r="O24" s="415">
        <f t="shared" si="7"/>
        <v>2475</v>
      </c>
      <c r="P24" s="416">
        <f t="shared" si="11"/>
        <v>95.27272727272728</v>
      </c>
      <c r="T24" s="417"/>
      <c r="W24" s="417"/>
    </row>
    <row r="25" spans="1:23">
      <c r="A25" s="119" t="s">
        <v>29</v>
      </c>
      <c r="B25" s="415">
        <f t="shared" si="0"/>
        <v>695</v>
      </c>
      <c r="C25" s="415">
        <f t="shared" si="1"/>
        <v>747</v>
      </c>
      <c r="D25" s="416">
        <f t="shared" si="8"/>
        <v>93.038821954484604</v>
      </c>
      <c r="E25" s="120"/>
      <c r="F25" s="415">
        <f t="shared" si="2"/>
        <v>705</v>
      </c>
      <c r="G25" s="415">
        <f t="shared" si="3"/>
        <v>739</v>
      </c>
      <c r="H25" s="416">
        <f t="shared" si="9"/>
        <v>95.399188092016246</v>
      </c>
      <c r="I25" s="120"/>
      <c r="J25" s="415">
        <f t="shared" si="4"/>
        <v>785</v>
      </c>
      <c r="K25" s="415">
        <f t="shared" si="5"/>
        <v>835</v>
      </c>
      <c r="L25" s="416">
        <f t="shared" si="10"/>
        <v>94.011976047904184</v>
      </c>
      <c r="M25" s="120"/>
      <c r="N25" s="415">
        <f t="shared" si="6"/>
        <v>777</v>
      </c>
      <c r="O25" s="415">
        <f t="shared" si="7"/>
        <v>806</v>
      </c>
      <c r="P25" s="416">
        <f t="shared" si="11"/>
        <v>96.40198511166254</v>
      </c>
      <c r="T25" s="417"/>
      <c r="W25" s="417"/>
    </row>
    <row r="26" spans="1:23">
      <c r="A26" s="119" t="s">
        <v>30</v>
      </c>
      <c r="B26" s="415">
        <f t="shared" si="0"/>
        <v>734</v>
      </c>
      <c r="C26" s="415">
        <f t="shared" si="1"/>
        <v>777</v>
      </c>
      <c r="D26" s="416">
        <f t="shared" si="8"/>
        <v>94.465894465894465</v>
      </c>
      <c r="E26" s="120"/>
      <c r="F26" s="415">
        <f t="shared" si="2"/>
        <v>837</v>
      </c>
      <c r="G26" s="415">
        <f t="shared" si="3"/>
        <v>877</v>
      </c>
      <c r="H26" s="416">
        <f t="shared" si="9"/>
        <v>95.43899657924743</v>
      </c>
      <c r="I26" s="120"/>
      <c r="J26" s="415">
        <f t="shared" si="4"/>
        <v>1038</v>
      </c>
      <c r="K26" s="415">
        <f t="shared" si="5"/>
        <v>1087</v>
      </c>
      <c r="L26" s="416">
        <f t="shared" si="10"/>
        <v>95.492180312787482</v>
      </c>
      <c r="M26" s="120"/>
      <c r="N26" s="415">
        <f t="shared" si="6"/>
        <v>932</v>
      </c>
      <c r="O26" s="415">
        <f t="shared" si="7"/>
        <v>978</v>
      </c>
      <c r="P26" s="416">
        <f t="shared" si="11"/>
        <v>95.296523517382411</v>
      </c>
      <c r="T26" s="417"/>
      <c r="W26" s="417"/>
    </row>
    <row r="27" spans="1:23">
      <c r="A27" s="119" t="s">
        <v>31</v>
      </c>
      <c r="B27" s="415">
        <f t="shared" si="0"/>
        <v>779</v>
      </c>
      <c r="C27" s="415">
        <f t="shared" si="1"/>
        <v>837</v>
      </c>
      <c r="D27" s="416">
        <f t="shared" si="8"/>
        <v>93.070489844683394</v>
      </c>
      <c r="E27" s="120"/>
      <c r="F27" s="415">
        <f t="shared" si="2"/>
        <v>827</v>
      </c>
      <c r="G27" s="415">
        <f t="shared" si="3"/>
        <v>879</v>
      </c>
      <c r="H27" s="416">
        <f t="shared" si="9"/>
        <v>94.084186575654144</v>
      </c>
      <c r="I27" s="120"/>
      <c r="J27" s="415">
        <f t="shared" si="4"/>
        <v>926</v>
      </c>
      <c r="K27" s="415">
        <f t="shared" si="5"/>
        <v>963</v>
      </c>
      <c r="L27" s="416">
        <f t="shared" si="10"/>
        <v>96.157840083073737</v>
      </c>
      <c r="M27" s="120"/>
      <c r="N27" s="415">
        <f t="shared" si="6"/>
        <v>925</v>
      </c>
      <c r="O27" s="415">
        <f t="shared" si="7"/>
        <v>973</v>
      </c>
      <c r="P27" s="416">
        <f t="shared" si="11"/>
        <v>95.066803699897235</v>
      </c>
      <c r="T27" s="417"/>
      <c r="W27" s="417"/>
    </row>
    <row r="28" spans="1:23">
      <c r="A28" s="119" t="s">
        <v>32</v>
      </c>
      <c r="B28" s="415" t="s">
        <v>69</v>
      </c>
      <c r="C28" s="415" t="s">
        <v>69</v>
      </c>
      <c r="D28" s="415" t="s">
        <v>69</v>
      </c>
      <c r="E28" s="120"/>
      <c r="F28" s="415" t="s">
        <v>69</v>
      </c>
      <c r="G28" s="415" t="s">
        <v>69</v>
      </c>
      <c r="H28" s="416" t="s">
        <v>69</v>
      </c>
      <c r="I28" s="120"/>
      <c r="J28" s="415" t="s">
        <v>69</v>
      </c>
      <c r="K28" s="415" t="s">
        <v>69</v>
      </c>
      <c r="L28" s="416" t="s">
        <v>69</v>
      </c>
      <c r="M28" s="120"/>
      <c r="N28" s="415" t="s">
        <v>69</v>
      </c>
      <c r="O28" s="415" t="s">
        <v>69</v>
      </c>
      <c r="P28" s="416" t="s">
        <v>69</v>
      </c>
      <c r="T28" s="417"/>
      <c r="W28" s="417"/>
    </row>
    <row r="29" spans="1:23">
      <c r="A29" s="119" t="s">
        <v>33</v>
      </c>
      <c r="B29" s="415">
        <f t="shared" si="0"/>
        <v>1163</v>
      </c>
      <c r="C29" s="415">
        <f t="shared" si="1"/>
        <v>1258</v>
      </c>
      <c r="D29" s="416">
        <f t="shared" si="8"/>
        <v>92.448330683624803</v>
      </c>
      <c r="E29" s="120"/>
      <c r="F29" s="415">
        <f t="shared" ref="F29:F37" si="12">VLOOKUP($A29&amp;F$8,$A$58:$F$486,6,0)</f>
        <v>1309</v>
      </c>
      <c r="G29" s="415">
        <f t="shared" si="3"/>
        <v>1375</v>
      </c>
      <c r="H29" s="416">
        <f t="shared" si="9"/>
        <v>95.199999999999989</v>
      </c>
      <c r="I29" s="120"/>
      <c r="J29" s="415">
        <f t="shared" ref="J29:J37" si="13">VLOOKUP($A29&amp;J$8,$A$58:$F$486,6,0)</f>
        <v>1459</v>
      </c>
      <c r="K29" s="415">
        <f t="shared" si="5"/>
        <v>1520</v>
      </c>
      <c r="L29" s="416">
        <f t="shared" si="10"/>
        <v>95.986842105263165</v>
      </c>
      <c r="M29" s="120"/>
      <c r="N29" s="415">
        <f t="shared" ref="N29:N37" si="14">VLOOKUP($A29&amp;N$8,$A$58:$F$486,6,0)</f>
        <v>1417</v>
      </c>
      <c r="O29" s="415">
        <f t="shared" si="7"/>
        <v>1468</v>
      </c>
      <c r="P29" s="416">
        <f t="shared" si="11"/>
        <v>96.525885558583099</v>
      </c>
      <c r="T29" s="417"/>
      <c r="W29" s="417"/>
    </row>
    <row r="30" spans="1:23">
      <c r="A30" s="119" t="s">
        <v>34</v>
      </c>
      <c r="B30" s="415">
        <f t="shared" si="0"/>
        <v>3126</v>
      </c>
      <c r="C30" s="415">
        <f t="shared" si="1"/>
        <v>3390</v>
      </c>
      <c r="D30" s="416">
        <f t="shared" si="8"/>
        <v>92.212389380530965</v>
      </c>
      <c r="E30" s="120"/>
      <c r="F30" s="415">
        <f t="shared" si="12"/>
        <v>3492</v>
      </c>
      <c r="G30" s="415">
        <f t="shared" si="3"/>
        <v>3696</v>
      </c>
      <c r="H30" s="416">
        <f t="shared" si="9"/>
        <v>94.480519480519476</v>
      </c>
      <c r="I30" s="120"/>
      <c r="J30" s="415">
        <f t="shared" si="13"/>
        <v>3676</v>
      </c>
      <c r="K30" s="415">
        <f t="shared" si="5"/>
        <v>3904</v>
      </c>
      <c r="L30" s="416">
        <f t="shared" si="10"/>
        <v>94.159836065573771</v>
      </c>
      <c r="M30" s="120"/>
      <c r="N30" s="415">
        <f t="shared" si="14"/>
        <v>3796</v>
      </c>
      <c r="O30" s="415">
        <f t="shared" si="7"/>
        <v>4007</v>
      </c>
      <c r="P30" s="416">
        <f t="shared" si="11"/>
        <v>94.734215123533815</v>
      </c>
      <c r="T30" s="417"/>
      <c r="W30" s="417"/>
    </row>
    <row r="31" spans="1:23">
      <c r="A31" s="119" t="s">
        <v>35</v>
      </c>
      <c r="B31" s="415">
        <f t="shared" si="0"/>
        <v>170</v>
      </c>
      <c r="C31" s="415">
        <f t="shared" si="1"/>
        <v>185</v>
      </c>
      <c r="D31" s="416">
        <f t="shared" si="8"/>
        <v>91.891891891891902</v>
      </c>
      <c r="E31" s="120"/>
      <c r="F31" s="415">
        <f t="shared" si="12"/>
        <v>195</v>
      </c>
      <c r="G31" s="415">
        <f t="shared" si="3"/>
        <v>202</v>
      </c>
      <c r="H31" s="416">
        <f t="shared" si="9"/>
        <v>96.534653465346537</v>
      </c>
      <c r="I31" s="120"/>
      <c r="J31" s="415">
        <f t="shared" si="13"/>
        <v>202</v>
      </c>
      <c r="K31" s="415">
        <f t="shared" si="5"/>
        <v>213</v>
      </c>
      <c r="L31" s="416">
        <f t="shared" si="10"/>
        <v>94.835680751173712</v>
      </c>
      <c r="M31" s="120"/>
      <c r="N31" s="415" t="s">
        <v>69</v>
      </c>
      <c r="O31" s="415" t="s">
        <v>69</v>
      </c>
      <c r="P31" s="415" t="s">
        <v>69</v>
      </c>
      <c r="T31" s="417"/>
      <c r="W31" s="417"/>
    </row>
    <row r="32" spans="1:23">
      <c r="A32" s="119" t="s">
        <v>36</v>
      </c>
      <c r="B32" s="415">
        <f t="shared" si="0"/>
        <v>1104</v>
      </c>
      <c r="C32" s="415">
        <f t="shared" si="1"/>
        <v>1172</v>
      </c>
      <c r="D32" s="416">
        <f t="shared" si="8"/>
        <v>94.197952218430032</v>
      </c>
      <c r="E32" s="120"/>
      <c r="F32" s="415">
        <f t="shared" si="12"/>
        <v>1368</v>
      </c>
      <c r="G32" s="415">
        <f t="shared" si="3"/>
        <v>1417</v>
      </c>
      <c r="H32" s="416">
        <f t="shared" si="9"/>
        <v>96.541990119971771</v>
      </c>
      <c r="I32" s="120"/>
      <c r="J32" s="415">
        <f t="shared" si="13"/>
        <v>1388</v>
      </c>
      <c r="K32" s="415">
        <f t="shared" si="5"/>
        <v>1464</v>
      </c>
      <c r="L32" s="416">
        <f t="shared" si="10"/>
        <v>94.808743169398909</v>
      </c>
      <c r="M32" s="120"/>
      <c r="N32" s="415">
        <f t="shared" si="14"/>
        <v>1288</v>
      </c>
      <c r="O32" s="415">
        <f t="shared" si="7"/>
        <v>1342</v>
      </c>
      <c r="P32" s="416">
        <f t="shared" si="11"/>
        <v>95.97615499254843</v>
      </c>
      <c r="T32" s="417"/>
      <c r="W32" s="417"/>
    </row>
    <row r="33" spans="1:23">
      <c r="A33" s="119" t="s">
        <v>37</v>
      </c>
      <c r="B33" s="415">
        <f t="shared" si="0"/>
        <v>1539</v>
      </c>
      <c r="C33" s="415">
        <f t="shared" si="1"/>
        <v>1638</v>
      </c>
      <c r="D33" s="416">
        <f t="shared" si="8"/>
        <v>93.956043956043956</v>
      </c>
      <c r="E33" s="120"/>
      <c r="F33" s="415">
        <f t="shared" si="12"/>
        <v>1608</v>
      </c>
      <c r="G33" s="415">
        <f t="shared" si="3"/>
        <v>1666</v>
      </c>
      <c r="H33" s="416">
        <f t="shared" si="9"/>
        <v>96.518607442977185</v>
      </c>
      <c r="I33" s="120"/>
      <c r="J33" s="415">
        <f t="shared" si="13"/>
        <v>1844</v>
      </c>
      <c r="K33" s="415">
        <f t="shared" si="5"/>
        <v>1908</v>
      </c>
      <c r="L33" s="416">
        <f t="shared" si="10"/>
        <v>96.645702306079656</v>
      </c>
      <c r="M33" s="120"/>
      <c r="N33" s="415">
        <f t="shared" si="14"/>
        <v>1867</v>
      </c>
      <c r="O33" s="415">
        <f t="shared" si="7"/>
        <v>1937</v>
      </c>
      <c r="P33" s="416">
        <f t="shared" si="11"/>
        <v>96.386164171399074</v>
      </c>
      <c r="T33" s="417"/>
      <c r="W33" s="417"/>
    </row>
    <row r="34" spans="1:23">
      <c r="A34" s="119" t="s">
        <v>38</v>
      </c>
      <c r="B34" s="415">
        <f t="shared" si="0"/>
        <v>1025</v>
      </c>
      <c r="C34" s="415">
        <f t="shared" si="1"/>
        <v>1083</v>
      </c>
      <c r="D34" s="416">
        <f t="shared" si="8"/>
        <v>94.644506001846722</v>
      </c>
      <c r="E34" s="120"/>
      <c r="F34" s="415">
        <f t="shared" si="12"/>
        <v>1059</v>
      </c>
      <c r="G34" s="415">
        <f t="shared" si="3"/>
        <v>1109</v>
      </c>
      <c r="H34" s="416">
        <f t="shared" si="9"/>
        <v>95.491433724075748</v>
      </c>
      <c r="I34" s="120"/>
      <c r="J34" s="415">
        <f t="shared" si="13"/>
        <v>1210</v>
      </c>
      <c r="K34" s="415">
        <f t="shared" si="5"/>
        <v>1253</v>
      </c>
      <c r="L34" s="416">
        <f t="shared" si="10"/>
        <v>96.568236233040707</v>
      </c>
      <c r="M34" s="120"/>
      <c r="N34" s="415">
        <f t="shared" si="14"/>
        <v>1165</v>
      </c>
      <c r="O34" s="415">
        <f t="shared" si="7"/>
        <v>1203</v>
      </c>
      <c r="P34" s="416">
        <f t="shared" si="11"/>
        <v>96.841230257689119</v>
      </c>
      <c r="T34" s="417"/>
      <c r="W34" s="417"/>
    </row>
    <row r="35" spans="1:23">
      <c r="A35" s="119" t="s">
        <v>39</v>
      </c>
      <c r="B35" s="415">
        <f t="shared" si="0"/>
        <v>223</v>
      </c>
      <c r="C35" s="415">
        <f t="shared" si="1"/>
        <v>244</v>
      </c>
      <c r="D35" s="416">
        <f t="shared" si="8"/>
        <v>91.393442622950815</v>
      </c>
      <c r="E35" s="120"/>
      <c r="F35" s="415">
        <f t="shared" si="12"/>
        <v>248</v>
      </c>
      <c r="G35" s="415">
        <f t="shared" si="3"/>
        <v>257</v>
      </c>
      <c r="H35" s="416">
        <f t="shared" si="9"/>
        <v>96.498054474708169</v>
      </c>
      <c r="I35" s="120"/>
      <c r="J35" s="415">
        <f t="shared" si="13"/>
        <v>247</v>
      </c>
      <c r="K35" s="415">
        <f t="shared" si="5"/>
        <v>260</v>
      </c>
      <c r="L35" s="416">
        <f t="shared" si="10"/>
        <v>95</v>
      </c>
      <c r="M35" s="120"/>
      <c r="N35" s="415">
        <f t="shared" si="14"/>
        <v>271</v>
      </c>
      <c r="O35" s="415">
        <f t="shared" si="7"/>
        <v>285</v>
      </c>
      <c r="P35" s="416">
        <f t="shared" si="11"/>
        <v>95.087719298245617</v>
      </c>
      <c r="T35" s="417"/>
      <c r="W35" s="417"/>
    </row>
    <row r="36" spans="1:23">
      <c r="A36" s="119" t="s">
        <v>40</v>
      </c>
      <c r="B36" s="415">
        <f t="shared" si="0"/>
        <v>984</v>
      </c>
      <c r="C36" s="415">
        <f t="shared" si="1"/>
        <v>1000</v>
      </c>
      <c r="D36" s="416">
        <f t="shared" si="8"/>
        <v>98.4</v>
      </c>
      <c r="E36" s="120"/>
      <c r="F36" s="415">
        <f t="shared" si="12"/>
        <v>1105</v>
      </c>
      <c r="G36" s="415">
        <f t="shared" si="3"/>
        <v>1124</v>
      </c>
      <c r="H36" s="416">
        <f t="shared" si="9"/>
        <v>98.309608540925268</v>
      </c>
      <c r="I36" s="120"/>
      <c r="J36" s="415">
        <f t="shared" si="13"/>
        <v>1163</v>
      </c>
      <c r="K36" s="415">
        <f t="shared" si="5"/>
        <v>1180</v>
      </c>
      <c r="L36" s="416">
        <f t="shared" si="10"/>
        <v>98.559322033898297</v>
      </c>
      <c r="M36" s="120"/>
      <c r="N36" s="415">
        <f t="shared" si="14"/>
        <v>1177</v>
      </c>
      <c r="O36" s="415">
        <f t="shared" si="7"/>
        <v>1200</v>
      </c>
      <c r="P36" s="416">
        <f t="shared" si="11"/>
        <v>98.083333333333329</v>
      </c>
      <c r="T36" s="417"/>
      <c r="W36" s="417"/>
    </row>
    <row r="37" spans="1:23">
      <c r="A37" s="119" t="s">
        <v>41</v>
      </c>
      <c r="B37" s="415">
        <f t="shared" si="0"/>
        <v>3009</v>
      </c>
      <c r="C37" s="415">
        <f t="shared" si="1"/>
        <v>3174</v>
      </c>
      <c r="D37" s="416">
        <f t="shared" si="8"/>
        <v>94.801512287334589</v>
      </c>
      <c r="E37" s="120"/>
      <c r="F37" s="415">
        <f t="shared" si="12"/>
        <v>3185</v>
      </c>
      <c r="G37" s="415">
        <f t="shared" si="3"/>
        <v>3312</v>
      </c>
      <c r="H37" s="416">
        <f t="shared" si="9"/>
        <v>96.165458937198068</v>
      </c>
      <c r="I37" s="120"/>
      <c r="J37" s="415">
        <f t="shared" si="13"/>
        <v>3313</v>
      </c>
      <c r="K37" s="415">
        <f t="shared" si="5"/>
        <v>3443</v>
      </c>
      <c r="L37" s="416">
        <f t="shared" si="10"/>
        <v>96.224223061283766</v>
      </c>
      <c r="M37" s="120"/>
      <c r="N37" s="415">
        <f t="shared" si="14"/>
        <v>3536</v>
      </c>
      <c r="O37" s="415">
        <f t="shared" si="7"/>
        <v>3650</v>
      </c>
      <c r="P37" s="416">
        <f t="shared" si="11"/>
        <v>96.876712328767127</v>
      </c>
      <c r="T37" s="417"/>
      <c r="W37" s="417"/>
    </row>
    <row r="38" spans="1:23">
      <c r="A38" s="119" t="s">
        <v>530</v>
      </c>
      <c r="B38" s="415">
        <f>SUM(B37,B30)</f>
        <v>6135</v>
      </c>
      <c r="C38" s="415">
        <f>SUM(C37,C30)</f>
        <v>6564</v>
      </c>
      <c r="D38" s="416">
        <f t="shared" si="8"/>
        <v>93.46435100548446</v>
      </c>
      <c r="E38" s="120"/>
      <c r="F38" s="415">
        <f>SUM(F37,F30)</f>
        <v>6677</v>
      </c>
      <c r="G38" s="415">
        <f>SUM(G37,G30)</f>
        <v>7008</v>
      </c>
      <c r="H38" s="416">
        <f t="shared" si="9"/>
        <v>95.276826484018258</v>
      </c>
      <c r="I38" s="120"/>
      <c r="J38" s="415">
        <f>SUM(J37,J30)</f>
        <v>6989</v>
      </c>
      <c r="K38" s="415">
        <f>SUM(K37,K30)</f>
        <v>7347</v>
      </c>
      <c r="L38" s="416">
        <f t="shared" si="10"/>
        <v>95.127262828365318</v>
      </c>
      <c r="M38" s="120"/>
      <c r="N38" s="415">
        <f>SUM(N37,N30)</f>
        <v>7332</v>
      </c>
      <c r="O38" s="415">
        <f>SUM(O37,O30)</f>
        <v>7657</v>
      </c>
      <c r="P38" s="416">
        <f t="shared" si="11"/>
        <v>95.755517826825127</v>
      </c>
      <c r="Q38" s="120"/>
      <c r="T38" s="417"/>
      <c r="W38" s="417"/>
    </row>
    <row r="39" spans="1:23">
      <c r="A39" s="119" t="s">
        <v>42</v>
      </c>
      <c r="B39" s="415">
        <f>VLOOKUP($A39&amp;B$8,$A$58:$F$486,6,0)</f>
        <v>897</v>
      </c>
      <c r="C39" s="415">
        <f>VLOOKUP($A39&amp;C$8,$A$58:$F$486,5,0)</f>
        <v>962</v>
      </c>
      <c r="D39" s="416">
        <f t="shared" si="8"/>
        <v>93.243243243243242</v>
      </c>
      <c r="E39" s="120"/>
      <c r="F39" s="415">
        <f>VLOOKUP($A39&amp;F$8,$A$58:$F$486,6,0)</f>
        <v>1036</v>
      </c>
      <c r="G39" s="415">
        <f>VLOOKUP($A39&amp;G$8,$A$58:$F$486,5,0)</f>
        <v>1082</v>
      </c>
      <c r="H39" s="416">
        <f t="shared" si="9"/>
        <v>95.748613678373388</v>
      </c>
      <c r="I39" s="120"/>
      <c r="J39" s="415">
        <f>VLOOKUP($A39&amp;J$8,$A$58:$F$486,6,0)</f>
        <v>1098</v>
      </c>
      <c r="K39" s="415">
        <f>VLOOKUP($A39&amp;K$8,$A$58:$F$486,5,0)</f>
        <v>1142</v>
      </c>
      <c r="L39" s="416">
        <f t="shared" si="10"/>
        <v>96.147110332749563</v>
      </c>
      <c r="M39" s="120"/>
      <c r="N39" s="415">
        <f>VLOOKUP($A39&amp;N$8,$A$58:$F$486,6,0)</f>
        <v>1029</v>
      </c>
      <c r="O39" s="415">
        <f>VLOOKUP($A39&amp;O$8,$A$58:$F$486,5,0)</f>
        <v>1091</v>
      </c>
      <c r="P39" s="416">
        <f t="shared" si="11"/>
        <v>94.317140238313485</v>
      </c>
      <c r="T39" s="417"/>
      <c r="W39" s="417"/>
    </row>
    <row r="40" spans="1:23">
      <c r="A40" s="119" t="s">
        <v>43</v>
      </c>
      <c r="B40" s="415">
        <f>VLOOKUP($A40&amp;B$8,$A$58:$F$486,6,0)</f>
        <v>780</v>
      </c>
      <c r="C40" s="415">
        <f>VLOOKUP($A40&amp;C$8,$A$58:$F$486,5,0)</f>
        <v>870</v>
      </c>
      <c r="D40" s="416">
        <f t="shared" si="8"/>
        <v>89.65517241379311</v>
      </c>
      <c r="E40" s="120"/>
      <c r="F40" s="415">
        <f>VLOOKUP($A40&amp;F$8,$A$58:$F$486,6,0)</f>
        <v>828</v>
      </c>
      <c r="G40" s="415">
        <f>VLOOKUP($A40&amp;G$8,$A$58:$F$486,5,0)</f>
        <v>910</v>
      </c>
      <c r="H40" s="416">
        <f t="shared" si="9"/>
        <v>90.989010989010993</v>
      </c>
      <c r="I40" s="120"/>
      <c r="J40" s="415">
        <f>VLOOKUP($A40&amp;J$8,$A$58:$F$486,6,0)</f>
        <v>933</v>
      </c>
      <c r="K40" s="415">
        <f>VLOOKUP($A40&amp;K$8,$A$58:$F$486,5,0)</f>
        <v>981</v>
      </c>
      <c r="L40" s="416">
        <f t="shared" si="10"/>
        <v>95.107033639143737</v>
      </c>
      <c r="M40" s="120"/>
      <c r="N40" s="415">
        <f>VLOOKUP($A40&amp;N$8,$A$58:$F$486,6,0)</f>
        <v>963</v>
      </c>
      <c r="O40" s="415">
        <f>VLOOKUP($A40&amp;O$8,$A$58:$F$486,5,0)</f>
        <v>1010</v>
      </c>
      <c r="P40" s="416">
        <f t="shared" si="11"/>
        <v>95.346534653465341</v>
      </c>
      <c r="T40" s="417"/>
      <c r="W40" s="417"/>
    </row>
    <row r="41" spans="1:23">
      <c r="A41" s="119" t="s">
        <v>44</v>
      </c>
      <c r="B41" s="415">
        <f>VLOOKUP($A41&amp;B$8,$A$58:$F$486,6,0)</f>
        <v>1724</v>
      </c>
      <c r="C41" s="415">
        <f>VLOOKUP($A41&amp;C$8,$A$58:$F$486,5,0)</f>
        <v>1856</v>
      </c>
      <c r="D41" s="416">
        <f t="shared" si="8"/>
        <v>92.887931034482762</v>
      </c>
      <c r="E41" s="120"/>
      <c r="F41" s="415">
        <f>VLOOKUP($A41&amp;F$8,$A$58:$F$486,6,0)</f>
        <v>1953</v>
      </c>
      <c r="G41" s="415">
        <f>VLOOKUP($A41&amp;G$8,$A$58:$F$486,5,0)</f>
        <v>2050</v>
      </c>
      <c r="H41" s="416">
        <f t="shared" si="9"/>
        <v>95.268292682926827</v>
      </c>
      <c r="I41" s="120"/>
      <c r="J41" s="415">
        <f>VLOOKUP($A41&amp;J$8,$A$58:$F$486,6,0)</f>
        <v>2067</v>
      </c>
      <c r="K41" s="415">
        <f>VLOOKUP($A41&amp;K$8,$A$58:$F$486,5,0)</f>
        <v>2185</v>
      </c>
      <c r="L41" s="416">
        <f t="shared" si="10"/>
        <v>94.599542334096114</v>
      </c>
      <c r="M41" s="120"/>
      <c r="N41" s="415">
        <f>VLOOKUP($A41&amp;N$8,$A$58:$F$486,6,0)</f>
        <v>2007</v>
      </c>
      <c r="O41" s="415">
        <f>VLOOKUP($A41&amp;O$8,$A$58:$F$486,5,0)</f>
        <v>2132</v>
      </c>
      <c r="P41" s="416">
        <f t="shared" si="11"/>
        <v>94.136960600375232</v>
      </c>
      <c r="T41" s="417"/>
      <c r="W41" s="417"/>
    </row>
    <row r="42" spans="1:23">
      <c r="A42" s="119" t="s">
        <v>47</v>
      </c>
      <c r="B42" s="415" cm="1">
        <f t="array" ref="B42">SUM(SUMIFS(B9:B41,$A$9:$A$41,{"Glasgow City","Inverclyde","South Lanarkshire","North Lanarkshire","East Renfrewshire","Renfrewshire","West Dunbartonshire","East Dunbatonshire"}))</f>
        <v>14401</v>
      </c>
      <c r="C42" s="415" cm="1">
        <f t="array" ref="C42">SUM(SUMIFS(C9:C41,$A$9:$A$41,{"Glasgow City","Inverclyde","South Lanarkshire","North Lanarkshire","East Renfrewshire","Renfrewshire","West Dunbartonshire","East Dunbatonshire"}))</f>
        <v>15431</v>
      </c>
      <c r="D42" s="416">
        <f t="shared" si="8"/>
        <v>93.325124748882118</v>
      </c>
      <c r="E42" s="120"/>
      <c r="F42" s="415" cm="1">
        <f t="array" ref="F42">SUM(SUMIFS(F9:F41,$A$9:$A$41,{"Glasgow City","Inverclyde","South Lanarkshire","North Lanarkshire","East Renfrewshire","Renfrewshire","West Dunbartonshire","East Dunbatonshire"}))</f>
        <v>15570</v>
      </c>
      <c r="G42" s="415" cm="1">
        <f t="array" ref="G42">SUM(SUMIFS(G9:G41,$A$9:$A$41,{"Glasgow City","Inverclyde","South Lanarkshire","North Lanarkshire","East Renfrewshire","Renfrewshire","West Dunbartonshire","East Dunbatonshire"}))</f>
        <v>16284</v>
      </c>
      <c r="H42" s="416">
        <f t="shared" si="9"/>
        <v>95.615327929255713</v>
      </c>
      <c r="I42" s="120"/>
      <c r="J42" s="415" cm="1">
        <f t="array" ref="J42">SUM(SUMIFS(J9:J41,$A$9:$A$41,{"Glasgow City","Inverclyde","South Lanarkshire","North Lanarkshire","East Renfrewshire","Renfrewshire","West Dunbartonshire","East Dunbatonshire"}))</f>
        <v>16797</v>
      </c>
      <c r="K42" s="415" cm="1">
        <f t="array" ref="K42">SUM(SUMIFS(K9:K41,$A$9:$A$41,{"Glasgow City","Inverclyde","South Lanarkshire","North Lanarkshire","East Renfrewshire","Renfrewshire","West Dunbartonshire","East Dunbatonshire"}))</f>
        <v>17486</v>
      </c>
      <c r="L42" s="416">
        <f t="shared" si="10"/>
        <v>96.059704906782571</v>
      </c>
      <c r="M42" s="120"/>
      <c r="N42" s="415" cm="1">
        <f t="array" ref="N42">SUM(SUMIFS(N9:N41,$A$9:$A$41,{"Glasgow City","Inverclyde","South Lanarkshire","North Lanarkshire","East Renfrewshire","Renfrewshire","West Dunbartonshire","East Dunbatonshire"}))</f>
        <v>17168</v>
      </c>
      <c r="O42" s="415" cm="1">
        <f t="array" ref="O42">SUM(SUMIFS(O9:O41,$A$9:$A$41,{"Glasgow City","Inverclyde","South Lanarkshire","North Lanarkshire","East Renfrewshire","Renfrewshire","West Dunbartonshire","East Dunbatonshire"}))</f>
        <v>17770</v>
      </c>
      <c r="P42" s="416">
        <f t="shared" si="11"/>
        <v>96.612267867191889</v>
      </c>
      <c r="T42" s="417"/>
      <c r="W42" s="417"/>
    </row>
    <row r="43" spans="1:23">
      <c r="A43" s="119" t="s">
        <v>45</v>
      </c>
      <c r="B43" s="415">
        <f>VLOOKUP($A43&amp;B$8,$A$58:$F$486,6,0)</f>
        <v>44295</v>
      </c>
      <c r="C43" s="415">
        <f>VLOOKUP($A43&amp;C$8,$A$58:$F$486,5,0)</f>
        <v>47454</v>
      </c>
      <c r="D43" s="416">
        <f t="shared" si="8"/>
        <v>93.343026931344042</v>
      </c>
      <c r="E43" s="120"/>
      <c r="F43" s="415">
        <f>VLOOKUP($A43&amp;F$8,$A$58:$F$486,6,0)</f>
        <v>48451</v>
      </c>
      <c r="G43" s="415">
        <f>VLOOKUP($A43&amp;G$8,$A$58:$F$486,5,0)</f>
        <v>50746</v>
      </c>
      <c r="H43" s="416">
        <f t="shared" si="9"/>
        <v>95.477476057226184</v>
      </c>
      <c r="I43" s="120"/>
      <c r="J43" s="415">
        <f>VLOOKUP($A43&amp;J$8,$A$58:$F$486,6,0)</f>
        <v>52879</v>
      </c>
      <c r="K43" s="415">
        <f>VLOOKUP($A43&amp;K$8,$A$58:$F$486,5,0)</f>
        <v>55237</v>
      </c>
      <c r="L43" s="416">
        <f t="shared" si="10"/>
        <v>95.73112225501022</v>
      </c>
      <c r="M43" s="120"/>
      <c r="N43" s="415">
        <f>VLOOKUP($A43&amp;N$8,$A$58:$F$486,6,0)</f>
        <v>52480</v>
      </c>
      <c r="O43" s="415">
        <f>VLOOKUP($A43&amp;O$8,$A$58:$F$486,5,0)</f>
        <v>54743</v>
      </c>
      <c r="P43" s="416">
        <f t="shared" si="11"/>
        <v>95.866138136382745</v>
      </c>
    </row>
    <row r="44" spans="1:23">
      <c r="A44" s="119"/>
      <c r="B44" s="121"/>
      <c r="C44" s="121"/>
      <c r="D44" s="122"/>
      <c r="E44" s="120"/>
      <c r="F44" s="121"/>
      <c r="G44" s="121"/>
      <c r="H44" s="122"/>
      <c r="I44" s="120"/>
      <c r="J44" s="121"/>
      <c r="K44" s="121"/>
      <c r="L44" s="122"/>
      <c r="M44" s="120"/>
      <c r="N44" s="121"/>
      <c r="O44" s="121"/>
      <c r="P44" s="122"/>
    </row>
    <row r="45" spans="1:23" customFormat="1" ht="14.5">
      <c r="A45" s="6" t="s">
        <v>543</v>
      </c>
      <c r="B45" s="385">
        <f>SUM(SUMIFS(B$9:B$41,$A$9:$A$41,{"Na h-Eileanan Siar","Argyll and Bute","Shetland Islands","Highland","Orkney Islands","Scottish Borders","Dumfries and Galloway","Aberdeenshire"}))</f>
        <v>7854</v>
      </c>
      <c r="C45" s="385">
        <f>SUM(SUMIFS(C$9:C$41,$A$9:$A$41,{"Na h-Eileanan Siar","Argyll and Bute","Shetland Islands","Highland","Orkney Islands","Scottish Borders","Dumfries and Galloway","Aberdeenshire"}))</f>
        <v>8408</v>
      </c>
      <c r="D45" s="386">
        <f>SUM(B45/C45)*100</f>
        <v>93.411037107516648</v>
      </c>
      <c r="E45" s="4"/>
      <c r="F45" s="385">
        <f>SUM(SUMIFS(F$9:F$41,$A$9:$A$41,{"Na h-Eileanan Siar","Argyll and Bute","Shetland Islands","Highland","Orkney Islands","Scottish Borders","Dumfries and Galloway","Aberdeenshire"}))</f>
        <v>8397</v>
      </c>
      <c r="G45" s="385">
        <f>SUM(SUMIFS(G$9:G$41,$A$9:$A$41,{"Na h-Eileanan Siar","Argyll and Bute","Shetland Islands","Highland","Orkney Islands","Scottish Borders","Dumfries and Galloway","Aberdeenshire"}))</f>
        <v>8817</v>
      </c>
      <c r="H45" s="386">
        <f>SUM(F45/G45)*100</f>
        <v>95.236474991493708</v>
      </c>
      <c r="I45" s="4"/>
      <c r="J45" s="385">
        <f>SUM(SUMIFS(J$9:J$41,$A$9:$A$41,{"Na h-Eileanan Siar","Argyll and Bute","Shetland Islands","Highland","Orkney Islands","Scottish Borders","Dumfries and Galloway","Aberdeenshire"}))</f>
        <v>9181</v>
      </c>
      <c r="K45" s="385">
        <f>SUM(SUMIFS(K$9:K$41,$A$9:$A$41,{"Na h-Eileanan Siar","Argyll and Bute","Shetland Islands","Highland","Orkney Islands","Scottish Borders","Dumfries and Galloway","Aberdeenshire"}))</f>
        <v>9582</v>
      </c>
      <c r="L45" s="386">
        <f>SUM(J45/K45)*100</f>
        <v>95.815069922771869</v>
      </c>
      <c r="M45" s="4"/>
      <c r="N45" s="385">
        <f>SUM(SUMIFS(N$9:N$41,$A$9:$A$41,{"Na h-Eileanan Siar","Argyll and Bute","Shetland Islands","Highland","Orkney Islands","Scottish Borders","Dumfries and Galloway","Aberdeenshire"}))</f>
        <v>8668</v>
      </c>
      <c r="O45" s="385">
        <f>SUM(SUMIFS(O$9:O$41,$A$9:$A$41,{"Na h-Eileanan Siar","Argyll and Bute","Shetland Islands","Highland","Orkney Islands","Scottish Borders","Dumfries and Galloway","Aberdeenshire"}))</f>
        <v>9059</v>
      </c>
      <c r="P45" s="386">
        <f>SUM(N45/O45)*100</f>
        <v>95.683850314604257</v>
      </c>
      <c r="Q45" s="4"/>
    </row>
    <row r="46" spans="1:23" customFormat="1" ht="14.5">
      <c r="A46" s="6" t="s">
        <v>544</v>
      </c>
      <c r="B46" s="385">
        <f>SUM(SUMIFS(B$9:B$41,$A$9:$A$41,{"Perth and Kinross","Stirling","Moray","South Ayrshire","East Ayrshire","East Lothian","North Ayrshire","Fife"}))</f>
        <v>9980</v>
      </c>
      <c r="C46" s="385">
        <f>SUM(SUMIFS(C$9:C$41,$A$9:$A$41,{"Perth and Kinross","Stirling","Moray","South Ayrshire","East Ayrshire","East Lothian","North Ayrshire","Fife"}))</f>
        <v>10686</v>
      </c>
      <c r="D46" s="386">
        <f>SUM(B46/C46)*100</f>
        <v>93.393224780086086</v>
      </c>
      <c r="E46" s="4"/>
      <c r="F46" s="385">
        <f>SUM(SUMIFS(F$9:F$41,$A$9:$A$41,{"Perth and Kinross","Stirling","Moray","South Ayrshire","East Ayrshire","East Lothian","North Ayrshire","Fife"}))</f>
        <v>11370</v>
      </c>
      <c r="G46" s="385">
        <f>SUM(SUMIFS(G$9:G$41,$A$9:$A$41,{"Perth and Kinross","Stirling","Moray","South Ayrshire","East Ayrshire","East Lothian","North Ayrshire","Fife"}))</f>
        <v>11926</v>
      </c>
      <c r="H46" s="386">
        <f>SUM(F46/G46)*100</f>
        <v>95.337917155794059</v>
      </c>
      <c r="I46" s="4"/>
      <c r="J46" s="385">
        <f>SUM(SUMIFS(J$9:J$41,$A$9:$A$41,{"Perth and Kinross","Stirling","Moray","South Ayrshire","East Ayrshire","East Lothian","North Ayrshire","Fife"}))</f>
        <v>12226</v>
      </c>
      <c r="K46" s="385">
        <f>SUM(SUMIFS(K$9:K$41,$A$9:$A$41,{"Perth and Kinross","Stirling","Moray","South Ayrshire","East Ayrshire","East Lothian","North Ayrshire","Fife"}))</f>
        <v>12761</v>
      </c>
      <c r="L46" s="386">
        <f>SUM(J46/K46)*100</f>
        <v>95.807538594154067</v>
      </c>
      <c r="M46" s="4"/>
      <c r="N46" s="385">
        <f>SUM(SUMIFS(N$9:N$41,$A$9:$A$41,{"Perth and Kinross","Stirling","Moray","South Ayrshire","East Ayrshire","East Lothian","North Ayrshire","Fife"}))</f>
        <v>11944</v>
      </c>
      <c r="O46" s="385">
        <f>SUM(SUMIFS(O$9:O$41,$A$9:$A$41,{"Perth and Kinross","Stirling","Moray","South Ayrshire","East Ayrshire","East Lothian","North Ayrshire","Fife"}))</f>
        <v>12476</v>
      </c>
      <c r="P46" s="386">
        <f>SUM(N46/O46)*100</f>
        <v>95.735812760500167</v>
      </c>
      <c r="Q46" s="4"/>
    </row>
    <row r="47" spans="1:23" customFormat="1" ht="14.5">
      <c r="A47" s="6" t="s">
        <v>545</v>
      </c>
      <c r="B47" s="385">
        <f>SUM(SUMIFS(B$9:B$41,$A$9:$A$41,{"Angus","Clackmannanshire","Midlothian","South Lanarkshire","Inverclyde","Renfrewshire","West Lothian","East Renfrewshire"}))</f>
        <v>10392</v>
      </c>
      <c r="C47" s="385">
        <f>SUM(SUMIFS(C$9:C$41,$A$9:$A$41,{"Angus","Clackmannanshire","Midlothian","South Lanarkshire","Inverclyde","Renfrewshire","West Lothian","East Renfrewshire"}))</f>
        <v>11015</v>
      </c>
      <c r="D47" s="386">
        <f>SUM(B47/C47)*100</f>
        <v>94.344076259645931</v>
      </c>
      <c r="E47" s="4"/>
      <c r="F47" s="385">
        <f>SUM(SUMIFS(F$9:F$41,$A$9:$A$41,{"Angus","Clackmannanshire","Midlothian","South Lanarkshire","Inverclyde","Renfrewshire","West Lothian","East Renfrewshire"}))</f>
        <v>11157</v>
      </c>
      <c r="G47" s="385">
        <f>SUM(SUMIFS(G$9:G$41,$A$9:$A$41,{"Angus","Clackmannanshire","Midlothian","South Lanarkshire","Inverclyde","Renfrewshire","West Lothian","East Renfrewshire"}))</f>
        <v>11616</v>
      </c>
      <c r="H47" s="386">
        <f>SUM(F47/G47)*100</f>
        <v>96.048553719008268</v>
      </c>
      <c r="I47" s="4"/>
      <c r="J47" s="385">
        <f>SUM(SUMIFS(J$9:J$41,$A$9:$A$41,{"Angus","Clackmannanshire","Midlothian","South Lanarkshire","Inverclyde","Renfrewshire","West Lothian","East Renfrewshire"}))</f>
        <v>12200</v>
      </c>
      <c r="K47" s="385">
        <f>SUM(SUMIFS(K$9:K$41,$A$9:$A$41,{"Angus","Clackmannanshire","Midlothian","South Lanarkshire","Inverclyde","Renfrewshire","West Lothian","East Renfrewshire"}))</f>
        <v>12742</v>
      </c>
      <c r="L47" s="386">
        <f>SUM(J47/K47)*100</f>
        <v>95.746350651389108</v>
      </c>
      <c r="M47" s="4"/>
      <c r="N47" s="385">
        <f>SUM(SUMIFS(N$9:N$41,$A$9:$A$41,{"Angus","Clackmannanshire","Midlothian","South Lanarkshire","Inverclyde","Renfrewshire","West Lothian","East Renfrewshire"}))</f>
        <v>12040</v>
      </c>
      <c r="O47" s="385">
        <f>SUM(SUMIFS(O$9:O$41,$A$9:$A$41,{"Angus","Clackmannanshire","Midlothian","South Lanarkshire","Inverclyde","Renfrewshire","West Lothian","East Renfrewshire"}))</f>
        <v>12533</v>
      </c>
      <c r="P47" s="386">
        <f>SUM(N47/O47)*100</f>
        <v>96.066384744275112</v>
      </c>
      <c r="Q47" s="4"/>
    </row>
    <row r="48" spans="1:23" customFormat="1" ht="14.5">
      <c r="A48" s="6" t="s">
        <v>546</v>
      </c>
      <c r="B48" s="385">
        <f>SUM(SUMIFS(B$9:B$41,$A$9:$A$41,{"North Lanarkshire","Falkirk","East Dunbartonshire","Aberdeen City","Edinburgh, City of","West Dunbartonshire","Dundee City","Glasgow City"}))</f>
        <v>15732</v>
      </c>
      <c r="C48" s="385">
        <f>SUM(SUMIFS(C$9:C$41,$A$9:$A$41,{"North Lanarkshire","Falkirk","East Dunbartonshire","Aberdeen City","Edinburgh, City of","West Dunbartonshire","Dundee City","Glasgow City"}))</f>
        <v>17002</v>
      </c>
      <c r="D48" s="386">
        <f>SUM(B48/C48)*100</f>
        <v>92.53029055405247</v>
      </c>
      <c r="E48" s="4"/>
      <c r="F48" s="385">
        <f>SUM(SUMIFS(F$9:F$41,$A$9:$A$41,{"North Lanarkshire","Falkirk","East Dunbartonshire","Aberdeen City","Edinburgh, City of","West Dunbartonshire","Dundee City","Glasgow City"}))</f>
        <v>17153</v>
      </c>
      <c r="G48" s="385">
        <f>SUM(SUMIFS(G$9:G$41,$A$9:$A$41,{"North Lanarkshire","Falkirk","East Dunbartonshire","Aberdeen City","Edinburgh, City of","West Dunbartonshire","Dundee City","Glasgow City"}))</f>
        <v>18005</v>
      </c>
      <c r="H48" s="386">
        <f>SUM(F48/G48)*100</f>
        <v>95.267981116356566</v>
      </c>
      <c r="I48" s="4"/>
      <c r="J48" s="385">
        <f>SUM(SUMIFS(J$9:J$41,$A$9:$A$41,{"North Lanarkshire","Falkirk","East Dunbartonshire","Aberdeen City","Edinburgh, City of","West Dunbartonshire","Dundee City","Glasgow City"}))</f>
        <v>18915</v>
      </c>
      <c r="K48" s="385">
        <f>SUM(SUMIFS(K$9:K$41,$A$9:$A$41,{"North Lanarkshire","Falkirk","East Dunbartonshire","Aberdeen City","Edinburgh, City of","West Dunbartonshire","Dundee City","Glasgow City"}))</f>
        <v>19786</v>
      </c>
      <c r="L48" s="386">
        <f>SUM(J48/K48)*100</f>
        <v>95.597897503285154</v>
      </c>
      <c r="M48" s="4"/>
      <c r="N48" s="385">
        <f>SUM(SUMIFS(N$9:N$41,$A$9:$A$41,{"North Lanarkshire","Falkirk","East Dunbartonshire","Aberdeen City","Edinburgh, City of","West Dunbartonshire","Dundee City","Glasgow City"}))</f>
        <v>19220</v>
      </c>
      <c r="O48" s="385">
        <f>SUM(SUMIFS(O$9:O$41,$A$9:$A$41,{"North Lanarkshire","Falkirk","East Dunbartonshire","Aberdeen City","Edinburgh, City of","West Dunbartonshire","Dundee City","Glasgow City"}))</f>
        <v>20046</v>
      </c>
      <c r="P48" s="386">
        <f>SUM(N48/O48)*100</f>
        <v>95.879477202434401</v>
      </c>
      <c r="Q48" s="4"/>
    </row>
    <row r="49" spans="1:16">
      <c r="A49" s="119"/>
      <c r="B49" s="120"/>
      <c r="C49" s="120"/>
      <c r="D49" s="120"/>
      <c r="E49" s="120"/>
      <c r="F49" s="120"/>
      <c r="G49" s="120"/>
      <c r="H49" s="120"/>
      <c r="I49" s="120"/>
      <c r="J49" s="120"/>
      <c r="K49" s="120"/>
      <c r="L49" s="120"/>
      <c r="M49" s="120"/>
      <c r="N49" s="120"/>
      <c r="O49" s="120"/>
      <c r="P49" s="120"/>
    </row>
    <row r="50" spans="1:16">
      <c r="A50" s="119"/>
      <c r="B50" s="120"/>
      <c r="C50" s="120"/>
      <c r="D50" s="120"/>
      <c r="E50" s="120"/>
      <c r="F50" s="120"/>
      <c r="G50" s="120"/>
      <c r="H50" s="120"/>
      <c r="I50" s="120"/>
      <c r="J50" s="120"/>
      <c r="K50" s="120"/>
      <c r="L50" s="120"/>
      <c r="M50" s="120"/>
      <c r="N50" s="120"/>
      <c r="O50" s="120"/>
      <c r="P50" s="120"/>
    </row>
    <row r="51" spans="1:16">
      <c r="A51" s="119"/>
      <c r="B51" s="120"/>
      <c r="C51" s="120"/>
      <c r="D51" s="120"/>
      <c r="E51" s="120"/>
      <c r="F51" s="120"/>
      <c r="G51" s="120"/>
      <c r="H51" s="120"/>
      <c r="I51" s="120"/>
      <c r="J51" s="120"/>
      <c r="K51" s="120"/>
      <c r="L51" s="120"/>
      <c r="M51" s="120"/>
      <c r="N51" s="120"/>
      <c r="O51" s="120"/>
      <c r="P51" s="120"/>
    </row>
    <row r="57" spans="1:16" ht="31">
      <c r="A57" s="109" t="s">
        <v>697</v>
      </c>
      <c r="B57" s="472" t="s">
        <v>292</v>
      </c>
      <c r="C57" s="472" t="s">
        <v>698</v>
      </c>
      <c r="D57" s="472" t="s">
        <v>291</v>
      </c>
      <c r="E57" s="473" t="s">
        <v>748</v>
      </c>
      <c r="F57" s="473" t="s">
        <v>290</v>
      </c>
      <c r="H57" s="109" t="s">
        <v>699</v>
      </c>
    </row>
    <row r="58" spans="1:16" ht="31">
      <c r="A58" s="413" t="str">
        <f t="shared" ref="A58:A121" si="15">D58&amp;B58</f>
        <v>Aberdeen City2022-23</v>
      </c>
      <c r="B58" s="451" t="s">
        <v>749</v>
      </c>
      <c r="C58" s="464">
        <v>100</v>
      </c>
      <c r="D58" s="464" t="s">
        <v>14</v>
      </c>
      <c r="E58" s="474">
        <v>1807</v>
      </c>
      <c r="F58" s="474">
        <v>1691</v>
      </c>
      <c r="H58" s="413" t="str" cm="1">
        <f t="array" ref="H58:H70">_xlfn.UNIQUE(B58:B486)</f>
        <v>2022-23</v>
      </c>
    </row>
    <row r="59" spans="1:16" ht="31">
      <c r="A59" s="413" t="str">
        <f t="shared" si="15"/>
        <v>Aberdeenshire2022-23</v>
      </c>
      <c r="B59" s="451" t="s">
        <v>749</v>
      </c>
      <c r="C59" s="464">
        <v>110</v>
      </c>
      <c r="D59" s="464" t="s">
        <v>15</v>
      </c>
      <c r="E59" s="474">
        <v>2834</v>
      </c>
      <c r="F59" s="474">
        <v>2710</v>
      </c>
      <c r="H59" s="413" t="str">
        <v>2021-22</v>
      </c>
    </row>
    <row r="60" spans="1:16" ht="15.5">
      <c r="A60" s="413" t="str">
        <f t="shared" si="15"/>
        <v>Angus2022-23</v>
      </c>
      <c r="B60" s="451" t="s">
        <v>749</v>
      </c>
      <c r="C60" s="464">
        <v>120</v>
      </c>
      <c r="D60" s="464" t="s">
        <v>16</v>
      </c>
      <c r="E60" s="474">
        <v>1191</v>
      </c>
      <c r="F60" s="474">
        <v>1124</v>
      </c>
      <c r="H60" s="413" t="str">
        <v>2020-21</v>
      </c>
    </row>
    <row r="61" spans="1:16" ht="31">
      <c r="A61" s="413" t="str">
        <f t="shared" si="15"/>
        <v>Argyll and Bute2022-23</v>
      </c>
      <c r="B61" s="451" t="s">
        <v>749</v>
      </c>
      <c r="C61" s="464">
        <v>130</v>
      </c>
      <c r="D61" s="464" t="s">
        <v>17</v>
      </c>
      <c r="E61" s="474">
        <v>783</v>
      </c>
      <c r="F61" s="474">
        <v>745</v>
      </c>
      <c r="H61" s="413" t="str">
        <v>2019-20</v>
      </c>
    </row>
    <row r="62" spans="1:16" ht="31">
      <c r="A62" s="413" t="str">
        <f t="shared" si="15"/>
        <v>Clackmannanshire2022-23</v>
      </c>
      <c r="B62" s="451" t="s">
        <v>749</v>
      </c>
      <c r="C62" s="464">
        <v>150</v>
      </c>
      <c r="D62" s="464" t="s">
        <v>18</v>
      </c>
      <c r="E62" s="474">
        <v>486</v>
      </c>
      <c r="F62" s="474">
        <v>461</v>
      </c>
      <c r="H62" s="413" t="str">
        <v>2018-19</v>
      </c>
    </row>
    <row r="63" spans="1:16" ht="46.5">
      <c r="A63" s="413" t="str">
        <f t="shared" si="15"/>
        <v>Dumfries and Galloway2022-23</v>
      </c>
      <c r="B63" s="451" t="s">
        <v>749</v>
      </c>
      <c r="C63" s="464">
        <v>170</v>
      </c>
      <c r="D63" s="464" t="s">
        <v>19</v>
      </c>
      <c r="E63" s="474">
        <v>1479</v>
      </c>
      <c r="F63" s="474">
        <v>1419</v>
      </c>
      <c r="H63" s="413" t="str">
        <v>2017-18</v>
      </c>
    </row>
    <row r="64" spans="1:16" ht="15.5">
      <c r="A64" s="413" t="str">
        <f t="shared" si="15"/>
        <v>Dundee City2022-23</v>
      </c>
      <c r="B64" s="451" t="s">
        <v>749</v>
      </c>
      <c r="C64" s="464">
        <v>180</v>
      </c>
      <c r="D64" s="464" t="s">
        <v>20</v>
      </c>
      <c r="E64" s="474">
        <v>1441</v>
      </c>
      <c r="F64" s="474">
        <v>1377</v>
      </c>
      <c r="H64" s="413" t="str">
        <v>2016-17</v>
      </c>
    </row>
    <row r="65" spans="1:8" ht="31">
      <c r="A65" s="413" t="str">
        <f t="shared" si="15"/>
        <v>East Ayrshire2022-23</v>
      </c>
      <c r="B65" s="451" t="s">
        <v>749</v>
      </c>
      <c r="C65" s="464">
        <v>190</v>
      </c>
      <c r="D65" s="464" t="s">
        <v>21</v>
      </c>
      <c r="E65" s="474">
        <v>1306</v>
      </c>
      <c r="F65" s="474">
        <v>1242</v>
      </c>
      <c r="H65" s="413" t="str">
        <v>2015-16</v>
      </c>
    </row>
    <row r="66" spans="1:8" ht="46.5">
      <c r="A66" s="413" t="str">
        <f t="shared" si="15"/>
        <v>East Dunbartonshire2022-23</v>
      </c>
      <c r="B66" s="451" t="s">
        <v>749</v>
      </c>
      <c r="C66" s="464">
        <v>200</v>
      </c>
      <c r="D66" s="464" t="s">
        <v>22</v>
      </c>
      <c r="E66" s="474">
        <v>1309</v>
      </c>
      <c r="F66" s="474">
        <v>1291</v>
      </c>
      <c r="H66" s="413" t="str">
        <v>2014-15</v>
      </c>
    </row>
    <row r="67" spans="1:8" ht="15.5">
      <c r="A67" s="413" t="str">
        <f t="shared" si="15"/>
        <v>East Lothian2022-23</v>
      </c>
      <c r="B67" s="451" t="s">
        <v>749</v>
      </c>
      <c r="C67" s="464">
        <v>210</v>
      </c>
      <c r="D67" s="464" t="s">
        <v>23</v>
      </c>
      <c r="E67" s="474">
        <v>1176</v>
      </c>
      <c r="F67" s="474">
        <v>1132</v>
      </c>
      <c r="H67" s="413" t="str">
        <v>2013-14</v>
      </c>
    </row>
    <row r="68" spans="1:8" ht="46.5">
      <c r="A68" s="413" t="str">
        <f t="shared" si="15"/>
        <v>East Renfrewshire2022-23</v>
      </c>
      <c r="B68" s="451" t="s">
        <v>749</v>
      </c>
      <c r="C68" s="464">
        <v>220</v>
      </c>
      <c r="D68" s="464" t="s">
        <v>24</v>
      </c>
      <c r="E68" s="474">
        <v>1353</v>
      </c>
      <c r="F68" s="474">
        <v>1336</v>
      </c>
      <c r="H68" s="413" t="str">
        <v>2012-13</v>
      </c>
    </row>
    <row r="69" spans="1:8" ht="31">
      <c r="A69" s="413" t="str">
        <f t="shared" si="15"/>
        <v>Edinburgh, City of2022-23</v>
      </c>
      <c r="B69" s="451" t="s">
        <v>749</v>
      </c>
      <c r="C69" s="464">
        <v>230</v>
      </c>
      <c r="D69" s="464" t="s">
        <v>189</v>
      </c>
      <c r="E69" s="474">
        <v>3699</v>
      </c>
      <c r="F69" s="474">
        <v>3524</v>
      </c>
      <c r="H69" s="413" t="str">
        <v>2011-12</v>
      </c>
    </row>
    <row r="70" spans="1:8" ht="15.5">
      <c r="A70" s="413" t="str">
        <f t="shared" si="15"/>
        <v>Falkirk2022-23</v>
      </c>
      <c r="B70" s="451" t="s">
        <v>749</v>
      </c>
      <c r="C70" s="464">
        <v>240</v>
      </c>
      <c r="D70" s="464" t="s">
        <v>25</v>
      </c>
      <c r="E70" s="474">
        <v>1766</v>
      </c>
      <c r="F70" s="474">
        <v>1685</v>
      </c>
      <c r="H70" s="413" t="str">
        <v>2010-11</v>
      </c>
    </row>
    <row r="71" spans="1:8" ht="15.5">
      <c r="A71" s="413" t="str">
        <f t="shared" si="15"/>
        <v>Fife2022-23</v>
      </c>
      <c r="B71" s="451" t="s">
        <v>749</v>
      </c>
      <c r="C71" s="464">
        <v>250</v>
      </c>
      <c r="D71" s="464" t="s">
        <v>26</v>
      </c>
      <c r="E71" s="474">
        <v>3920</v>
      </c>
      <c r="F71" s="474">
        <v>3734</v>
      </c>
    </row>
    <row r="72" spans="1:8" ht="31">
      <c r="A72" s="413" t="str">
        <f t="shared" si="15"/>
        <v>Glasgow City2022-23</v>
      </c>
      <c r="B72" s="451" t="s">
        <v>749</v>
      </c>
      <c r="C72" s="464">
        <v>260</v>
      </c>
      <c r="D72" s="464" t="s">
        <v>27</v>
      </c>
      <c r="E72" s="474">
        <v>5007</v>
      </c>
      <c r="F72" s="474">
        <v>4893</v>
      </c>
    </row>
    <row r="73" spans="1:8" ht="15.5">
      <c r="A73" s="413" t="str">
        <f t="shared" si="15"/>
        <v>Highland2022-23</v>
      </c>
      <c r="B73" s="451" t="s">
        <v>749</v>
      </c>
      <c r="C73" s="464">
        <v>270</v>
      </c>
      <c r="D73" s="464" t="s">
        <v>28</v>
      </c>
      <c r="E73" s="474">
        <v>2475</v>
      </c>
      <c r="F73" s="474">
        <v>2358</v>
      </c>
    </row>
    <row r="74" spans="1:8" ht="15.5">
      <c r="A74" s="413" t="str">
        <f t="shared" si="15"/>
        <v>Inverclyde2022-23</v>
      </c>
      <c r="B74" s="451" t="s">
        <v>749</v>
      </c>
      <c r="C74" s="464">
        <v>280</v>
      </c>
      <c r="D74" s="464" t="s">
        <v>29</v>
      </c>
      <c r="E74" s="474">
        <v>806</v>
      </c>
      <c r="F74" s="474">
        <v>777</v>
      </c>
    </row>
    <row r="75" spans="1:8" ht="15.5">
      <c r="A75" s="413" t="str">
        <f t="shared" si="15"/>
        <v>Midlothian2022-23</v>
      </c>
      <c r="B75" s="451" t="s">
        <v>749</v>
      </c>
      <c r="C75" s="464">
        <v>290</v>
      </c>
      <c r="D75" s="464" t="s">
        <v>30</v>
      </c>
      <c r="E75" s="474">
        <v>978</v>
      </c>
      <c r="F75" s="474">
        <v>932</v>
      </c>
    </row>
    <row r="76" spans="1:8" ht="15.5">
      <c r="A76" s="413" t="str">
        <f t="shared" si="15"/>
        <v>Moray2022-23</v>
      </c>
      <c r="B76" s="451" t="s">
        <v>749</v>
      </c>
      <c r="C76" s="464">
        <v>300</v>
      </c>
      <c r="D76" s="464" t="s">
        <v>31</v>
      </c>
      <c r="E76" s="474">
        <v>973</v>
      </c>
      <c r="F76" s="474">
        <v>925</v>
      </c>
    </row>
    <row r="77" spans="1:8" ht="46.5">
      <c r="A77" s="413" t="str">
        <f t="shared" si="15"/>
        <v>Na h-Eileanan Siar2022-23</v>
      </c>
      <c r="B77" s="451" t="s">
        <v>749</v>
      </c>
      <c r="C77" s="464">
        <v>235</v>
      </c>
      <c r="D77" s="464" t="s">
        <v>32</v>
      </c>
      <c r="E77" s="474">
        <v>298</v>
      </c>
      <c r="F77" s="474">
        <v>293</v>
      </c>
    </row>
    <row r="78" spans="1:8" ht="31">
      <c r="A78" s="413" t="str">
        <f t="shared" si="15"/>
        <v>North Ayrshire2022-23</v>
      </c>
      <c r="B78" s="451" t="s">
        <v>749</v>
      </c>
      <c r="C78" s="464">
        <v>310</v>
      </c>
      <c r="D78" s="464" t="s">
        <v>33</v>
      </c>
      <c r="E78" s="474">
        <v>1468</v>
      </c>
      <c r="F78" s="474">
        <v>1417</v>
      </c>
    </row>
    <row r="79" spans="1:8" ht="31">
      <c r="A79" s="413" t="str">
        <f t="shared" si="15"/>
        <v>North Lanarkshire2022-23</v>
      </c>
      <c r="B79" s="451" t="s">
        <v>749</v>
      </c>
      <c r="C79" s="464">
        <v>320</v>
      </c>
      <c r="D79" s="464" t="s">
        <v>34</v>
      </c>
      <c r="E79" s="474">
        <v>4007</v>
      </c>
      <c r="F79" s="474">
        <v>3796</v>
      </c>
    </row>
    <row r="80" spans="1:8" ht="31">
      <c r="A80" s="413" t="str">
        <f t="shared" si="15"/>
        <v>Orkney Islands2022-23</v>
      </c>
      <c r="B80" s="451" t="s">
        <v>749</v>
      </c>
      <c r="C80" s="464">
        <v>330</v>
      </c>
      <c r="D80" s="464" t="s">
        <v>35</v>
      </c>
      <c r="E80" s="474">
        <v>241</v>
      </c>
      <c r="F80" s="474" t="s">
        <v>701</v>
      </c>
    </row>
    <row r="81" spans="1:6" ht="31">
      <c r="A81" s="413" t="str">
        <f t="shared" si="15"/>
        <v>Perth and Kinross2022-23</v>
      </c>
      <c r="B81" s="451" t="s">
        <v>749</v>
      </c>
      <c r="C81" s="464">
        <v>340</v>
      </c>
      <c r="D81" s="464" t="s">
        <v>36</v>
      </c>
      <c r="E81" s="474">
        <v>1342</v>
      </c>
      <c r="F81" s="474">
        <v>1288</v>
      </c>
    </row>
    <row r="82" spans="1:6" ht="31">
      <c r="A82" s="413" t="str">
        <f t="shared" si="15"/>
        <v>Renfrewshire2022-23</v>
      </c>
      <c r="B82" s="451" t="s">
        <v>749</v>
      </c>
      <c r="C82" s="464">
        <v>350</v>
      </c>
      <c r="D82" s="464" t="s">
        <v>37</v>
      </c>
      <c r="E82" s="474">
        <v>1937</v>
      </c>
      <c r="F82" s="474">
        <v>1867</v>
      </c>
    </row>
    <row r="83" spans="1:6" ht="31">
      <c r="A83" s="413" t="str">
        <f t="shared" si="15"/>
        <v>Scottish Borders2022-23</v>
      </c>
      <c r="B83" s="451" t="s">
        <v>749</v>
      </c>
      <c r="C83" s="464">
        <v>355</v>
      </c>
      <c r="D83" s="464" t="s">
        <v>38</v>
      </c>
      <c r="E83" s="474">
        <v>1203</v>
      </c>
      <c r="F83" s="474">
        <v>1165</v>
      </c>
    </row>
    <row r="84" spans="1:6" ht="31">
      <c r="A84" s="413" t="str">
        <f t="shared" si="15"/>
        <v>Shetland Islands2022-23</v>
      </c>
      <c r="B84" s="451" t="s">
        <v>749</v>
      </c>
      <c r="C84" s="464">
        <v>360</v>
      </c>
      <c r="D84" s="464" t="s">
        <v>39</v>
      </c>
      <c r="E84" s="474">
        <v>285</v>
      </c>
      <c r="F84" s="474">
        <v>271</v>
      </c>
    </row>
    <row r="85" spans="1:6" ht="31">
      <c r="A85" s="413" t="str">
        <f t="shared" si="15"/>
        <v>South Ayrshire2022-23</v>
      </c>
      <c r="B85" s="451" t="s">
        <v>749</v>
      </c>
      <c r="C85" s="464">
        <v>370</v>
      </c>
      <c r="D85" s="464" t="s">
        <v>40</v>
      </c>
      <c r="E85" s="474">
        <v>1200</v>
      </c>
      <c r="F85" s="474">
        <v>1177</v>
      </c>
    </row>
    <row r="86" spans="1:6" ht="31">
      <c r="A86" s="413" t="str">
        <f t="shared" si="15"/>
        <v>South Lanarkshire2022-23</v>
      </c>
      <c r="B86" s="451" t="s">
        <v>749</v>
      </c>
      <c r="C86" s="464">
        <v>380</v>
      </c>
      <c r="D86" s="464" t="s">
        <v>41</v>
      </c>
      <c r="E86" s="474">
        <v>3650</v>
      </c>
      <c r="F86" s="474">
        <v>3536</v>
      </c>
    </row>
    <row r="87" spans="1:6" ht="15.5">
      <c r="A87" s="413" t="str">
        <f t="shared" si="15"/>
        <v>Stirling2022-23</v>
      </c>
      <c r="B87" s="451" t="s">
        <v>749</v>
      </c>
      <c r="C87" s="464">
        <v>390</v>
      </c>
      <c r="D87" s="464" t="s">
        <v>42</v>
      </c>
      <c r="E87" s="474">
        <v>1091</v>
      </c>
      <c r="F87" s="474">
        <v>1029</v>
      </c>
    </row>
    <row r="88" spans="1:6" ht="46.5">
      <c r="A88" s="413" t="str">
        <f t="shared" si="15"/>
        <v>West Dunbartonshire2022-23</v>
      </c>
      <c r="B88" s="451" t="s">
        <v>749</v>
      </c>
      <c r="C88" s="464">
        <v>395</v>
      </c>
      <c r="D88" s="464" t="s">
        <v>43</v>
      </c>
      <c r="E88" s="474">
        <v>1010</v>
      </c>
      <c r="F88" s="474">
        <v>963</v>
      </c>
    </row>
    <row r="89" spans="1:6" ht="31">
      <c r="A89" s="413" t="str">
        <f t="shared" si="15"/>
        <v>West Lothian2022-23</v>
      </c>
      <c r="B89" s="451" t="s">
        <v>749</v>
      </c>
      <c r="C89" s="464">
        <v>400</v>
      </c>
      <c r="D89" s="464" t="s">
        <v>44</v>
      </c>
      <c r="E89" s="474">
        <v>2132</v>
      </c>
      <c r="F89" s="474">
        <v>2007</v>
      </c>
    </row>
    <row r="90" spans="1:6" ht="15.5">
      <c r="A90" s="413" t="str">
        <f t="shared" si="15"/>
        <v>Scotland2022-23</v>
      </c>
      <c r="B90" s="446" t="s">
        <v>749</v>
      </c>
      <c r="C90" s="465">
        <v>999</v>
      </c>
      <c r="D90" s="465" t="s">
        <v>45</v>
      </c>
      <c r="E90" s="475">
        <v>54743</v>
      </c>
      <c r="F90" s="475">
        <v>52480</v>
      </c>
    </row>
    <row r="91" spans="1:6" ht="15.5">
      <c r="A91" s="413" t="str">
        <f t="shared" si="15"/>
        <v>Aberdeen City2021-22</v>
      </c>
      <c r="B91" s="464" t="s">
        <v>750</v>
      </c>
      <c r="C91" s="451">
        <v>100</v>
      </c>
      <c r="D91" s="467" t="s">
        <v>14</v>
      </c>
      <c r="E91" s="474">
        <v>1795</v>
      </c>
      <c r="F91" s="474">
        <v>1684</v>
      </c>
    </row>
    <row r="92" spans="1:6" ht="15.5">
      <c r="A92" s="413" t="str">
        <f t="shared" si="15"/>
        <v>Aberdeenshire2021-22</v>
      </c>
      <c r="B92" s="464" t="s">
        <v>750</v>
      </c>
      <c r="C92" s="451">
        <v>110</v>
      </c>
      <c r="D92" s="467" t="s">
        <v>15</v>
      </c>
      <c r="E92" s="474">
        <v>2807</v>
      </c>
      <c r="F92" s="474">
        <v>2713</v>
      </c>
    </row>
    <row r="93" spans="1:6" ht="15.5">
      <c r="A93" s="413" t="str">
        <f t="shared" si="15"/>
        <v>Angus2021-22</v>
      </c>
      <c r="B93" s="464" t="s">
        <v>750</v>
      </c>
      <c r="C93" s="451">
        <v>120</v>
      </c>
      <c r="D93" s="467" t="s">
        <v>16</v>
      </c>
      <c r="E93" s="474">
        <v>1312</v>
      </c>
      <c r="F93" s="474">
        <v>1222</v>
      </c>
    </row>
    <row r="94" spans="1:6" ht="15.5">
      <c r="A94" s="413" t="str">
        <f t="shared" si="15"/>
        <v>Argyll and Bute2021-22</v>
      </c>
      <c r="B94" s="464" t="s">
        <v>750</v>
      </c>
      <c r="C94" s="451">
        <v>130</v>
      </c>
      <c r="D94" s="467" t="s">
        <v>17</v>
      </c>
      <c r="E94" s="474">
        <v>840</v>
      </c>
      <c r="F94" s="474">
        <v>810</v>
      </c>
    </row>
    <row r="95" spans="1:6" ht="15.5">
      <c r="A95" s="413" t="str">
        <f t="shared" si="15"/>
        <v>Clackmannanshire2021-22</v>
      </c>
      <c r="B95" s="464" t="s">
        <v>750</v>
      </c>
      <c r="C95" s="451">
        <v>150</v>
      </c>
      <c r="D95" s="467" t="s">
        <v>18</v>
      </c>
      <c r="E95" s="474">
        <v>542</v>
      </c>
      <c r="F95" s="474">
        <v>523</v>
      </c>
    </row>
    <row r="96" spans="1:6" ht="15.5">
      <c r="A96" s="413" t="str">
        <f t="shared" si="15"/>
        <v>Dumfries and Galloway2021-22</v>
      </c>
      <c r="B96" s="464" t="s">
        <v>750</v>
      </c>
      <c r="C96" s="451">
        <v>170</v>
      </c>
      <c r="D96" s="467" t="s">
        <v>19</v>
      </c>
      <c r="E96" s="474">
        <v>1647</v>
      </c>
      <c r="F96" s="474">
        <v>1579</v>
      </c>
    </row>
    <row r="97" spans="1:6" ht="15.5">
      <c r="A97" s="413" t="str">
        <f t="shared" si="15"/>
        <v>Dundee City2021-22</v>
      </c>
      <c r="B97" s="464" t="s">
        <v>750</v>
      </c>
      <c r="C97" s="451">
        <v>180</v>
      </c>
      <c r="D97" s="467" t="s">
        <v>20</v>
      </c>
      <c r="E97" s="474">
        <v>1394</v>
      </c>
      <c r="F97" s="474">
        <v>1309</v>
      </c>
    </row>
    <row r="98" spans="1:6" ht="15.5">
      <c r="A98" s="413" t="str">
        <f t="shared" si="15"/>
        <v>East Ayrshire2021-22</v>
      </c>
      <c r="B98" s="464" t="s">
        <v>750</v>
      </c>
      <c r="C98" s="451">
        <v>190</v>
      </c>
      <c r="D98" s="467" t="s">
        <v>21</v>
      </c>
      <c r="E98" s="474">
        <v>1302</v>
      </c>
      <c r="F98" s="474">
        <v>1261</v>
      </c>
    </row>
    <row r="99" spans="1:6" ht="15.5">
      <c r="A99" s="413" t="str">
        <f t="shared" si="15"/>
        <v>East Dunbartonshire2021-22</v>
      </c>
      <c r="B99" s="464" t="s">
        <v>750</v>
      </c>
      <c r="C99" s="451">
        <v>200</v>
      </c>
      <c r="D99" s="467" t="s">
        <v>22</v>
      </c>
      <c r="E99" s="474">
        <v>1427</v>
      </c>
      <c r="F99" s="474">
        <v>1412</v>
      </c>
    </row>
    <row r="100" spans="1:6" ht="15.5">
      <c r="A100" s="413" t="str">
        <f t="shared" si="15"/>
        <v>East Lothian2021-22</v>
      </c>
      <c r="B100" s="464" t="s">
        <v>750</v>
      </c>
      <c r="C100" s="451">
        <v>210</v>
      </c>
      <c r="D100" s="467" t="s">
        <v>23</v>
      </c>
      <c r="E100" s="474">
        <v>1102</v>
      </c>
      <c r="F100" s="474">
        <v>1054</v>
      </c>
    </row>
    <row r="101" spans="1:6" ht="15.5">
      <c r="A101" s="413" t="str">
        <f t="shared" si="15"/>
        <v>East Renfrewshire2021-22</v>
      </c>
      <c r="B101" s="464" t="s">
        <v>750</v>
      </c>
      <c r="C101" s="451">
        <v>220</v>
      </c>
      <c r="D101" s="467" t="s">
        <v>24</v>
      </c>
      <c r="E101" s="474">
        <v>1430</v>
      </c>
      <c r="F101" s="474">
        <v>1408</v>
      </c>
    </row>
    <row r="102" spans="1:6" ht="15.5">
      <c r="A102" s="413" t="str">
        <f t="shared" si="15"/>
        <v>Edinburgh, City of2021-22</v>
      </c>
      <c r="B102" s="464" t="s">
        <v>750</v>
      </c>
      <c r="C102" s="451">
        <v>230</v>
      </c>
      <c r="D102" s="467" t="s">
        <v>189</v>
      </c>
      <c r="E102" s="474">
        <v>3596</v>
      </c>
      <c r="F102" s="474">
        <v>3457</v>
      </c>
    </row>
    <row r="103" spans="1:6" ht="15.5">
      <c r="A103" s="413" t="str">
        <f t="shared" si="15"/>
        <v>Falkirk2021-22</v>
      </c>
      <c r="B103" s="464" t="s">
        <v>750</v>
      </c>
      <c r="C103" s="451">
        <v>240</v>
      </c>
      <c r="D103" s="467" t="s">
        <v>25</v>
      </c>
      <c r="E103" s="474">
        <v>1704</v>
      </c>
      <c r="F103" s="474">
        <v>1606</v>
      </c>
    </row>
    <row r="104" spans="1:6" ht="15.5">
      <c r="A104" s="413" t="str">
        <f t="shared" si="15"/>
        <v>Fife2021-22</v>
      </c>
      <c r="B104" s="464" t="s">
        <v>750</v>
      </c>
      <c r="C104" s="451">
        <v>250</v>
      </c>
      <c r="D104" s="467" t="s">
        <v>26</v>
      </c>
      <c r="E104" s="474">
        <v>4088</v>
      </c>
      <c r="F104" s="474">
        <v>3877</v>
      </c>
    </row>
    <row r="105" spans="1:6" ht="15.5">
      <c r="A105" s="413" t="str">
        <f t="shared" si="15"/>
        <v>Glasgow City2021-22</v>
      </c>
      <c r="B105" s="464" t="s">
        <v>750</v>
      </c>
      <c r="C105" s="451">
        <v>260</v>
      </c>
      <c r="D105" s="467" t="s">
        <v>27</v>
      </c>
      <c r="E105" s="474">
        <v>4985</v>
      </c>
      <c r="F105" s="474">
        <v>4838</v>
      </c>
    </row>
    <row r="106" spans="1:6" ht="15.5">
      <c r="A106" s="413" t="str">
        <f t="shared" si="15"/>
        <v>Highland2021-22</v>
      </c>
      <c r="B106" s="464" t="s">
        <v>750</v>
      </c>
      <c r="C106" s="451">
        <v>270</v>
      </c>
      <c r="D106" s="467" t="s">
        <v>28</v>
      </c>
      <c r="E106" s="474">
        <v>2562</v>
      </c>
      <c r="F106" s="474">
        <v>2420</v>
      </c>
    </row>
    <row r="107" spans="1:6" ht="15.5">
      <c r="A107" s="413" t="str">
        <f t="shared" si="15"/>
        <v>Inverclyde2021-22</v>
      </c>
      <c r="B107" s="464" t="s">
        <v>750</v>
      </c>
      <c r="C107" s="451">
        <v>280</v>
      </c>
      <c r="D107" s="467" t="s">
        <v>29</v>
      </c>
      <c r="E107" s="474">
        <v>835</v>
      </c>
      <c r="F107" s="474">
        <v>785</v>
      </c>
    </row>
    <row r="108" spans="1:6" ht="15.5">
      <c r="A108" s="413" t="str">
        <f t="shared" si="15"/>
        <v>Midlothian2021-22</v>
      </c>
      <c r="B108" s="464" t="s">
        <v>750</v>
      </c>
      <c r="C108" s="451">
        <v>290</v>
      </c>
      <c r="D108" s="467" t="s">
        <v>30</v>
      </c>
      <c r="E108" s="474">
        <v>1087</v>
      </c>
      <c r="F108" s="474">
        <v>1038</v>
      </c>
    </row>
    <row r="109" spans="1:6" ht="15.5">
      <c r="A109" s="413" t="str">
        <f t="shared" si="15"/>
        <v>Moray2021-22</v>
      </c>
      <c r="B109" s="464" t="s">
        <v>750</v>
      </c>
      <c r="C109" s="451">
        <v>300</v>
      </c>
      <c r="D109" s="467" t="s">
        <v>31</v>
      </c>
      <c r="E109" s="474">
        <v>963</v>
      </c>
      <c r="F109" s="474">
        <v>926</v>
      </c>
    </row>
    <row r="110" spans="1:6" ht="15.5">
      <c r="A110" s="413" t="str">
        <f t="shared" si="15"/>
        <v>Na h-Eileanan Siar2021-22</v>
      </c>
      <c r="B110" s="464" t="s">
        <v>750</v>
      </c>
      <c r="C110" s="451">
        <v>235</v>
      </c>
      <c r="D110" s="467" t="s">
        <v>32</v>
      </c>
      <c r="E110" s="474">
        <v>267</v>
      </c>
      <c r="F110" s="474" t="s">
        <v>701</v>
      </c>
    </row>
    <row r="111" spans="1:6" ht="15.5">
      <c r="A111" s="413" t="str">
        <f t="shared" si="15"/>
        <v>North Ayrshire2021-22</v>
      </c>
      <c r="B111" s="464" t="s">
        <v>750</v>
      </c>
      <c r="C111" s="451">
        <v>310</v>
      </c>
      <c r="D111" s="467" t="s">
        <v>33</v>
      </c>
      <c r="E111" s="474">
        <v>1520</v>
      </c>
      <c r="F111" s="474">
        <v>1459</v>
      </c>
    </row>
    <row r="112" spans="1:6" ht="15.5">
      <c r="A112" s="413" t="str">
        <f t="shared" si="15"/>
        <v>North Lanarkshire2021-22</v>
      </c>
      <c r="B112" s="464" t="s">
        <v>750</v>
      </c>
      <c r="C112" s="451">
        <v>320</v>
      </c>
      <c r="D112" s="467" t="s">
        <v>34</v>
      </c>
      <c r="E112" s="474">
        <v>3904</v>
      </c>
      <c r="F112" s="474">
        <v>3676</v>
      </c>
    </row>
    <row r="113" spans="1:6" ht="15.5">
      <c r="A113" s="413" t="str">
        <f t="shared" si="15"/>
        <v>Orkney Islands2021-22</v>
      </c>
      <c r="B113" s="464" t="s">
        <v>750</v>
      </c>
      <c r="C113" s="451">
        <v>330</v>
      </c>
      <c r="D113" s="467" t="s">
        <v>35</v>
      </c>
      <c r="E113" s="474">
        <v>213</v>
      </c>
      <c r="F113" s="474">
        <v>202</v>
      </c>
    </row>
    <row r="114" spans="1:6" ht="15.5">
      <c r="A114" s="413" t="str">
        <f t="shared" si="15"/>
        <v>Perth and Kinross2021-22</v>
      </c>
      <c r="B114" s="464" t="s">
        <v>750</v>
      </c>
      <c r="C114" s="451">
        <v>340</v>
      </c>
      <c r="D114" s="467" t="s">
        <v>36</v>
      </c>
      <c r="E114" s="474">
        <v>1464</v>
      </c>
      <c r="F114" s="474">
        <v>1388</v>
      </c>
    </row>
    <row r="115" spans="1:6" ht="15.5">
      <c r="A115" s="413" t="str">
        <f t="shared" si="15"/>
        <v>Renfrewshire2021-22</v>
      </c>
      <c r="B115" s="464" t="s">
        <v>750</v>
      </c>
      <c r="C115" s="451">
        <v>350</v>
      </c>
      <c r="D115" s="467" t="s">
        <v>37</v>
      </c>
      <c r="E115" s="474">
        <v>1908</v>
      </c>
      <c r="F115" s="474">
        <v>1844</v>
      </c>
    </row>
    <row r="116" spans="1:6" ht="15.5">
      <c r="A116" s="413" t="str">
        <f t="shared" si="15"/>
        <v>Scottish Borders2021-22</v>
      </c>
      <c r="B116" s="464" t="s">
        <v>750</v>
      </c>
      <c r="C116" s="451">
        <v>355</v>
      </c>
      <c r="D116" s="467" t="s">
        <v>38</v>
      </c>
      <c r="E116" s="474">
        <v>1253</v>
      </c>
      <c r="F116" s="474">
        <v>1210</v>
      </c>
    </row>
    <row r="117" spans="1:6" ht="15.5">
      <c r="A117" s="413" t="str">
        <f t="shared" si="15"/>
        <v>Shetland Islands2021-22</v>
      </c>
      <c r="B117" s="464" t="s">
        <v>750</v>
      </c>
      <c r="C117" s="451">
        <v>360</v>
      </c>
      <c r="D117" s="467" t="s">
        <v>39</v>
      </c>
      <c r="E117" s="474">
        <v>260</v>
      </c>
      <c r="F117" s="474">
        <v>247</v>
      </c>
    </row>
    <row r="118" spans="1:6" ht="15.5">
      <c r="A118" s="413" t="str">
        <f t="shared" si="15"/>
        <v>South Ayrshire2021-22</v>
      </c>
      <c r="B118" s="464" t="s">
        <v>750</v>
      </c>
      <c r="C118" s="451">
        <v>370</v>
      </c>
      <c r="D118" s="467" t="s">
        <v>40</v>
      </c>
      <c r="E118" s="474">
        <v>1180</v>
      </c>
      <c r="F118" s="474">
        <v>1163</v>
      </c>
    </row>
    <row r="119" spans="1:6" ht="15.5">
      <c r="A119" s="413" t="str">
        <f t="shared" si="15"/>
        <v>South Lanarkshire2021-22</v>
      </c>
      <c r="B119" s="464" t="s">
        <v>750</v>
      </c>
      <c r="C119" s="451">
        <v>380</v>
      </c>
      <c r="D119" s="467" t="s">
        <v>41</v>
      </c>
      <c r="E119" s="474">
        <v>3443</v>
      </c>
      <c r="F119" s="474">
        <v>3313</v>
      </c>
    </row>
    <row r="120" spans="1:6" ht="15.5">
      <c r="A120" s="413" t="str">
        <f t="shared" si="15"/>
        <v>Stirling2021-22</v>
      </c>
      <c r="B120" s="464" t="s">
        <v>750</v>
      </c>
      <c r="C120" s="451">
        <v>390</v>
      </c>
      <c r="D120" s="467" t="s">
        <v>42</v>
      </c>
      <c r="E120" s="474">
        <v>1142</v>
      </c>
      <c r="F120" s="474">
        <v>1098</v>
      </c>
    </row>
    <row r="121" spans="1:6" ht="15.5">
      <c r="A121" s="413" t="str">
        <f t="shared" si="15"/>
        <v>West Dunbartonshire2021-22</v>
      </c>
      <c r="B121" s="464" t="s">
        <v>750</v>
      </c>
      <c r="C121" s="451">
        <v>395</v>
      </c>
      <c r="D121" s="467" t="s">
        <v>43</v>
      </c>
      <c r="E121" s="474">
        <v>981</v>
      </c>
      <c r="F121" s="474">
        <v>933</v>
      </c>
    </row>
    <row r="122" spans="1:6" ht="15.5">
      <c r="A122" s="413" t="str">
        <f t="shared" ref="A122:A185" si="16">D122&amp;B122</f>
        <v>West Lothian2021-22</v>
      </c>
      <c r="B122" s="464" t="s">
        <v>750</v>
      </c>
      <c r="C122" s="451">
        <v>400</v>
      </c>
      <c r="D122" s="467" t="s">
        <v>44</v>
      </c>
      <c r="E122" s="474">
        <v>2185</v>
      </c>
      <c r="F122" s="474">
        <v>2067</v>
      </c>
    </row>
    <row r="123" spans="1:6" ht="15.5">
      <c r="A123" s="413" t="str">
        <f t="shared" si="16"/>
        <v>Scotland2021-22</v>
      </c>
      <c r="B123" s="465" t="s">
        <v>750</v>
      </c>
      <c r="C123" s="1">
        <v>999</v>
      </c>
      <c r="D123" s="466" t="s">
        <v>45</v>
      </c>
      <c r="E123" s="475">
        <v>55237</v>
      </c>
      <c r="F123" s="475">
        <v>52879</v>
      </c>
    </row>
    <row r="124" spans="1:6" ht="15.5">
      <c r="A124" s="413" t="str">
        <f t="shared" si="16"/>
        <v>Aberdeen City2020-21</v>
      </c>
      <c r="B124" s="467" t="s">
        <v>617</v>
      </c>
      <c r="C124" s="451">
        <v>100</v>
      </c>
      <c r="D124" s="467" t="s">
        <v>14</v>
      </c>
      <c r="E124" s="468">
        <v>1472</v>
      </c>
      <c r="F124" s="468">
        <v>1404</v>
      </c>
    </row>
    <row r="125" spans="1:6" ht="15.5">
      <c r="A125" s="413" t="str">
        <f t="shared" si="16"/>
        <v>Aberdeenshire2020-21</v>
      </c>
      <c r="B125" s="467" t="s">
        <v>617</v>
      </c>
      <c r="C125" s="451">
        <v>110</v>
      </c>
      <c r="D125" s="467" t="s">
        <v>15</v>
      </c>
      <c r="E125" s="468">
        <v>2635</v>
      </c>
      <c r="F125" s="468">
        <v>2535</v>
      </c>
    </row>
    <row r="126" spans="1:6" ht="15.5">
      <c r="A126" s="413" t="str">
        <f t="shared" si="16"/>
        <v>Angus2020-21</v>
      </c>
      <c r="B126" s="467" t="s">
        <v>617</v>
      </c>
      <c r="C126" s="451">
        <v>120</v>
      </c>
      <c r="D126" s="467" t="s">
        <v>16</v>
      </c>
      <c r="E126" s="468">
        <v>1197</v>
      </c>
      <c r="F126" s="468">
        <v>1146</v>
      </c>
    </row>
    <row r="127" spans="1:6" ht="15.5">
      <c r="A127" s="413" t="str">
        <f t="shared" si="16"/>
        <v>Argyll and Bute2020-21</v>
      </c>
      <c r="B127" s="467" t="s">
        <v>617</v>
      </c>
      <c r="C127" s="451">
        <v>130</v>
      </c>
      <c r="D127" s="467" t="s">
        <v>17</v>
      </c>
      <c r="E127" s="468">
        <v>803</v>
      </c>
      <c r="F127" s="468">
        <v>763</v>
      </c>
    </row>
    <row r="128" spans="1:6" ht="15.5">
      <c r="A128" s="413" t="str">
        <f t="shared" si="16"/>
        <v>Clackmannanshire2020-21</v>
      </c>
      <c r="B128" s="467" t="s">
        <v>617</v>
      </c>
      <c r="C128" s="451">
        <v>150</v>
      </c>
      <c r="D128" s="467" t="s">
        <v>18</v>
      </c>
      <c r="E128" s="468">
        <v>392</v>
      </c>
      <c r="F128" s="468">
        <v>376</v>
      </c>
    </row>
    <row r="129" spans="1:6" ht="15.5">
      <c r="A129" s="413" t="str">
        <f t="shared" si="16"/>
        <v>Dumfries and Galloway2020-21</v>
      </c>
      <c r="B129" s="467" t="s">
        <v>617</v>
      </c>
      <c r="C129" s="451">
        <v>170</v>
      </c>
      <c r="D129" s="467" t="s">
        <v>19</v>
      </c>
      <c r="E129" s="468">
        <v>1478</v>
      </c>
      <c r="F129" s="468">
        <v>1398</v>
      </c>
    </row>
    <row r="130" spans="1:6" ht="15.5">
      <c r="A130" s="413" t="str">
        <f t="shared" si="16"/>
        <v>Dundee City2020-21</v>
      </c>
      <c r="B130" s="467" t="s">
        <v>617</v>
      </c>
      <c r="C130" s="451">
        <v>180</v>
      </c>
      <c r="D130" s="467" t="s">
        <v>20</v>
      </c>
      <c r="E130" s="468">
        <v>1224</v>
      </c>
      <c r="F130" s="468">
        <v>1146</v>
      </c>
    </row>
    <row r="131" spans="1:6" ht="15.5">
      <c r="A131" s="413" t="str">
        <f t="shared" si="16"/>
        <v>East Ayrshire2020-21</v>
      </c>
      <c r="B131" s="467" t="s">
        <v>617</v>
      </c>
      <c r="C131" s="451">
        <v>190</v>
      </c>
      <c r="D131" s="467" t="s">
        <v>21</v>
      </c>
      <c r="E131" s="468">
        <v>1208</v>
      </c>
      <c r="F131" s="468">
        <v>1156</v>
      </c>
    </row>
    <row r="132" spans="1:6" ht="15.5">
      <c r="A132" s="413" t="str">
        <f t="shared" si="16"/>
        <v>East Dunbartonshire2020-21</v>
      </c>
      <c r="B132" s="467" t="s">
        <v>617</v>
      </c>
      <c r="C132" s="451">
        <v>200</v>
      </c>
      <c r="D132" s="467" t="s">
        <v>22</v>
      </c>
      <c r="E132" s="468">
        <v>1324</v>
      </c>
      <c r="F132" s="468">
        <v>1306</v>
      </c>
    </row>
    <row r="133" spans="1:6" ht="15.5">
      <c r="A133" s="413" t="str">
        <f t="shared" si="16"/>
        <v>East Lothian2020-21</v>
      </c>
      <c r="B133" s="467" t="s">
        <v>617</v>
      </c>
      <c r="C133" s="451">
        <v>210</v>
      </c>
      <c r="D133" s="467" t="s">
        <v>23</v>
      </c>
      <c r="E133" s="468">
        <v>1089</v>
      </c>
      <c r="F133" s="468">
        <v>1047</v>
      </c>
    </row>
    <row r="134" spans="1:6" ht="15.5">
      <c r="A134" s="413" t="str">
        <f t="shared" si="16"/>
        <v>East Renfrewshire2020-21</v>
      </c>
      <c r="B134" s="467" t="s">
        <v>617</v>
      </c>
      <c r="C134" s="451">
        <v>220</v>
      </c>
      <c r="D134" s="467" t="s">
        <v>24</v>
      </c>
      <c r="E134" s="468">
        <v>1383</v>
      </c>
      <c r="F134" s="468">
        <v>1347</v>
      </c>
    </row>
    <row r="135" spans="1:6" ht="15.5">
      <c r="A135" s="413" t="str">
        <f t="shared" si="16"/>
        <v>Edinburgh, City of2020-21</v>
      </c>
      <c r="B135" s="467" t="s">
        <v>617</v>
      </c>
      <c r="C135" s="451">
        <v>230</v>
      </c>
      <c r="D135" s="467" t="s">
        <v>189</v>
      </c>
      <c r="E135" s="468">
        <v>3247</v>
      </c>
      <c r="F135" s="468">
        <v>3089</v>
      </c>
    </row>
    <row r="136" spans="1:6" ht="15.5">
      <c r="A136" s="413" t="str">
        <f t="shared" si="16"/>
        <v>Falkirk2020-21</v>
      </c>
      <c r="B136" s="467" t="s">
        <v>617</v>
      </c>
      <c r="C136" s="451">
        <v>240</v>
      </c>
      <c r="D136" s="467" t="s">
        <v>25</v>
      </c>
      <c r="E136" s="468">
        <v>1554</v>
      </c>
      <c r="F136" s="468">
        <v>1483</v>
      </c>
    </row>
    <row r="137" spans="1:6" ht="15.5">
      <c r="A137" s="413" t="str">
        <f t="shared" si="16"/>
        <v>Fife2020-21</v>
      </c>
      <c r="B137" s="467" t="s">
        <v>617</v>
      </c>
      <c r="C137" s="451">
        <v>250</v>
      </c>
      <c r="D137" s="467" t="s">
        <v>26</v>
      </c>
      <c r="E137" s="468">
        <v>3752</v>
      </c>
      <c r="F137" s="468">
        <v>3522</v>
      </c>
    </row>
    <row r="138" spans="1:6" ht="15.5">
      <c r="A138" s="413" t="str">
        <f t="shared" si="16"/>
        <v>Glasgow City2020-21</v>
      </c>
      <c r="B138" s="467" t="s">
        <v>617</v>
      </c>
      <c r="C138" s="451">
        <v>260</v>
      </c>
      <c r="D138" s="467" t="s">
        <v>27</v>
      </c>
      <c r="E138" s="468">
        <v>4578</v>
      </c>
      <c r="F138" s="468">
        <v>4405</v>
      </c>
    </row>
    <row r="139" spans="1:6" ht="15.5">
      <c r="A139" s="413" t="str">
        <f t="shared" si="16"/>
        <v>Highland2020-21</v>
      </c>
      <c r="B139" s="467" t="s">
        <v>617</v>
      </c>
      <c r="C139" s="451">
        <v>270</v>
      </c>
      <c r="D139" s="467" t="s">
        <v>28</v>
      </c>
      <c r="E139" s="468">
        <v>2333</v>
      </c>
      <c r="F139" s="468">
        <v>2199</v>
      </c>
    </row>
    <row r="140" spans="1:6" ht="15.5">
      <c r="A140" s="413" t="str">
        <f t="shared" si="16"/>
        <v>Inverclyde2020-21</v>
      </c>
      <c r="B140" s="467" t="s">
        <v>617</v>
      </c>
      <c r="C140" s="451">
        <v>280</v>
      </c>
      <c r="D140" s="467" t="s">
        <v>29</v>
      </c>
      <c r="E140" s="468">
        <v>739</v>
      </c>
      <c r="F140" s="468">
        <v>705</v>
      </c>
    </row>
    <row r="141" spans="1:6" ht="15.5">
      <c r="A141" s="413" t="str">
        <f t="shared" si="16"/>
        <v>Midlothian2020-21</v>
      </c>
      <c r="B141" s="467" t="s">
        <v>617</v>
      </c>
      <c r="C141" s="451">
        <v>290</v>
      </c>
      <c r="D141" s="467" t="s">
        <v>30</v>
      </c>
      <c r="E141" s="468">
        <v>877</v>
      </c>
      <c r="F141" s="468">
        <v>837</v>
      </c>
    </row>
    <row r="142" spans="1:6" ht="15.5">
      <c r="A142" s="413" t="str">
        <f t="shared" si="16"/>
        <v>Moray2020-21</v>
      </c>
      <c r="B142" s="467" t="s">
        <v>617</v>
      </c>
      <c r="C142" s="451">
        <v>300</v>
      </c>
      <c r="D142" s="467" t="s">
        <v>31</v>
      </c>
      <c r="E142" s="468">
        <v>879</v>
      </c>
      <c r="F142" s="468">
        <v>827</v>
      </c>
    </row>
    <row r="143" spans="1:6" ht="15.5">
      <c r="A143" s="413" t="str">
        <f t="shared" si="16"/>
        <v>Na h-Eileanan Siar2020-21</v>
      </c>
      <c r="B143" s="467" t="s">
        <v>617</v>
      </c>
      <c r="C143" s="451">
        <v>235</v>
      </c>
      <c r="D143" s="467" t="s">
        <v>32</v>
      </c>
      <c r="E143" s="468">
        <v>280</v>
      </c>
      <c r="F143" s="468" t="s">
        <v>702</v>
      </c>
    </row>
    <row r="144" spans="1:6" ht="15.5">
      <c r="A144" s="413" t="str">
        <f t="shared" si="16"/>
        <v>North Ayrshire2020-21</v>
      </c>
      <c r="B144" s="467" t="s">
        <v>617</v>
      </c>
      <c r="C144" s="451">
        <v>310</v>
      </c>
      <c r="D144" s="467" t="s">
        <v>33</v>
      </c>
      <c r="E144" s="468">
        <v>1375</v>
      </c>
      <c r="F144" s="468">
        <v>1309</v>
      </c>
    </row>
    <row r="145" spans="1:6" ht="15.5">
      <c r="A145" s="413" t="str">
        <f t="shared" si="16"/>
        <v>North Lanarkshire2020-21</v>
      </c>
      <c r="B145" s="467" t="s">
        <v>617</v>
      </c>
      <c r="C145" s="451">
        <v>320</v>
      </c>
      <c r="D145" s="467" t="s">
        <v>34</v>
      </c>
      <c r="E145" s="468">
        <v>3696</v>
      </c>
      <c r="F145" s="468">
        <v>3492</v>
      </c>
    </row>
    <row r="146" spans="1:6" ht="15.5">
      <c r="A146" s="413" t="str">
        <f t="shared" si="16"/>
        <v>Orkney Islands2020-21</v>
      </c>
      <c r="B146" s="467" t="s">
        <v>617</v>
      </c>
      <c r="C146" s="451">
        <v>330</v>
      </c>
      <c r="D146" s="467" t="s">
        <v>35</v>
      </c>
      <c r="E146" s="468">
        <v>202</v>
      </c>
      <c r="F146" s="468">
        <v>195</v>
      </c>
    </row>
    <row r="147" spans="1:6" ht="15.5">
      <c r="A147" s="413" t="str">
        <f t="shared" si="16"/>
        <v>Perth and Kinross2020-21</v>
      </c>
      <c r="B147" s="467" t="s">
        <v>617</v>
      </c>
      <c r="C147" s="451">
        <v>340</v>
      </c>
      <c r="D147" s="467" t="s">
        <v>36</v>
      </c>
      <c r="E147" s="468">
        <v>1417</v>
      </c>
      <c r="F147" s="468">
        <v>1368</v>
      </c>
    </row>
    <row r="148" spans="1:6" ht="15.5">
      <c r="A148" s="413" t="str">
        <f t="shared" si="16"/>
        <v>Renfrewshire2020-21</v>
      </c>
      <c r="B148" s="467" t="s">
        <v>617</v>
      </c>
      <c r="C148" s="451">
        <v>350</v>
      </c>
      <c r="D148" s="467" t="s">
        <v>37</v>
      </c>
      <c r="E148" s="468">
        <v>1666</v>
      </c>
      <c r="F148" s="468">
        <v>1608</v>
      </c>
    </row>
    <row r="149" spans="1:6" ht="15.5">
      <c r="A149" s="413" t="str">
        <f t="shared" si="16"/>
        <v>Scottish Borders2020-21</v>
      </c>
      <c r="B149" s="467" t="s">
        <v>617</v>
      </c>
      <c r="C149" s="451">
        <v>355</v>
      </c>
      <c r="D149" s="467" t="s">
        <v>38</v>
      </c>
      <c r="E149" s="468">
        <v>1109</v>
      </c>
      <c r="F149" s="468">
        <v>1059</v>
      </c>
    </row>
    <row r="150" spans="1:6" ht="15.5">
      <c r="A150" s="413" t="str">
        <f t="shared" si="16"/>
        <v>Shetland Islands2020-21</v>
      </c>
      <c r="B150" s="467" t="s">
        <v>617</v>
      </c>
      <c r="C150" s="451">
        <v>360</v>
      </c>
      <c r="D150" s="467" t="s">
        <v>39</v>
      </c>
      <c r="E150" s="468">
        <v>257</v>
      </c>
      <c r="F150" s="468">
        <v>248</v>
      </c>
    </row>
    <row r="151" spans="1:6" ht="15.5">
      <c r="A151" s="413" t="str">
        <f t="shared" si="16"/>
        <v>South Ayrshire2020-21</v>
      </c>
      <c r="B151" s="467" t="s">
        <v>617</v>
      </c>
      <c r="C151" s="451">
        <v>370</v>
      </c>
      <c r="D151" s="467" t="s">
        <v>40</v>
      </c>
      <c r="E151" s="468">
        <v>1124</v>
      </c>
      <c r="F151" s="468">
        <v>1105</v>
      </c>
    </row>
    <row r="152" spans="1:6" ht="15.5">
      <c r="A152" s="413" t="str">
        <f t="shared" si="16"/>
        <v>South Lanarkshire2020-21</v>
      </c>
      <c r="B152" s="467" t="s">
        <v>617</v>
      </c>
      <c r="C152" s="451">
        <v>380</v>
      </c>
      <c r="D152" s="467" t="s">
        <v>41</v>
      </c>
      <c r="E152" s="468">
        <v>3312</v>
      </c>
      <c r="F152" s="468">
        <v>3185</v>
      </c>
    </row>
    <row r="153" spans="1:6" ht="15.5">
      <c r="A153" s="413" t="str">
        <f t="shared" si="16"/>
        <v>Stirling2020-21</v>
      </c>
      <c r="B153" s="467" t="s">
        <v>617</v>
      </c>
      <c r="C153" s="451">
        <v>390</v>
      </c>
      <c r="D153" s="467" t="s">
        <v>42</v>
      </c>
      <c r="E153" s="468">
        <v>1082</v>
      </c>
      <c r="F153" s="468">
        <v>1036</v>
      </c>
    </row>
    <row r="154" spans="1:6" ht="15.5">
      <c r="A154" s="413" t="str">
        <f t="shared" si="16"/>
        <v>West Dunbartonshire2020-21</v>
      </c>
      <c r="B154" s="467" t="s">
        <v>617</v>
      </c>
      <c r="C154" s="451">
        <v>395</v>
      </c>
      <c r="D154" s="467" t="s">
        <v>43</v>
      </c>
      <c r="E154" s="468">
        <v>910</v>
      </c>
      <c r="F154" s="468">
        <v>828</v>
      </c>
    </row>
    <row r="155" spans="1:6" ht="15.5">
      <c r="A155" s="413" t="str">
        <f t="shared" si="16"/>
        <v>West Lothian2020-21</v>
      </c>
      <c r="B155" s="467" t="s">
        <v>617</v>
      </c>
      <c r="C155" s="451">
        <v>400</v>
      </c>
      <c r="D155" s="467" t="s">
        <v>44</v>
      </c>
      <c r="E155" s="468">
        <v>2050</v>
      </c>
      <c r="F155" s="468">
        <v>1953</v>
      </c>
    </row>
    <row r="156" spans="1:6" ht="15.5">
      <c r="A156" s="413" t="str">
        <f t="shared" si="16"/>
        <v>Scotland2020-21</v>
      </c>
      <c r="B156" s="449" t="s">
        <v>617</v>
      </c>
      <c r="C156" s="1">
        <v>999</v>
      </c>
      <c r="D156" s="466" t="s">
        <v>45</v>
      </c>
      <c r="E156" s="469">
        <v>50746</v>
      </c>
      <c r="F156" s="469">
        <v>48451</v>
      </c>
    </row>
    <row r="157" spans="1:6" ht="15.5">
      <c r="A157" s="413" t="str">
        <f t="shared" si="16"/>
        <v>Aberdeen City2019-20</v>
      </c>
      <c r="B157" s="467" t="s">
        <v>593</v>
      </c>
      <c r="C157" s="451">
        <v>100</v>
      </c>
      <c r="D157" s="467" t="s">
        <v>14</v>
      </c>
      <c r="E157" s="468">
        <v>1453</v>
      </c>
      <c r="F157" s="468">
        <v>1312</v>
      </c>
    </row>
    <row r="158" spans="1:6" ht="15.5">
      <c r="A158" s="413" t="str">
        <f t="shared" si="16"/>
        <v>Aberdeenshire2019-20</v>
      </c>
      <c r="B158" s="467" t="s">
        <v>593</v>
      </c>
      <c r="C158" s="451">
        <v>110</v>
      </c>
      <c r="D158" s="467" t="s">
        <v>15</v>
      </c>
      <c r="E158" s="468">
        <v>2532</v>
      </c>
      <c r="F158" s="468">
        <v>2398</v>
      </c>
    </row>
    <row r="159" spans="1:6" ht="15.5">
      <c r="A159" s="413" t="str">
        <f t="shared" si="16"/>
        <v>Angus2019-20</v>
      </c>
      <c r="B159" s="467" t="s">
        <v>593</v>
      </c>
      <c r="C159" s="451">
        <v>120</v>
      </c>
      <c r="D159" s="467" t="s">
        <v>16</v>
      </c>
      <c r="E159" s="468">
        <v>1067</v>
      </c>
      <c r="F159" s="468">
        <v>1000</v>
      </c>
    </row>
    <row r="160" spans="1:6" ht="15.5">
      <c r="A160" s="413" t="str">
        <f t="shared" si="16"/>
        <v>Argyll and Bute2019-20</v>
      </c>
      <c r="B160" s="467" t="s">
        <v>593</v>
      </c>
      <c r="C160" s="451">
        <v>130</v>
      </c>
      <c r="D160" s="467" t="s">
        <v>17</v>
      </c>
      <c r="E160" s="468">
        <v>704</v>
      </c>
      <c r="F160" s="468">
        <v>650</v>
      </c>
    </row>
    <row r="161" spans="1:6" ht="15.5">
      <c r="A161" s="413" t="str">
        <f t="shared" si="16"/>
        <v>Clackmannanshire2019-20</v>
      </c>
      <c r="B161" s="467" t="s">
        <v>593</v>
      </c>
      <c r="C161" s="451">
        <v>150</v>
      </c>
      <c r="D161" s="467" t="s">
        <v>18</v>
      </c>
      <c r="E161" s="468">
        <v>455</v>
      </c>
      <c r="F161" s="468">
        <v>439</v>
      </c>
    </row>
    <row r="162" spans="1:6" ht="15.5">
      <c r="A162" s="413" t="str">
        <f t="shared" si="16"/>
        <v>Dumfries and Galloway2019-20</v>
      </c>
      <c r="B162" s="467" t="s">
        <v>593</v>
      </c>
      <c r="C162" s="451">
        <v>170</v>
      </c>
      <c r="D162" s="467" t="s">
        <v>19</v>
      </c>
      <c r="E162" s="468">
        <v>1440</v>
      </c>
      <c r="F162" s="468">
        <v>1335</v>
      </c>
    </row>
    <row r="163" spans="1:6" ht="15.5">
      <c r="A163" s="413" t="str">
        <f t="shared" si="16"/>
        <v>Dundee City2019-20</v>
      </c>
      <c r="B163" s="467" t="s">
        <v>593</v>
      </c>
      <c r="C163" s="451">
        <v>180</v>
      </c>
      <c r="D163" s="467" t="s">
        <v>20</v>
      </c>
      <c r="E163" s="468">
        <v>1168</v>
      </c>
      <c r="F163" s="468">
        <v>1078</v>
      </c>
    </row>
    <row r="164" spans="1:6" ht="15.5">
      <c r="A164" s="413" t="str">
        <f t="shared" si="16"/>
        <v>East Ayrshire2019-20</v>
      </c>
      <c r="B164" s="467" t="s">
        <v>593</v>
      </c>
      <c r="C164" s="451">
        <v>190</v>
      </c>
      <c r="D164" s="467" t="s">
        <v>21</v>
      </c>
      <c r="E164" s="468">
        <v>1132</v>
      </c>
      <c r="F164" s="468">
        <v>1073</v>
      </c>
    </row>
    <row r="165" spans="1:6" ht="15.5">
      <c r="A165" s="413" t="str">
        <f t="shared" si="16"/>
        <v>East Dunbartonshire2019-20</v>
      </c>
      <c r="B165" s="467" t="s">
        <v>593</v>
      </c>
      <c r="C165" s="451">
        <v>200</v>
      </c>
      <c r="D165" s="467" t="s">
        <v>22</v>
      </c>
      <c r="E165" s="468">
        <v>1285</v>
      </c>
      <c r="F165" s="468">
        <v>1253</v>
      </c>
    </row>
    <row r="166" spans="1:6" ht="15.5">
      <c r="A166" s="413" t="str">
        <f t="shared" si="16"/>
        <v>East Lothian2019-20</v>
      </c>
      <c r="B166" s="467" t="s">
        <v>593</v>
      </c>
      <c r="C166" s="451">
        <v>210</v>
      </c>
      <c r="D166" s="467" t="s">
        <v>23</v>
      </c>
      <c r="E166" s="468">
        <v>919</v>
      </c>
      <c r="F166" s="468">
        <v>850</v>
      </c>
    </row>
    <row r="167" spans="1:6" ht="15.5">
      <c r="A167" s="413" t="str">
        <f t="shared" si="16"/>
        <v>East Renfrewshire2019-20</v>
      </c>
      <c r="B167" s="467" t="s">
        <v>593</v>
      </c>
      <c r="C167" s="451">
        <v>220</v>
      </c>
      <c r="D167" s="467" t="s">
        <v>24</v>
      </c>
      <c r="E167" s="468">
        <v>1301</v>
      </c>
      <c r="F167" s="468">
        <v>1252</v>
      </c>
    </row>
    <row r="168" spans="1:6" ht="15.5">
      <c r="A168" s="413" t="str">
        <f t="shared" si="16"/>
        <v>Edinburgh, City of2019-20</v>
      </c>
      <c r="B168" s="467" t="s">
        <v>593</v>
      </c>
      <c r="C168" s="451">
        <v>230</v>
      </c>
      <c r="D168" s="467" t="s">
        <v>189</v>
      </c>
      <c r="E168" s="468">
        <v>3042</v>
      </c>
      <c r="F168" s="468">
        <v>2813</v>
      </c>
    </row>
    <row r="169" spans="1:6" ht="15.5">
      <c r="A169" s="413" t="str">
        <f t="shared" si="16"/>
        <v>Falkirk2019-20</v>
      </c>
      <c r="B169" s="467" t="s">
        <v>593</v>
      </c>
      <c r="C169" s="451">
        <v>240</v>
      </c>
      <c r="D169" s="467" t="s">
        <v>25</v>
      </c>
      <c r="E169" s="468">
        <v>1483</v>
      </c>
      <c r="F169" s="468">
        <v>1370</v>
      </c>
    </row>
    <row r="170" spans="1:6" ht="15.5">
      <c r="A170" s="413" t="str">
        <f t="shared" si="16"/>
        <v>Fife2019-20</v>
      </c>
      <c r="B170" s="467" t="s">
        <v>593</v>
      </c>
      <c r="C170" s="451">
        <v>250</v>
      </c>
      <c r="D170" s="467" t="s">
        <v>26</v>
      </c>
      <c r="E170" s="468">
        <v>3406</v>
      </c>
      <c r="F170" s="468">
        <v>3130</v>
      </c>
    </row>
    <row r="171" spans="1:6" ht="15.5">
      <c r="A171" s="413" t="str">
        <f t="shared" si="16"/>
        <v>Glasgow City2019-20</v>
      </c>
      <c r="B171" s="467" t="s">
        <v>593</v>
      </c>
      <c r="C171" s="451">
        <v>260</v>
      </c>
      <c r="D171" s="467" t="s">
        <v>27</v>
      </c>
      <c r="E171" s="468">
        <v>4311</v>
      </c>
      <c r="F171" s="468">
        <v>4000</v>
      </c>
    </row>
    <row r="172" spans="1:6" ht="15.5">
      <c r="A172" s="413" t="str">
        <f t="shared" si="16"/>
        <v>Highland2019-20</v>
      </c>
      <c r="B172" s="467" t="s">
        <v>593</v>
      </c>
      <c r="C172" s="451">
        <v>270</v>
      </c>
      <c r="D172" s="467" t="s">
        <v>28</v>
      </c>
      <c r="E172" s="468">
        <v>2220</v>
      </c>
      <c r="F172" s="468">
        <v>2053</v>
      </c>
    </row>
    <row r="173" spans="1:6" ht="15.5">
      <c r="A173" s="413" t="str">
        <f t="shared" si="16"/>
        <v>Inverclyde2019-20</v>
      </c>
      <c r="B173" s="467" t="s">
        <v>593</v>
      </c>
      <c r="C173" s="451">
        <v>280</v>
      </c>
      <c r="D173" s="467" t="s">
        <v>29</v>
      </c>
      <c r="E173" s="468">
        <v>747</v>
      </c>
      <c r="F173" s="468">
        <v>695</v>
      </c>
    </row>
    <row r="174" spans="1:6" ht="15.5">
      <c r="A174" s="413" t="str">
        <f t="shared" si="16"/>
        <v>Midlothian2019-20</v>
      </c>
      <c r="B174" s="467" t="s">
        <v>593</v>
      </c>
      <c r="C174" s="451">
        <v>290</v>
      </c>
      <c r="D174" s="467" t="s">
        <v>30</v>
      </c>
      <c r="E174" s="468">
        <v>777</v>
      </c>
      <c r="F174" s="468">
        <v>734</v>
      </c>
    </row>
    <row r="175" spans="1:6" ht="15.5">
      <c r="A175" s="413" t="str">
        <f t="shared" si="16"/>
        <v>Moray2019-20</v>
      </c>
      <c r="B175" s="467" t="s">
        <v>593</v>
      </c>
      <c r="C175" s="451">
        <v>300</v>
      </c>
      <c r="D175" s="467" t="s">
        <v>31</v>
      </c>
      <c r="E175" s="468">
        <v>837</v>
      </c>
      <c r="F175" s="468">
        <v>779</v>
      </c>
    </row>
    <row r="176" spans="1:6" ht="15.5">
      <c r="A176" s="413" t="str">
        <f t="shared" si="16"/>
        <v>Na h-Eileanan Siar2019-20</v>
      </c>
      <c r="B176" s="467" t="s">
        <v>593</v>
      </c>
      <c r="C176" s="451">
        <v>235</v>
      </c>
      <c r="D176" s="467" t="s">
        <v>32</v>
      </c>
      <c r="E176" s="468">
        <v>241</v>
      </c>
      <c r="F176" s="468" t="s">
        <v>701</v>
      </c>
    </row>
    <row r="177" spans="1:6" ht="15.5">
      <c r="A177" s="413" t="str">
        <f t="shared" si="16"/>
        <v>North Ayrshire2019-20</v>
      </c>
      <c r="B177" s="467" t="s">
        <v>593</v>
      </c>
      <c r="C177" s="451">
        <v>310</v>
      </c>
      <c r="D177" s="467" t="s">
        <v>33</v>
      </c>
      <c r="E177" s="468">
        <v>1258</v>
      </c>
      <c r="F177" s="468">
        <v>1163</v>
      </c>
    </row>
    <row r="178" spans="1:6" ht="15.5">
      <c r="A178" s="413" t="str">
        <f t="shared" si="16"/>
        <v>North Lanarkshire2019-20</v>
      </c>
      <c r="B178" s="467" t="s">
        <v>593</v>
      </c>
      <c r="C178" s="451">
        <v>320</v>
      </c>
      <c r="D178" s="467" t="s">
        <v>34</v>
      </c>
      <c r="E178" s="468">
        <v>3390</v>
      </c>
      <c r="F178" s="468">
        <v>3126</v>
      </c>
    </row>
    <row r="179" spans="1:6" ht="15.5">
      <c r="A179" s="413" t="str">
        <f t="shared" si="16"/>
        <v>Orkney Islands2019-20</v>
      </c>
      <c r="B179" s="467" t="s">
        <v>593</v>
      </c>
      <c r="C179" s="451">
        <v>330</v>
      </c>
      <c r="D179" s="467" t="s">
        <v>35</v>
      </c>
      <c r="E179" s="468">
        <v>185</v>
      </c>
      <c r="F179" s="468">
        <v>170</v>
      </c>
    </row>
    <row r="180" spans="1:6" ht="15.5">
      <c r="A180" s="413" t="str">
        <f t="shared" si="16"/>
        <v>Perth and Kinross2019-20</v>
      </c>
      <c r="B180" s="467" t="s">
        <v>593</v>
      </c>
      <c r="C180" s="451">
        <v>340</v>
      </c>
      <c r="D180" s="467" t="s">
        <v>36</v>
      </c>
      <c r="E180" s="468">
        <v>1172</v>
      </c>
      <c r="F180" s="468">
        <v>1104</v>
      </c>
    </row>
    <row r="181" spans="1:6" ht="15.5">
      <c r="A181" s="413" t="str">
        <f t="shared" si="16"/>
        <v>Renfrewshire2019-20</v>
      </c>
      <c r="B181" s="467" t="s">
        <v>593</v>
      </c>
      <c r="C181" s="451">
        <v>350</v>
      </c>
      <c r="D181" s="467" t="s">
        <v>37</v>
      </c>
      <c r="E181" s="468">
        <v>1638</v>
      </c>
      <c r="F181" s="468">
        <v>1539</v>
      </c>
    </row>
    <row r="182" spans="1:6" ht="15.5">
      <c r="A182" s="413" t="str">
        <f t="shared" si="16"/>
        <v>Scottish Borders2019-20</v>
      </c>
      <c r="B182" s="467" t="s">
        <v>593</v>
      </c>
      <c r="C182" s="451">
        <v>355</v>
      </c>
      <c r="D182" s="467" t="s">
        <v>38</v>
      </c>
      <c r="E182" s="468">
        <v>1083</v>
      </c>
      <c r="F182" s="468">
        <v>1025</v>
      </c>
    </row>
    <row r="183" spans="1:6" ht="15.5">
      <c r="A183" s="413" t="str">
        <f t="shared" si="16"/>
        <v>Shetland Islands2019-20</v>
      </c>
      <c r="B183" s="467" t="s">
        <v>593</v>
      </c>
      <c r="C183" s="451">
        <v>360</v>
      </c>
      <c r="D183" s="467" t="s">
        <v>39</v>
      </c>
      <c r="E183" s="468">
        <v>244</v>
      </c>
      <c r="F183" s="468">
        <v>223</v>
      </c>
    </row>
    <row r="184" spans="1:6" ht="15.5">
      <c r="A184" s="413" t="str">
        <f t="shared" si="16"/>
        <v>South Ayrshire2019-20</v>
      </c>
      <c r="B184" s="467" t="s">
        <v>593</v>
      </c>
      <c r="C184" s="451">
        <v>370</v>
      </c>
      <c r="D184" s="467" t="s">
        <v>40</v>
      </c>
      <c r="E184" s="468">
        <v>1000</v>
      </c>
      <c r="F184" s="468">
        <v>984</v>
      </c>
    </row>
    <row r="185" spans="1:6" ht="15.5">
      <c r="A185" s="413" t="str">
        <f t="shared" si="16"/>
        <v>South Lanarkshire2019-20</v>
      </c>
      <c r="B185" s="467" t="s">
        <v>593</v>
      </c>
      <c r="C185" s="451">
        <v>380</v>
      </c>
      <c r="D185" s="467" t="s">
        <v>41</v>
      </c>
      <c r="E185" s="468">
        <v>3174</v>
      </c>
      <c r="F185" s="468">
        <v>3009</v>
      </c>
    </row>
    <row r="186" spans="1:6" ht="15.5">
      <c r="A186" s="413" t="str">
        <f t="shared" ref="A186:A249" si="17">D186&amp;B186</f>
        <v>Stirling2019-20</v>
      </c>
      <c r="B186" s="467" t="s">
        <v>593</v>
      </c>
      <c r="C186" s="451">
        <v>390</v>
      </c>
      <c r="D186" s="467" t="s">
        <v>42</v>
      </c>
      <c r="E186" s="468">
        <v>962</v>
      </c>
      <c r="F186" s="468">
        <v>897</v>
      </c>
    </row>
    <row r="187" spans="1:6" ht="15.5">
      <c r="A187" s="413" t="str">
        <f t="shared" si="17"/>
        <v>West Dunbartonshire2019-20</v>
      </c>
      <c r="B187" s="467" t="s">
        <v>593</v>
      </c>
      <c r="C187" s="451">
        <v>395</v>
      </c>
      <c r="D187" s="467" t="s">
        <v>43</v>
      </c>
      <c r="E187" s="468">
        <v>870</v>
      </c>
      <c r="F187" s="468">
        <v>780</v>
      </c>
    </row>
    <row r="188" spans="1:6" ht="15.5">
      <c r="A188" s="413" t="str">
        <f t="shared" si="17"/>
        <v>West Lothian2019-20</v>
      </c>
      <c r="B188" s="467" t="s">
        <v>593</v>
      </c>
      <c r="C188" s="451">
        <v>400</v>
      </c>
      <c r="D188" s="467" t="s">
        <v>44</v>
      </c>
      <c r="E188" s="468">
        <v>1856</v>
      </c>
      <c r="F188" s="468">
        <v>1724</v>
      </c>
    </row>
    <row r="189" spans="1:6" ht="15.5">
      <c r="A189" s="413" t="str">
        <f t="shared" si="17"/>
        <v>Scotland2019-20</v>
      </c>
      <c r="B189" s="449" t="s">
        <v>593</v>
      </c>
      <c r="C189" s="1">
        <v>999</v>
      </c>
      <c r="D189" s="466" t="s">
        <v>45</v>
      </c>
      <c r="E189" s="469">
        <v>47454</v>
      </c>
      <c r="F189" s="469">
        <v>44295</v>
      </c>
    </row>
    <row r="190" spans="1:6" ht="15.5">
      <c r="A190" s="413" t="str">
        <f t="shared" si="17"/>
        <v>Aberdeen City2018-19</v>
      </c>
      <c r="B190" s="467" t="s">
        <v>303</v>
      </c>
      <c r="C190" s="451">
        <v>100</v>
      </c>
      <c r="D190" s="467" t="s">
        <v>14</v>
      </c>
      <c r="E190" s="468">
        <v>1678</v>
      </c>
      <c r="F190" s="468">
        <v>1573</v>
      </c>
    </row>
    <row r="191" spans="1:6" ht="15.5">
      <c r="A191" s="413" t="str">
        <f t="shared" si="17"/>
        <v>Aberdeenshire2018-19</v>
      </c>
      <c r="B191" s="467" t="s">
        <v>303</v>
      </c>
      <c r="C191" s="451">
        <v>110</v>
      </c>
      <c r="D191" s="467" t="s">
        <v>15</v>
      </c>
      <c r="E191" s="468">
        <v>2621</v>
      </c>
      <c r="F191" s="468">
        <v>2527</v>
      </c>
    </row>
    <row r="192" spans="1:6" ht="15.5">
      <c r="A192" s="413" t="str">
        <f t="shared" si="17"/>
        <v>Angus2018-19</v>
      </c>
      <c r="B192" s="467" t="s">
        <v>303</v>
      </c>
      <c r="C192" s="451">
        <v>120</v>
      </c>
      <c r="D192" s="467" t="s">
        <v>16</v>
      </c>
      <c r="E192" s="468">
        <v>1196</v>
      </c>
      <c r="F192" s="468">
        <v>1143</v>
      </c>
    </row>
    <row r="193" spans="1:6" ht="15.5">
      <c r="A193" s="413" t="str">
        <f t="shared" si="17"/>
        <v>Argyll and Bute2018-19</v>
      </c>
      <c r="B193" s="467" t="s">
        <v>303</v>
      </c>
      <c r="C193" s="451">
        <v>130</v>
      </c>
      <c r="D193" s="467" t="s">
        <v>17</v>
      </c>
      <c r="E193" s="468">
        <v>838</v>
      </c>
      <c r="F193" s="468">
        <v>793</v>
      </c>
    </row>
    <row r="194" spans="1:6" ht="15.5">
      <c r="A194" s="413" t="str">
        <f t="shared" si="17"/>
        <v>Clackmannanshire2018-19</v>
      </c>
      <c r="B194" s="467" t="s">
        <v>303</v>
      </c>
      <c r="C194" s="451">
        <v>150</v>
      </c>
      <c r="D194" s="467" t="s">
        <v>18</v>
      </c>
      <c r="E194" s="468">
        <v>467</v>
      </c>
      <c r="F194" s="468">
        <v>440</v>
      </c>
    </row>
    <row r="195" spans="1:6" ht="15.5">
      <c r="A195" s="413" t="str">
        <f t="shared" si="17"/>
        <v>Dumfries and Galloway2018-19</v>
      </c>
      <c r="B195" s="467" t="s">
        <v>303</v>
      </c>
      <c r="C195" s="451">
        <v>170</v>
      </c>
      <c r="D195" s="467" t="s">
        <v>19</v>
      </c>
      <c r="E195" s="468">
        <v>1375</v>
      </c>
      <c r="F195" s="468">
        <v>1302</v>
      </c>
    </row>
    <row r="196" spans="1:6" ht="15.5">
      <c r="A196" s="413" t="str">
        <f t="shared" si="17"/>
        <v>Dundee City2018-19</v>
      </c>
      <c r="B196" s="467" t="s">
        <v>303</v>
      </c>
      <c r="C196" s="451">
        <v>180</v>
      </c>
      <c r="D196" s="467" t="s">
        <v>20</v>
      </c>
      <c r="E196" s="468">
        <v>1300</v>
      </c>
      <c r="F196" s="468">
        <v>1226</v>
      </c>
    </row>
    <row r="197" spans="1:6" ht="15.5">
      <c r="A197" s="413" t="str">
        <f t="shared" si="17"/>
        <v>East Ayrshire2018-19</v>
      </c>
      <c r="B197" s="467" t="s">
        <v>303</v>
      </c>
      <c r="C197" s="451">
        <v>190</v>
      </c>
      <c r="D197" s="467" t="s">
        <v>21</v>
      </c>
      <c r="E197" s="468">
        <v>1198</v>
      </c>
      <c r="F197" s="468">
        <v>1136</v>
      </c>
    </row>
    <row r="198" spans="1:6" ht="15.5">
      <c r="A198" s="413" t="str">
        <f t="shared" si="17"/>
        <v>East Dunbartonshire2018-19</v>
      </c>
      <c r="B198" s="467" t="s">
        <v>303</v>
      </c>
      <c r="C198" s="451">
        <v>200</v>
      </c>
      <c r="D198" s="467" t="s">
        <v>22</v>
      </c>
      <c r="E198" s="468">
        <v>1237</v>
      </c>
      <c r="F198" s="468">
        <v>1203</v>
      </c>
    </row>
    <row r="199" spans="1:6" ht="15.5">
      <c r="A199" s="413" t="str">
        <f t="shared" si="17"/>
        <v>East Lothian2018-19</v>
      </c>
      <c r="B199" s="467" t="s">
        <v>303</v>
      </c>
      <c r="C199" s="451">
        <v>210</v>
      </c>
      <c r="D199" s="467" t="s">
        <v>23</v>
      </c>
      <c r="E199" s="468">
        <v>998</v>
      </c>
      <c r="F199" s="468">
        <v>956</v>
      </c>
    </row>
    <row r="200" spans="1:6" ht="15.5">
      <c r="A200" s="413" t="str">
        <f t="shared" si="17"/>
        <v>East Renfrewshire2018-19</v>
      </c>
      <c r="B200" s="467" t="s">
        <v>303</v>
      </c>
      <c r="C200" s="451">
        <v>220</v>
      </c>
      <c r="D200" s="467" t="s">
        <v>24</v>
      </c>
      <c r="E200" s="468">
        <v>1319</v>
      </c>
      <c r="F200" s="468">
        <v>1286</v>
      </c>
    </row>
    <row r="201" spans="1:6" ht="15.5">
      <c r="A201" s="413" t="str">
        <f t="shared" si="17"/>
        <v>Edinburgh, City of2018-19</v>
      </c>
      <c r="B201" s="467" t="s">
        <v>303</v>
      </c>
      <c r="C201" s="451">
        <v>230</v>
      </c>
      <c r="D201" s="467" t="s">
        <v>189</v>
      </c>
      <c r="E201" s="468">
        <v>3274</v>
      </c>
      <c r="F201" s="468">
        <v>3113</v>
      </c>
    </row>
    <row r="202" spans="1:6" ht="15.5">
      <c r="A202" s="413" t="str">
        <f t="shared" si="17"/>
        <v>Falkirk2018-19</v>
      </c>
      <c r="B202" s="467" t="s">
        <v>303</v>
      </c>
      <c r="C202" s="451">
        <v>240</v>
      </c>
      <c r="D202" s="467" t="s">
        <v>25</v>
      </c>
      <c r="E202" s="468">
        <v>1482</v>
      </c>
      <c r="F202" s="468">
        <v>1406</v>
      </c>
    </row>
    <row r="203" spans="1:6" ht="15.5">
      <c r="A203" s="413" t="str">
        <f t="shared" si="17"/>
        <v>Fife2018-19</v>
      </c>
      <c r="B203" s="467" t="s">
        <v>303</v>
      </c>
      <c r="C203" s="451">
        <v>250</v>
      </c>
      <c r="D203" s="467" t="s">
        <v>26</v>
      </c>
      <c r="E203" s="468">
        <v>3635</v>
      </c>
      <c r="F203" s="468">
        <v>3432</v>
      </c>
    </row>
    <row r="204" spans="1:6" ht="15.5">
      <c r="A204" s="413" t="str">
        <f t="shared" si="17"/>
        <v>Glasgow City2018-19</v>
      </c>
      <c r="B204" s="467" t="s">
        <v>303</v>
      </c>
      <c r="C204" s="451">
        <v>260</v>
      </c>
      <c r="D204" s="467" t="s">
        <v>27</v>
      </c>
      <c r="E204" s="468">
        <v>4352</v>
      </c>
      <c r="F204" s="468">
        <v>4118</v>
      </c>
    </row>
    <row r="205" spans="1:6" ht="15.5">
      <c r="A205" s="413" t="str">
        <f t="shared" si="17"/>
        <v>Highland2018-19</v>
      </c>
      <c r="B205" s="467" t="s">
        <v>303</v>
      </c>
      <c r="C205" s="451">
        <v>270</v>
      </c>
      <c r="D205" s="467" t="s">
        <v>28</v>
      </c>
      <c r="E205" s="468">
        <v>2269</v>
      </c>
      <c r="F205" s="468">
        <v>2151</v>
      </c>
    </row>
    <row r="206" spans="1:6" ht="15.5">
      <c r="A206" s="413" t="str">
        <f t="shared" si="17"/>
        <v>Inverclyde2018-19</v>
      </c>
      <c r="B206" s="467" t="s">
        <v>303</v>
      </c>
      <c r="C206" s="451">
        <v>280</v>
      </c>
      <c r="D206" s="467" t="s">
        <v>29</v>
      </c>
      <c r="E206" s="468">
        <v>694</v>
      </c>
      <c r="F206" s="468">
        <v>665</v>
      </c>
    </row>
    <row r="207" spans="1:6" ht="15.5">
      <c r="A207" s="413" t="str">
        <f t="shared" si="17"/>
        <v>Midlothian2018-19</v>
      </c>
      <c r="B207" s="467" t="s">
        <v>303</v>
      </c>
      <c r="C207" s="451">
        <v>290</v>
      </c>
      <c r="D207" s="467" t="s">
        <v>30</v>
      </c>
      <c r="E207" s="468">
        <v>872</v>
      </c>
      <c r="F207" s="468">
        <v>818</v>
      </c>
    </row>
    <row r="208" spans="1:6" ht="15.5">
      <c r="A208" s="413" t="str">
        <f t="shared" si="17"/>
        <v>Moray2018-19</v>
      </c>
      <c r="B208" s="467" t="s">
        <v>303</v>
      </c>
      <c r="C208" s="451">
        <v>300</v>
      </c>
      <c r="D208" s="467" t="s">
        <v>31</v>
      </c>
      <c r="E208" s="468">
        <v>911</v>
      </c>
      <c r="F208" s="468">
        <v>845</v>
      </c>
    </row>
    <row r="209" spans="1:6" ht="15.5">
      <c r="A209" s="413" t="str">
        <f t="shared" si="17"/>
        <v>Na h-Eileanan Siar2018-19</v>
      </c>
      <c r="B209" s="467" t="s">
        <v>303</v>
      </c>
      <c r="C209" s="451">
        <v>235</v>
      </c>
      <c r="D209" s="467" t="s">
        <v>32</v>
      </c>
      <c r="E209" s="468">
        <v>252</v>
      </c>
      <c r="F209" s="468">
        <v>248</v>
      </c>
    </row>
    <row r="210" spans="1:6" ht="15.5">
      <c r="A210" s="413" t="str">
        <f t="shared" si="17"/>
        <v>North Ayrshire2018-19</v>
      </c>
      <c r="B210" s="467" t="s">
        <v>303</v>
      </c>
      <c r="C210" s="451">
        <v>310</v>
      </c>
      <c r="D210" s="467" t="s">
        <v>33</v>
      </c>
      <c r="E210" s="468">
        <v>1376</v>
      </c>
      <c r="F210" s="468">
        <v>1294</v>
      </c>
    </row>
    <row r="211" spans="1:6" ht="15.5">
      <c r="A211" s="413" t="str">
        <f t="shared" si="17"/>
        <v>North Lanarkshire2018-19</v>
      </c>
      <c r="B211" s="467" t="s">
        <v>303</v>
      </c>
      <c r="C211" s="451">
        <v>320</v>
      </c>
      <c r="D211" s="467" t="s">
        <v>34</v>
      </c>
      <c r="E211" s="468">
        <v>3640</v>
      </c>
      <c r="F211" s="468">
        <v>3434</v>
      </c>
    </row>
    <row r="212" spans="1:6" ht="15.5">
      <c r="A212" s="413" t="str">
        <f t="shared" si="17"/>
        <v>Orkney Islands2018-19</v>
      </c>
      <c r="B212" s="467" t="s">
        <v>303</v>
      </c>
      <c r="C212" s="451">
        <v>330</v>
      </c>
      <c r="D212" s="467" t="s">
        <v>35</v>
      </c>
      <c r="E212" s="468">
        <v>229</v>
      </c>
      <c r="F212" s="468">
        <v>217</v>
      </c>
    </row>
    <row r="213" spans="1:6" ht="15.5">
      <c r="A213" s="413" t="str">
        <f t="shared" si="17"/>
        <v>Perth and Kinross2018-19</v>
      </c>
      <c r="B213" s="467" t="s">
        <v>303</v>
      </c>
      <c r="C213" s="451">
        <v>340</v>
      </c>
      <c r="D213" s="467" t="s">
        <v>36</v>
      </c>
      <c r="E213" s="468">
        <v>1335</v>
      </c>
      <c r="F213" s="468">
        <v>1301</v>
      </c>
    </row>
    <row r="214" spans="1:6" ht="15.5">
      <c r="A214" s="413" t="str">
        <f t="shared" si="17"/>
        <v>Renfrewshire2018-19</v>
      </c>
      <c r="B214" s="467" t="s">
        <v>303</v>
      </c>
      <c r="C214" s="451">
        <v>350</v>
      </c>
      <c r="D214" s="467" t="s">
        <v>37</v>
      </c>
      <c r="E214" s="468">
        <v>1690</v>
      </c>
      <c r="F214" s="468">
        <v>1605</v>
      </c>
    </row>
    <row r="215" spans="1:6" ht="15.5">
      <c r="A215" s="413" t="str">
        <f t="shared" si="17"/>
        <v>Scottish Borders2018-19</v>
      </c>
      <c r="B215" s="467" t="s">
        <v>303</v>
      </c>
      <c r="C215" s="451">
        <v>355</v>
      </c>
      <c r="D215" s="467" t="s">
        <v>38</v>
      </c>
      <c r="E215" s="468">
        <v>1149</v>
      </c>
      <c r="F215" s="468">
        <v>1103</v>
      </c>
    </row>
    <row r="216" spans="1:6" ht="15.5">
      <c r="A216" s="413" t="str">
        <f t="shared" si="17"/>
        <v>Shetland Islands2018-19</v>
      </c>
      <c r="B216" s="467" t="s">
        <v>303</v>
      </c>
      <c r="C216" s="451">
        <v>360</v>
      </c>
      <c r="D216" s="467" t="s">
        <v>39</v>
      </c>
      <c r="E216" s="468">
        <v>229</v>
      </c>
      <c r="F216" s="468">
        <v>220</v>
      </c>
    </row>
    <row r="217" spans="1:6" ht="15.5">
      <c r="A217" s="413" t="str">
        <f t="shared" si="17"/>
        <v>South Ayrshire2018-19</v>
      </c>
      <c r="B217" s="467" t="s">
        <v>303</v>
      </c>
      <c r="C217" s="451">
        <v>370</v>
      </c>
      <c r="D217" s="467" t="s">
        <v>40</v>
      </c>
      <c r="E217" s="468">
        <v>1060</v>
      </c>
      <c r="F217" s="468">
        <v>996</v>
      </c>
    </row>
    <row r="218" spans="1:6" ht="15.5">
      <c r="A218" s="413" t="str">
        <f t="shared" si="17"/>
        <v>South Lanarkshire2018-19</v>
      </c>
      <c r="B218" s="467" t="s">
        <v>303</v>
      </c>
      <c r="C218" s="451">
        <v>380</v>
      </c>
      <c r="D218" s="467" t="s">
        <v>41</v>
      </c>
      <c r="E218" s="468">
        <v>3239</v>
      </c>
      <c r="F218" s="468">
        <v>3101</v>
      </c>
    </row>
    <row r="219" spans="1:6" ht="15.5">
      <c r="A219" s="413" t="str">
        <f t="shared" si="17"/>
        <v>Stirling2018-19</v>
      </c>
      <c r="B219" s="467" t="s">
        <v>303</v>
      </c>
      <c r="C219" s="451">
        <v>390</v>
      </c>
      <c r="D219" s="467" t="s">
        <v>42</v>
      </c>
      <c r="E219" s="468">
        <v>962</v>
      </c>
      <c r="F219" s="468">
        <v>917</v>
      </c>
    </row>
    <row r="220" spans="1:6" ht="15.5">
      <c r="A220" s="413" t="str">
        <f t="shared" si="17"/>
        <v>West Dunbartonshire2018-19</v>
      </c>
      <c r="B220" s="467" t="s">
        <v>303</v>
      </c>
      <c r="C220" s="451">
        <v>395</v>
      </c>
      <c r="D220" s="467" t="s">
        <v>43</v>
      </c>
      <c r="E220" s="468">
        <v>863</v>
      </c>
      <c r="F220" s="468">
        <v>808</v>
      </c>
    </row>
    <row r="221" spans="1:6" ht="15.5">
      <c r="A221" s="413" t="str">
        <f t="shared" si="17"/>
        <v>West Lothian2018-19</v>
      </c>
      <c r="B221" s="467" t="s">
        <v>303</v>
      </c>
      <c r="C221" s="451">
        <v>400</v>
      </c>
      <c r="D221" s="467" t="s">
        <v>44</v>
      </c>
      <c r="E221" s="468">
        <v>1925</v>
      </c>
      <c r="F221" s="468">
        <v>1825</v>
      </c>
    </row>
    <row r="222" spans="1:6" ht="15.5">
      <c r="A222" s="413" t="str">
        <f t="shared" si="17"/>
        <v>Scotland2018-19</v>
      </c>
      <c r="B222" s="449" t="s">
        <v>303</v>
      </c>
      <c r="C222" s="1">
        <v>999</v>
      </c>
      <c r="D222" s="466" t="s">
        <v>45</v>
      </c>
      <c r="E222" s="469">
        <v>49760</v>
      </c>
      <c r="F222" s="469">
        <v>47295</v>
      </c>
    </row>
    <row r="223" spans="1:6" ht="15.5">
      <c r="A223" s="413" t="str">
        <f t="shared" si="17"/>
        <v>Aberdeen City2017-18</v>
      </c>
      <c r="B223" s="467" t="s">
        <v>304</v>
      </c>
      <c r="C223" s="451">
        <v>100</v>
      </c>
      <c r="D223" s="467" t="s">
        <v>14</v>
      </c>
      <c r="E223" s="468">
        <v>1541</v>
      </c>
      <c r="F223" s="468">
        <v>1414</v>
      </c>
    </row>
    <row r="224" spans="1:6" ht="15.5">
      <c r="A224" s="413" t="str">
        <f t="shared" si="17"/>
        <v>Aberdeenshire2017-18</v>
      </c>
      <c r="B224" s="467" t="s">
        <v>304</v>
      </c>
      <c r="C224" s="451">
        <v>110</v>
      </c>
      <c r="D224" s="467" t="s">
        <v>15</v>
      </c>
      <c r="E224" s="468">
        <v>2549</v>
      </c>
      <c r="F224" s="468">
        <v>2458</v>
      </c>
    </row>
    <row r="225" spans="1:6" ht="15.5">
      <c r="A225" s="413" t="str">
        <f t="shared" si="17"/>
        <v>Angus2017-18</v>
      </c>
      <c r="B225" s="467" t="s">
        <v>304</v>
      </c>
      <c r="C225" s="451">
        <v>120</v>
      </c>
      <c r="D225" s="467" t="s">
        <v>16</v>
      </c>
      <c r="E225" s="468">
        <v>1110</v>
      </c>
      <c r="F225" s="468">
        <v>1057</v>
      </c>
    </row>
    <row r="226" spans="1:6" ht="15.5">
      <c r="A226" s="413" t="str">
        <f t="shared" si="17"/>
        <v>Argyll and Bute2017-18</v>
      </c>
      <c r="B226" s="467" t="s">
        <v>304</v>
      </c>
      <c r="C226" s="451">
        <v>130</v>
      </c>
      <c r="D226" s="467" t="s">
        <v>17</v>
      </c>
      <c r="E226" s="468">
        <v>802</v>
      </c>
      <c r="F226" s="468">
        <v>762</v>
      </c>
    </row>
    <row r="227" spans="1:6" ht="15.5">
      <c r="A227" s="413" t="str">
        <f t="shared" si="17"/>
        <v>Clackmannanshire2017-18</v>
      </c>
      <c r="B227" s="467" t="s">
        <v>304</v>
      </c>
      <c r="C227" s="451">
        <v>150</v>
      </c>
      <c r="D227" s="467" t="s">
        <v>18</v>
      </c>
      <c r="E227" s="468">
        <v>469</v>
      </c>
      <c r="F227" s="468">
        <v>437</v>
      </c>
    </row>
    <row r="228" spans="1:6" ht="15.5">
      <c r="A228" s="413" t="str">
        <f t="shared" si="17"/>
        <v>Dumfries and Galloway2017-18</v>
      </c>
      <c r="B228" s="467" t="s">
        <v>304</v>
      </c>
      <c r="C228" s="451">
        <v>170</v>
      </c>
      <c r="D228" s="467" t="s">
        <v>19</v>
      </c>
      <c r="E228" s="468">
        <v>1403</v>
      </c>
      <c r="F228" s="468">
        <v>1325</v>
      </c>
    </row>
    <row r="229" spans="1:6" ht="15.5">
      <c r="A229" s="413" t="str">
        <f t="shared" si="17"/>
        <v>Dundee City2017-18</v>
      </c>
      <c r="B229" s="467" t="s">
        <v>304</v>
      </c>
      <c r="C229" s="451">
        <v>180</v>
      </c>
      <c r="D229" s="467" t="s">
        <v>20</v>
      </c>
      <c r="E229" s="468">
        <v>1200</v>
      </c>
      <c r="F229" s="468">
        <v>1099</v>
      </c>
    </row>
    <row r="230" spans="1:6" ht="15.5">
      <c r="A230" s="413" t="str">
        <f t="shared" si="17"/>
        <v>East Ayrshire2017-18</v>
      </c>
      <c r="B230" s="467" t="s">
        <v>304</v>
      </c>
      <c r="C230" s="451">
        <v>190</v>
      </c>
      <c r="D230" s="467" t="s">
        <v>21</v>
      </c>
      <c r="E230" s="468">
        <v>1133</v>
      </c>
      <c r="F230" s="468">
        <v>1061</v>
      </c>
    </row>
    <row r="231" spans="1:6" ht="15.5">
      <c r="A231" s="413" t="str">
        <f t="shared" si="17"/>
        <v>East Dunbartonshire2017-18</v>
      </c>
      <c r="B231" s="467" t="s">
        <v>304</v>
      </c>
      <c r="C231" s="451">
        <v>200</v>
      </c>
      <c r="D231" s="467" t="s">
        <v>22</v>
      </c>
      <c r="E231" s="468">
        <v>1302</v>
      </c>
      <c r="F231" s="468">
        <v>1287</v>
      </c>
    </row>
    <row r="232" spans="1:6" ht="15.5">
      <c r="A232" s="413" t="str">
        <f t="shared" si="17"/>
        <v>East Lothian2017-18</v>
      </c>
      <c r="B232" s="467" t="s">
        <v>304</v>
      </c>
      <c r="C232" s="451">
        <v>210</v>
      </c>
      <c r="D232" s="467" t="s">
        <v>23</v>
      </c>
      <c r="E232" s="468">
        <v>1015</v>
      </c>
      <c r="F232" s="468">
        <v>974</v>
      </c>
    </row>
    <row r="233" spans="1:6" ht="15.5">
      <c r="A233" s="413" t="str">
        <f t="shared" si="17"/>
        <v>East Renfrewshire2017-18</v>
      </c>
      <c r="B233" s="467" t="s">
        <v>304</v>
      </c>
      <c r="C233" s="451">
        <v>220</v>
      </c>
      <c r="D233" s="467" t="s">
        <v>24</v>
      </c>
      <c r="E233" s="468">
        <v>1372</v>
      </c>
      <c r="F233" s="468">
        <v>1340</v>
      </c>
    </row>
    <row r="234" spans="1:6" ht="15.5">
      <c r="A234" s="413" t="str">
        <f t="shared" si="17"/>
        <v>Edinburgh, City of2017-18</v>
      </c>
      <c r="B234" s="467" t="s">
        <v>304</v>
      </c>
      <c r="C234" s="451">
        <v>230</v>
      </c>
      <c r="D234" s="467" t="s">
        <v>189</v>
      </c>
      <c r="E234" s="468">
        <v>3203</v>
      </c>
      <c r="F234" s="468">
        <v>3021</v>
      </c>
    </row>
    <row r="235" spans="1:6" ht="15.5">
      <c r="A235" s="413" t="str">
        <f t="shared" si="17"/>
        <v>Na h-Eileanan Siar2017-18</v>
      </c>
      <c r="B235" s="467" t="s">
        <v>304</v>
      </c>
      <c r="C235" s="451">
        <v>235</v>
      </c>
      <c r="D235" s="467" t="s">
        <v>32</v>
      </c>
      <c r="E235" s="468">
        <v>272</v>
      </c>
      <c r="F235" s="468">
        <v>260</v>
      </c>
    </row>
    <row r="236" spans="1:6" ht="15.5">
      <c r="A236" s="413" t="str">
        <f t="shared" si="17"/>
        <v>Falkirk2017-18</v>
      </c>
      <c r="B236" s="467" t="s">
        <v>304</v>
      </c>
      <c r="C236" s="451">
        <v>240</v>
      </c>
      <c r="D236" s="467" t="s">
        <v>25</v>
      </c>
      <c r="E236" s="468">
        <v>1543</v>
      </c>
      <c r="F236" s="468">
        <v>1460</v>
      </c>
    </row>
    <row r="237" spans="1:6" ht="15.5">
      <c r="A237" s="413" t="str">
        <f t="shared" si="17"/>
        <v>Fife2017-18</v>
      </c>
      <c r="B237" s="467" t="s">
        <v>304</v>
      </c>
      <c r="C237" s="451">
        <v>250</v>
      </c>
      <c r="D237" s="467" t="s">
        <v>26</v>
      </c>
      <c r="E237" s="468">
        <v>3532</v>
      </c>
      <c r="F237" s="468">
        <v>3279</v>
      </c>
    </row>
    <row r="238" spans="1:6" ht="15.5">
      <c r="A238" s="413" t="str">
        <f t="shared" si="17"/>
        <v>Glasgow City2017-18</v>
      </c>
      <c r="B238" s="467" t="s">
        <v>304</v>
      </c>
      <c r="C238" s="451">
        <v>260</v>
      </c>
      <c r="D238" s="467" t="s">
        <v>27</v>
      </c>
      <c r="E238" s="468">
        <v>4357</v>
      </c>
      <c r="F238" s="468">
        <v>4023</v>
      </c>
    </row>
    <row r="239" spans="1:6" ht="15.5">
      <c r="A239" s="413" t="str">
        <f t="shared" si="17"/>
        <v>Highland2017-18</v>
      </c>
      <c r="B239" s="467" t="s">
        <v>304</v>
      </c>
      <c r="C239" s="451">
        <v>270</v>
      </c>
      <c r="D239" s="467" t="s">
        <v>28</v>
      </c>
      <c r="E239" s="468">
        <v>2446</v>
      </c>
      <c r="F239" s="468">
        <v>2351</v>
      </c>
    </row>
    <row r="240" spans="1:6" ht="15.5">
      <c r="A240" s="413" t="str">
        <f t="shared" si="17"/>
        <v>Inverclyde2017-18</v>
      </c>
      <c r="B240" s="467" t="s">
        <v>304</v>
      </c>
      <c r="C240" s="451">
        <v>280</v>
      </c>
      <c r="D240" s="467" t="s">
        <v>29</v>
      </c>
      <c r="E240" s="468">
        <v>713</v>
      </c>
      <c r="F240" s="468">
        <v>665</v>
      </c>
    </row>
    <row r="241" spans="1:6" ht="15.5">
      <c r="A241" s="413" t="str">
        <f t="shared" si="17"/>
        <v>Midlothian2017-18</v>
      </c>
      <c r="B241" s="467" t="s">
        <v>304</v>
      </c>
      <c r="C241" s="451">
        <v>290</v>
      </c>
      <c r="D241" s="467" t="s">
        <v>30</v>
      </c>
      <c r="E241" s="468">
        <v>903</v>
      </c>
      <c r="F241" s="468">
        <v>857</v>
      </c>
    </row>
    <row r="242" spans="1:6" ht="15.5">
      <c r="A242" s="413" t="str">
        <f t="shared" si="17"/>
        <v>Moray2017-18</v>
      </c>
      <c r="B242" s="467" t="s">
        <v>304</v>
      </c>
      <c r="C242" s="451">
        <v>300</v>
      </c>
      <c r="D242" s="467" t="s">
        <v>31</v>
      </c>
      <c r="E242" s="468">
        <v>927</v>
      </c>
      <c r="F242" s="468">
        <v>873</v>
      </c>
    </row>
    <row r="243" spans="1:6" ht="15.5">
      <c r="A243" s="413" t="str">
        <f t="shared" si="17"/>
        <v>North Ayrshire2017-18</v>
      </c>
      <c r="B243" s="467" t="s">
        <v>304</v>
      </c>
      <c r="C243" s="451">
        <v>310</v>
      </c>
      <c r="D243" s="467" t="s">
        <v>33</v>
      </c>
      <c r="E243" s="468">
        <v>1355</v>
      </c>
      <c r="F243" s="468">
        <v>1297</v>
      </c>
    </row>
    <row r="244" spans="1:6" ht="15.5">
      <c r="A244" s="413" t="str">
        <f t="shared" si="17"/>
        <v>North Lanarkshire2017-18</v>
      </c>
      <c r="B244" s="467" t="s">
        <v>304</v>
      </c>
      <c r="C244" s="451">
        <v>320</v>
      </c>
      <c r="D244" s="467" t="s">
        <v>34</v>
      </c>
      <c r="E244" s="468">
        <v>3531</v>
      </c>
      <c r="F244" s="468">
        <v>3299</v>
      </c>
    </row>
    <row r="245" spans="1:6" ht="15.5">
      <c r="A245" s="413" t="str">
        <f t="shared" si="17"/>
        <v>Orkney Islands2017-18</v>
      </c>
      <c r="B245" s="467" t="s">
        <v>304</v>
      </c>
      <c r="C245" s="451">
        <v>330</v>
      </c>
      <c r="D245" s="467" t="s">
        <v>35</v>
      </c>
      <c r="E245" s="468">
        <v>196</v>
      </c>
      <c r="F245" s="468">
        <v>193</v>
      </c>
    </row>
    <row r="246" spans="1:6" ht="15.5">
      <c r="A246" s="413" t="str">
        <f t="shared" si="17"/>
        <v>Perth and Kinross2017-18</v>
      </c>
      <c r="B246" s="467" t="s">
        <v>304</v>
      </c>
      <c r="C246" s="451">
        <v>340</v>
      </c>
      <c r="D246" s="467" t="s">
        <v>36</v>
      </c>
      <c r="E246" s="468">
        <v>1346</v>
      </c>
      <c r="F246" s="468">
        <v>1296</v>
      </c>
    </row>
    <row r="247" spans="1:6" ht="15.5">
      <c r="A247" s="413" t="str">
        <f t="shared" si="17"/>
        <v>Renfrewshire2017-18</v>
      </c>
      <c r="B247" s="467" t="s">
        <v>304</v>
      </c>
      <c r="C247" s="451">
        <v>350</v>
      </c>
      <c r="D247" s="467" t="s">
        <v>37</v>
      </c>
      <c r="E247" s="468">
        <v>1800</v>
      </c>
      <c r="F247" s="468">
        <v>1679</v>
      </c>
    </row>
    <row r="248" spans="1:6" ht="15.5">
      <c r="A248" s="413" t="str">
        <f t="shared" si="17"/>
        <v>Scottish Borders2017-18</v>
      </c>
      <c r="B248" s="467" t="s">
        <v>304</v>
      </c>
      <c r="C248" s="451">
        <v>355</v>
      </c>
      <c r="D248" s="467" t="s">
        <v>38</v>
      </c>
      <c r="E248" s="468">
        <v>1178</v>
      </c>
      <c r="F248" s="468">
        <v>1127</v>
      </c>
    </row>
    <row r="249" spans="1:6" ht="15.5">
      <c r="A249" s="413" t="str">
        <f t="shared" si="17"/>
        <v>Shetland Islands2017-18</v>
      </c>
      <c r="B249" s="467" t="s">
        <v>304</v>
      </c>
      <c r="C249" s="451">
        <v>360</v>
      </c>
      <c r="D249" s="467" t="s">
        <v>39</v>
      </c>
      <c r="E249" s="468">
        <v>249</v>
      </c>
      <c r="F249" s="468">
        <v>241</v>
      </c>
    </row>
    <row r="250" spans="1:6" ht="15.5">
      <c r="A250" s="413" t="str">
        <f t="shared" ref="A250:A313" si="18">D250&amp;B250</f>
        <v>South Ayrshire2017-18</v>
      </c>
      <c r="B250" s="467" t="s">
        <v>304</v>
      </c>
      <c r="C250" s="451">
        <v>370</v>
      </c>
      <c r="D250" s="467" t="s">
        <v>40</v>
      </c>
      <c r="E250" s="468">
        <v>1143</v>
      </c>
      <c r="F250" s="468">
        <v>1071</v>
      </c>
    </row>
    <row r="251" spans="1:6" ht="15.5">
      <c r="A251" s="413" t="str">
        <f t="shared" si="18"/>
        <v>South Lanarkshire2017-18</v>
      </c>
      <c r="B251" s="467" t="s">
        <v>304</v>
      </c>
      <c r="C251" s="451">
        <v>380</v>
      </c>
      <c r="D251" s="467" t="s">
        <v>41</v>
      </c>
      <c r="E251" s="468">
        <v>3258</v>
      </c>
      <c r="F251" s="468">
        <v>3143</v>
      </c>
    </row>
    <row r="252" spans="1:6" ht="15.5">
      <c r="A252" s="413" t="str">
        <f t="shared" si="18"/>
        <v>Stirling2017-18</v>
      </c>
      <c r="B252" s="467" t="s">
        <v>304</v>
      </c>
      <c r="C252" s="451">
        <v>390</v>
      </c>
      <c r="D252" s="467" t="s">
        <v>42</v>
      </c>
      <c r="E252" s="468">
        <v>998</v>
      </c>
      <c r="F252" s="468">
        <v>948</v>
      </c>
    </row>
    <row r="253" spans="1:6" ht="15.5">
      <c r="A253" s="413" t="str">
        <f t="shared" si="18"/>
        <v>West Dunbartonshire2017-18</v>
      </c>
      <c r="B253" s="467" t="s">
        <v>304</v>
      </c>
      <c r="C253" s="451">
        <v>395</v>
      </c>
      <c r="D253" s="467" t="s">
        <v>43</v>
      </c>
      <c r="E253" s="468">
        <v>889</v>
      </c>
      <c r="F253" s="468">
        <v>837</v>
      </c>
    </row>
    <row r="254" spans="1:6" ht="15.5">
      <c r="A254" s="413" t="str">
        <f t="shared" si="18"/>
        <v>West Lothian2017-18</v>
      </c>
      <c r="B254" s="467" t="s">
        <v>304</v>
      </c>
      <c r="C254" s="451">
        <v>400</v>
      </c>
      <c r="D254" s="467" t="s">
        <v>44</v>
      </c>
      <c r="E254" s="468">
        <v>1914</v>
      </c>
      <c r="F254" s="468">
        <v>1809</v>
      </c>
    </row>
    <row r="255" spans="1:6" ht="15.5">
      <c r="A255" s="413" t="str">
        <f t="shared" si="18"/>
        <v>Scotland2017-18</v>
      </c>
      <c r="B255" s="449" t="s">
        <v>304</v>
      </c>
      <c r="C255" s="1">
        <v>999</v>
      </c>
      <c r="D255" s="466" t="s">
        <v>45</v>
      </c>
      <c r="E255" s="469">
        <v>49748</v>
      </c>
      <c r="F255" s="469">
        <v>47040</v>
      </c>
    </row>
    <row r="256" spans="1:6" ht="15.5">
      <c r="A256" s="413" t="str">
        <f t="shared" si="18"/>
        <v>Aberdeen City2016-17</v>
      </c>
      <c r="B256" s="467" t="s">
        <v>305</v>
      </c>
      <c r="C256" s="451">
        <v>100</v>
      </c>
      <c r="D256" s="467" t="s">
        <v>14</v>
      </c>
      <c r="E256" s="468">
        <v>1638</v>
      </c>
      <c r="F256" s="468">
        <v>1492</v>
      </c>
    </row>
    <row r="257" spans="1:6" ht="15.5">
      <c r="A257" s="413" t="str">
        <f t="shared" si="18"/>
        <v>Aberdeenshire2016-17</v>
      </c>
      <c r="B257" s="467" t="s">
        <v>305</v>
      </c>
      <c r="C257" s="451">
        <v>110</v>
      </c>
      <c r="D257" s="467" t="s">
        <v>15</v>
      </c>
      <c r="E257" s="468">
        <v>2681</v>
      </c>
      <c r="F257" s="468">
        <v>2567</v>
      </c>
    </row>
    <row r="258" spans="1:6" ht="15.5">
      <c r="A258" s="413" t="str">
        <f t="shared" si="18"/>
        <v>Angus2016-17</v>
      </c>
      <c r="B258" s="467" t="s">
        <v>305</v>
      </c>
      <c r="C258" s="451">
        <v>120</v>
      </c>
      <c r="D258" s="467" t="s">
        <v>16</v>
      </c>
      <c r="E258" s="468">
        <v>1150</v>
      </c>
      <c r="F258" s="468">
        <v>1089</v>
      </c>
    </row>
    <row r="259" spans="1:6" ht="15.5">
      <c r="A259" s="413" t="str">
        <f t="shared" si="18"/>
        <v>Argyll and Bute2016-17</v>
      </c>
      <c r="B259" s="467" t="s">
        <v>305</v>
      </c>
      <c r="C259" s="451">
        <v>130</v>
      </c>
      <c r="D259" s="467" t="s">
        <v>17</v>
      </c>
      <c r="E259" s="468">
        <v>862</v>
      </c>
      <c r="F259" s="468">
        <v>817</v>
      </c>
    </row>
    <row r="260" spans="1:6" ht="15.5">
      <c r="A260" s="413" t="str">
        <f t="shared" si="18"/>
        <v>Clackmannanshire2016-17</v>
      </c>
      <c r="B260" s="467" t="s">
        <v>305</v>
      </c>
      <c r="C260" s="451">
        <v>150</v>
      </c>
      <c r="D260" s="467" t="s">
        <v>18</v>
      </c>
      <c r="E260" s="468">
        <v>495</v>
      </c>
      <c r="F260" s="468">
        <v>433</v>
      </c>
    </row>
    <row r="261" spans="1:6" ht="15.5">
      <c r="A261" s="413" t="str">
        <f t="shared" si="18"/>
        <v>Dumfries and Galloway2016-17</v>
      </c>
      <c r="B261" s="467" t="s">
        <v>305</v>
      </c>
      <c r="C261" s="451">
        <v>170</v>
      </c>
      <c r="D261" s="467" t="s">
        <v>19</v>
      </c>
      <c r="E261" s="468">
        <v>1504</v>
      </c>
      <c r="F261" s="468">
        <v>1428</v>
      </c>
    </row>
    <row r="262" spans="1:6" ht="15.5">
      <c r="A262" s="413" t="str">
        <f t="shared" si="18"/>
        <v>Dundee City2016-17</v>
      </c>
      <c r="B262" s="467" t="s">
        <v>305</v>
      </c>
      <c r="C262" s="451">
        <v>180</v>
      </c>
      <c r="D262" s="467" t="s">
        <v>20</v>
      </c>
      <c r="E262" s="468">
        <v>1231</v>
      </c>
      <c r="F262" s="468">
        <v>1160</v>
      </c>
    </row>
    <row r="263" spans="1:6" ht="15.5">
      <c r="A263" s="413" t="str">
        <f t="shared" si="18"/>
        <v>East Ayrshire2016-17</v>
      </c>
      <c r="B263" s="467" t="s">
        <v>305</v>
      </c>
      <c r="C263" s="451">
        <v>190</v>
      </c>
      <c r="D263" s="467" t="s">
        <v>21</v>
      </c>
      <c r="E263" s="468">
        <v>1309</v>
      </c>
      <c r="F263" s="468">
        <v>1234</v>
      </c>
    </row>
    <row r="264" spans="1:6" ht="15.5">
      <c r="A264" s="413" t="str">
        <f t="shared" si="18"/>
        <v>East Dunbartonshire2016-17</v>
      </c>
      <c r="B264" s="467" t="s">
        <v>305</v>
      </c>
      <c r="C264" s="451">
        <v>200</v>
      </c>
      <c r="D264" s="467" t="s">
        <v>22</v>
      </c>
      <c r="E264" s="468">
        <v>1240</v>
      </c>
      <c r="F264" s="468">
        <v>1219</v>
      </c>
    </row>
    <row r="265" spans="1:6" ht="15.5">
      <c r="A265" s="413" t="str">
        <f t="shared" si="18"/>
        <v>East Lothian2016-17</v>
      </c>
      <c r="B265" s="467" t="s">
        <v>305</v>
      </c>
      <c r="C265" s="451">
        <v>210</v>
      </c>
      <c r="D265" s="467" t="s">
        <v>23</v>
      </c>
      <c r="E265" s="468">
        <v>1018</v>
      </c>
      <c r="F265" s="468">
        <v>964</v>
      </c>
    </row>
    <row r="266" spans="1:6" ht="15.5">
      <c r="A266" s="413" t="str">
        <f t="shared" si="18"/>
        <v>East Renfrewshire2016-17</v>
      </c>
      <c r="B266" s="467" t="s">
        <v>305</v>
      </c>
      <c r="C266" s="451">
        <v>220</v>
      </c>
      <c r="D266" s="467" t="s">
        <v>24</v>
      </c>
      <c r="E266" s="468">
        <v>1343</v>
      </c>
      <c r="F266" s="468">
        <v>1293</v>
      </c>
    </row>
    <row r="267" spans="1:6" ht="15.5">
      <c r="A267" s="413" t="str">
        <f t="shared" si="18"/>
        <v>Edinburgh, City of2016-17</v>
      </c>
      <c r="B267" s="467" t="s">
        <v>305</v>
      </c>
      <c r="C267" s="451">
        <v>230</v>
      </c>
      <c r="D267" s="467" t="s">
        <v>189</v>
      </c>
      <c r="E267" s="468">
        <v>3239</v>
      </c>
      <c r="F267" s="468">
        <v>2998</v>
      </c>
    </row>
    <row r="268" spans="1:6" ht="15.5">
      <c r="A268" s="413" t="str">
        <f t="shared" si="18"/>
        <v>Na h-Eileanan Siar2016-17</v>
      </c>
      <c r="B268" s="467" t="s">
        <v>305</v>
      </c>
      <c r="C268" s="451">
        <v>235</v>
      </c>
      <c r="D268" s="467" t="s">
        <v>32</v>
      </c>
      <c r="E268" s="468">
        <v>268</v>
      </c>
      <c r="F268" s="468">
        <v>263</v>
      </c>
    </row>
    <row r="269" spans="1:6" ht="15.5">
      <c r="A269" s="413" t="str">
        <f t="shared" si="18"/>
        <v>Falkirk2016-17</v>
      </c>
      <c r="B269" s="467" t="s">
        <v>305</v>
      </c>
      <c r="C269" s="451">
        <v>240</v>
      </c>
      <c r="D269" s="467" t="s">
        <v>25</v>
      </c>
      <c r="E269" s="468">
        <v>1589</v>
      </c>
      <c r="F269" s="468">
        <v>1464</v>
      </c>
    </row>
    <row r="270" spans="1:6" ht="15.5">
      <c r="A270" s="413" t="str">
        <f t="shared" si="18"/>
        <v>Fife2016-17</v>
      </c>
      <c r="B270" s="467" t="s">
        <v>305</v>
      </c>
      <c r="C270" s="451">
        <v>250</v>
      </c>
      <c r="D270" s="467" t="s">
        <v>26</v>
      </c>
      <c r="E270" s="468">
        <v>3761</v>
      </c>
      <c r="F270" s="468">
        <v>3497</v>
      </c>
    </row>
    <row r="271" spans="1:6" ht="15.5">
      <c r="A271" s="413" t="str">
        <f t="shared" si="18"/>
        <v>Glasgow City2016-17</v>
      </c>
      <c r="B271" s="467" t="s">
        <v>305</v>
      </c>
      <c r="C271" s="451">
        <v>260</v>
      </c>
      <c r="D271" s="467" t="s">
        <v>27</v>
      </c>
      <c r="E271" s="468">
        <v>4483</v>
      </c>
      <c r="F271" s="468">
        <v>4123</v>
      </c>
    </row>
    <row r="272" spans="1:6" ht="15.5">
      <c r="A272" s="413" t="str">
        <f t="shared" si="18"/>
        <v>Highland2016-17</v>
      </c>
      <c r="B272" s="467" t="s">
        <v>305</v>
      </c>
      <c r="C272" s="451">
        <v>270</v>
      </c>
      <c r="D272" s="467" t="s">
        <v>28</v>
      </c>
      <c r="E272" s="468">
        <v>2421</v>
      </c>
      <c r="F272" s="468">
        <v>2315</v>
      </c>
    </row>
    <row r="273" spans="1:6" ht="15.5">
      <c r="A273" s="413" t="str">
        <f t="shared" si="18"/>
        <v>Inverclyde2016-17</v>
      </c>
      <c r="B273" s="467" t="s">
        <v>305</v>
      </c>
      <c r="C273" s="451">
        <v>280</v>
      </c>
      <c r="D273" s="467" t="s">
        <v>29</v>
      </c>
      <c r="E273" s="468">
        <v>785</v>
      </c>
      <c r="F273" s="468">
        <v>730</v>
      </c>
    </row>
    <row r="274" spans="1:6" ht="15.5">
      <c r="A274" s="413" t="str">
        <f t="shared" si="18"/>
        <v>Midlothian2016-17</v>
      </c>
      <c r="B274" s="467" t="s">
        <v>305</v>
      </c>
      <c r="C274" s="451">
        <v>290</v>
      </c>
      <c r="D274" s="467" t="s">
        <v>30</v>
      </c>
      <c r="E274" s="468">
        <v>919</v>
      </c>
      <c r="F274" s="468">
        <v>871</v>
      </c>
    </row>
    <row r="275" spans="1:6" ht="15.5">
      <c r="A275" s="413" t="str">
        <f t="shared" si="18"/>
        <v>Moray2016-17</v>
      </c>
      <c r="B275" s="467" t="s">
        <v>305</v>
      </c>
      <c r="C275" s="451">
        <v>300</v>
      </c>
      <c r="D275" s="467" t="s">
        <v>31</v>
      </c>
      <c r="E275" s="468">
        <v>929</v>
      </c>
      <c r="F275" s="468">
        <v>872</v>
      </c>
    </row>
    <row r="276" spans="1:6" ht="15.5">
      <c r="A276" s="413" t="str">
        <f t="shared" si="18"/>
        <v>North Ayrshire2016-17</v>
      </c>
      <c r="B276" s="467" t="s">
        <v>305</v>
      </c>
      <c r="C276" s="451">
        <v>310</v>
      </c>
      <c r="D276" s="467" t="s">
        <v>33</v>
      </c>
      <c r="E276" s="468">
        <v>1454</v>
      </c>
      <c r="F276" s="468">
        <v>1360</v>
      </c>
    </row>
    <row r="277" spans="1:6" ht="15.5">
      <c r="A277" s="413" t="str">
        <f t="shared" si="18"/>
        <v>North Lanarkshire2016-17</v>
      </c>
      <c r="B277" s="467" t="s">
        <v>305</v>
      </c>
      <c r="C277" s="451">
        <v>320</v>
      </c>
      <c r="D277" s="467" t="s">
        <v>34</v>
      </c>
      <c r="E277" s="468">
        <v>3705</v>
      </c>
      <c r="F277" s="468">
        <v>3402</v>
      </c>
    </row>
    <row r="278" spans="1:6" ht="15.5">
      <c r="A278" s="413" t="str">
        <f t="shared" si="18"/>
        <v>Orkney Islands2016-17</v>
      </c>
      <c r="B278" s="467" t="s">
        <v>305</v>
      </c>
      <c r="C278" s="451">
        <v>330</v>
      </c>
      <c r="D278" s="467" t="s">
        <v>35</v>
      </c>
      <c r="E278" s="468">
        <v>204</v>
      </c>
      <c r="F278" s="468">
        <v>196</v>
      </c>
    </row>
    <row r="279" spans="1:6" ht="15.5">
      <c r="A279" s="413" t="str">
        <f t="shared" si="18"/>
        <v>Perth and Kinross2016-17</v>
      </c>
      <c r="B279" s="467" t="s">
        <v>305</v>
      </c>
      <c r="C279" s="451">
        <v>340</v>
      </c>
      <c r="D279" s="467" t="s">
        <v>36</v>
      </c>
      <c r="E279" s="468">
        <v>1430</v>
      </c>
      <c r="F279" s="468">
        <v>1354</v>
      </c>
    </row>
    <row r="280" spans="1:6" ht="15.5">
      <c r="A280" s="413" t="str">
        <f t="shared" si="18"/>
        <v>Renfrewshire2016-17</v>
      </c>
      <c r="B280" s="467" t="s">
        <v>305</v>
      </c>
      <c r="C280" s="451">
        <v>350</v>
      </c>
      <c r="D280" s="467" t="s">
        <v>37</v>
      </c>
      <c r="E280" s="468">
        <v>1793</v>
      </c>
      <c r="F280" s="468">
        <v>1667</v>
      </c>
    </row>
    <row r="281" spans="1:6" ht="15.5">
      <c r="A281" s="413" t="str">
        <f t="shared" si="18"/>
        <v>Scottish Borders2016-17</v>
      </c>
      <c r="B281" s="467" t="s">
        <v>305</v>
      </c>
      <c r="C281" s="451">
        <v>355</v>
      </c>
      <c r="D281" s="467" t="s">
        <v>38</v>
      </c>
      <c r="E281" s="468">
        <v>1102</v>
      </c>
      <c r="F281" s="468">
        <v>1057</v>
      </c>
    </row>
    <row r="282" spans="1:6" ht="15.5">
      <c r="A282" s="413" t="str">
        <f t="shared" si="18"/>
        <v>Shetland Islands2016-17</v>
      </c>
      <c r="B282" s="467" t="s">
        <v>305</v>
      </c>
      <c r="C282" s="451">
        <v>360</v>
      </c>
      <c r="D282" s="467" t="s">
        <v>39</v>
      </c>
      <c r="E282" s="468">
        <v>271</v>
      </c>
      <c r="F282" s="468">
        <v>255</v>
      </c>
    </row>
    <row r="283" spans="1:6" ht="15.5">
      <c r="A283" s="413" t="str">
        <f t="shared" si="18"/>
        <v>South Ayrshire2016-17</v>
      </c>
      <c r="B283" s="467" t="s">
        <v>305</v>
      </c>
      <c r="C283" s="451">
        <v>370</v>
      </c>
      <c r="D283" s="467" t="s">
        <v>40</v>
      </c>
      <c r="E283" s="468">
        <v>1104</v>
      </c>
      <c r="F283" s="468">
        <v>1040</v>
      </c>
    </row>
    <row r="284" spans="1:6" ht="15.5">
      <c r="A284" s="413" t="str">
        <f t="shared" si="18"/>
        <v>South Lanarkshire2016-17</v>
      </c>
      <c r="B284" s="467" t="s">
        <v>305</v>
      </c>
      <c r="C284" s="451">
        <v>380</v>
      </c>
      <c r="D284" s="467" t="s">
        <v>41</v>
      </c>
      <c r="E284" s="468">
        <v>3368</v>
      </c>
      <c r="F284" s="468">
        <v>3228</v>
      </c>
    </row>
    <row r="285" spans="1:6" ht="15.5">
      <c r="A285" s="413" t="str">
        <f t="shared" si="18"/>
        <v>Stirling2016-17</v>
      </c>
      <c r="B285" s="467" t="s">
        <v>305</v>
      </c>
      <c r="C285" s="451">
        <v>390</v>
      </c>
      <c r="D285" s="467" t="s">
        <v>42</v>
      </c>
      <c r="E285" s="468">
        <v>1037</v>
      </c>
      <c r="F285" s="468">
        <v>974</v>
      </c>
    </row>
    <row r="286" spans="1:6" ht="15.5">
      <c r="A286" s="413" t="str">
        <f t="shared" si="18"/>
        <v>West Dunbartonshire2016-17</v>
      </c>
      <c r="B286" s="467" t="s">
        <v>305</v>
      </c>
      <c r="C286" s="451">
        <v>395</v>
      </c>
      <c r="D286" s="467" t="s">
        <v>43</v>
      </c>
      <c r="E286" s="468">
        <v>889</v>
      </c>
      <c r="F286" s="468">
        <v>828</v>
      </c>
    </row>
    <row r="287" spans="1:6" ht="15.5">
      <c r="A287" s="413" t="str">
        <f t="shared" si="18"/>
        <v>West Lothian2016-17</v>
      </c>
      <c r="B287" s="467" t="s">
        <v>305</v>
      </c>
      <c r="C287" s="451">
        <v>400</v>
      </c>
      <c r="D287" s="467" t="s">
        <v>44</v>
      </c>
      <c r="E287" s="468">
        <v>1994</v>
      </c>
      <c r="F287" s="468">
        <v>1881</v>
      </c>
    </row>
    <row r="288" spans="1:6" ht="15.5">
      <c r="A288" s="413" t="str">
        <f t="shared" si="18"/>
        <v>Scotland2016-17</v>
      </c>
      <c r="B288" s="449" t="s">
        <v>305</v>
      </c>
      <c r="C288" s="1">
        <v>999</v>
      </c>
      <c r="D288" s="466" t="s">
        <v>45</v>
      </c>
      <c r="E288" s="469">
        <v>51300</v>
      </c>
      <c r="F288" s="469">
        <v>48155</v>
      </c>
    </row>
    <row r="289" spans="1:6" ht="15.5">
      <c r="A289" s="413" t="str">
        <f t="shared" si="18"/>
        <v>Aberdeen City2015-16</v>
      </c>
      <c r="B289" s="467" t="s">
        <v>306</v>
      </c>
      <c r="C289" s="451">
        <v>100</v>
      </c>
      <c r="D289" s="467" t="s">
        <v>14</v>
      </c>
      <c r="E289" s="468">
        <v>1675</v>
      </c>
      <c r="F289" s="468">
        <v>1522</v>
      </c>
    </row>
    <row r="290" spans="1:6" ht="15.5">
      <c r="A290" s="413" t="str">
        <f t="shared" si="18"/>
        <v>Aberdeenshire2015-16</v>
      </c>
      <c r="B290" s="467" t="s">
        <v>306</v>
      </c>
      <c r="C290" s="451">
        <v>110</v>
      </c>
      <c r="D290" s="467" t="s">
        <v>15</v>
      </c>
      <c r="E290" s="468">
        <v>2585</v>
      </c>
      <c r="F290" s="468">
        <v>2458</v>
      </c>
    </row>
    <row r="291" spans="1:6" ht="15.5">
      <c r="A291" s="413" t="str">
        <f t="shared" si="18"/>
        <v>Angus2015-16</v>
      </c>
      <c r="B291" s="467" t="s">
        <v>306</v>
      </c>
      <c r="C291" s="451">
        <v>120</v>
      </c>
      <c r="D291" s="467" t="s">
        <v>16</v>
      </c>
      <c r="E291" s="468">
        <v>1227</v>
      </c>
      <c r="F291" s="468">
        <v>1171</v>
      </c>
    </row>
    <row r="292" spans="1:6" ht="15.5">
      <c r="A292" s="413" t="str">
        <f t="shared" si="18"/>
        <v>Argyll and Bute2015-16</v>
      </c>
      <c r="B292" s="467" t="s">
        <v>306</v>
      </c>
      <c r="C292" s="451">
        <v>130</v>
      </c>
      <c r="D292" s="467" t="s">
        <v>17</v>
      </c>
      <c r="E292" s="468">
        <v>907</v>
      </c>
      <c r="F292" s="468">
        <v>843</v>
      </c>
    </row>
    <row r="293" spans="1:6" ht="15.5">
      <c r="A293" s="413" t="str">
        <f t="shared" si="18"/>
        <v>Clackmannanshire2015-16</v>
      </c>
      <c r="B293" s="467" t="s">
        <v>306</v>
      </c>
      <c r="C293" s="451">
        <v>150</v>
      </c>
      <c r="D293" s="467" t="s">
        <v>18</v>
      </c>
      <c r="E293" s="468">
        <v>489</v>
      </c>
      <c r="F293" s="468">
        <v>443</v>
      </c>
    </row>
    <row r="294" spans="1:6" ht="15.5">
      <c r="A294" s="413" t="str">
        <f t="shared" si="18"/>
        <v>Dumfries and Galloway2015-16</v>
      </c>
      <c r="B294" s="467" t="s">
        <v>306</v>
      </c>
      <c r="C294" s="451">
        <v>170</v>
      </c>
      <c r="D294" s="467" t="s">
        <v>19</v>
      </c>
      <c r="E294" s="468">
        <v>1476</v>
      </c>
      <c r="F294" s="468">
        <v>1399</v>
      </c>
    </row>
    <row r="295" spans="1:6" ht="15.5">
      <c r="A295" s="413" t="str">
        <f t="shared" si="18"/>
        <v>Dundee City2015-16</v>
      </c>
      <c r="B295" s="467" t="s">
        <v>306</v>
      </c>
      <c r="C295" s="451">
        <v>180</v>
      </c>
      <c r="D295" s="467" t="s">
        <v>20</v>
      </c>
      <c r="E295" s="468">
        <v>1392</v>
      </c>
      <c r="F295" s="468">
        <v>1275</v>
      </c>
    </row>
    <row r="296" spans="1:6" ht="15.5">
      <c r="A296" s="413" t="str">
        <f t="shared" si="18"/>
        <v>East Ayrshire2015-16</v>
      </c>
      <c r="B296" s="467" t="s">
        <v>306</v>
      </c>
      <c r="C296" s="451">
        <v>190</v>
      </c>
      <c r="D296" s="467" t="s">
        <v>21</v>
      </c>
      <c r="E296" s="468">
        <v>1278</v>
      </c>
      <c r="F296" s="468">
        <v>1175</v>
      </c>
    </row>
    <row r="297" spans="1:6" ht="15.5">
      <c r="A297" s="413" t="str">
        <f t="shared" si="18"/>
        <v>East Dunbartonshire2015-16</v>
      </c>
      <c r="B297" s="467" t="s">
        <v>306</v>
      </c>
      <c r="C297" s="451">
        <v>200</v>
      </c>
      <c r="D297" s="467" t="s">
        <v>22</v>
      </c>
      <c r="E297" s="468">
        <v>1367</v>
      </c>
      <c r="F297" s="468">
        <v>1334</v>
      </c>
    </row>
    <row r="298" spans="1:6" ht="15.5">
      <c r="A298" s="413" t="str">
        <f t="shared" si="18"/>
        <v>East Lothian2015-16</v>
      </c>
      <c r="B298" s="467" t="s">
        <v>306</v>
      </c>
      <c r="C298" s="451">
        <v>210</v>
      </c>
      <c r="D298" s="467" t="s">
        <v>23</v>
      </c>
      <c r="E298" s="468">
        <v>1018</v>
      </c>
      <c r="F298" s="468">
        <v>967</v>
      </c>
    </row>
    <row r="299" spans="1:6" ht="15.5">
      <c r="A299" s="413" t="str">
        <f t="shared" si="18"/>
        <v>East Renfrewshire2015-16</v>
      </c>
      <c r="B299" s="467" t="s">
        <v>306</v>
      </c>
      <c r="C299" s="451">
        <v>220</v>
      </c>
      <c r="D299" s="467" t="s">
        <v>24</v>
      </c>
      <c r="E299" s="468">
        <v>1396</v>
      </c>
      <c r="F299" s="468">
        <v>1350</v>
      </c>
    </row>
    <row r="300" spans="1:6" ht="15.5">
      <c r="A300" s="413" t="str">
        <f t="shared" si="18"/>
        <v>Edinburgh, City of2015-16</v>
      </c>
      <c r="B300" s="467" t="s">
        <v>306</v>
      </c>
      <c r="C300" s="451">
        <v>230</v>
      </c>
      <c r="D300" s="467" t="s">
        <v>189</v>
      </c>
      <c r="E300" s="468">
        <v>3273</v>
      </c>
      <c r="F300" s="468">
        <v>3073</v>
      </c>
    </row>
    <row r="301" spans="1:6" ht="15.5">
      <c r="A301" s="413" t="str">
        <f t="shared" si="18"/>
        <v>Na h-Eileanan Siar2015-16</v>
      </c>
      <c r="B301" s="467" t="s">
        <v>306</v>
      </c>
      <c r="C301" s="451">
        <v>235</v>
      </c>
      <c r="D301" s="467" t="s">
        <v>32</v>
      </c>
      <c r="E301" s="468">
        <v>253</v>
      </c>
      <c r="F301" s="468" t="s">
        <v>701</v>
      </c>
    </row>
    <row r="302" spans="1:6" ht="15.5">
      <c r="A302" s="413" t="str">
        <f t="shared" si="18"/>
        <v>Falkirk2015-16</v>
      </c>
      <c r="B302" s="467" t="s">
        <v>306</v>
      </c>
      <c r="C302" s="451">
        <v>240</v>
      </c>
      <c r="D302" s="467" t="s">
        <v>25</v>
      </c>
      <c r="E302" s="468">
        <v>1528</v>
      </c>
      <c r="F302" s="468">
        <v>1455</v>
      </c>
    </row>
    <row r="303" spans="1:6" ht="15.5">
      <c r="A303" s="413" t="str">
        <f t="shared" si="18"/>
        <v>Fife2015-16</v>
      </c>
      <c r="B303" s="467" t="s">
        <v>306</v>
      </c>
      <c r="C303" s="451">
        <v>250</v>
      </c>
      <c r="D303" s="467" t="s">
        <v>26</v>
      </c>
      <c r="E303" s="468">
        <v>3717</v>
      </c>
      <c r="F303" s="468">
        <v>3449</v>
      </c>
    </row>
    <row r="304" spans="1:6" ht="15.5">
      <c r="A304" s="413" t="str">
        <f t="shared" si="18"/>
        <v>Glasgow City2015-16</v>
      </c>
      <c r="B304" s="467" t="s">
        <v>306</v>
      </c>
      <c r="C304" s="451">
        <v>260</v>
      </c>
      <c r="D304" s="467" t="s">
        <v>27</v>
      </c>
      <c r="E304" s="468">
        <v>4555</v>
      </c>
      <c r="F304" s="468">
        <v>4099</v>
      </c>
    </row>
    <row r="305" spans="1:6" ht="15.5">
      <c r="A305" s="413" t="str">
        <f t="shared" si="18"/>
        <v>Highland2015-16</v>
      </c>
      <c r="B305" s="467" t="s">
        <v>306</v>
      </c>
      <c r="C305" s="451">
        <v>270</v>
      </c>
      <c r="D305" s="467" t="s">
        <v>28</v>
      </c>
      <c r="E305" s="468">
        <v>2522</v>
      </c>
      <c r="F305" s="468">
        <v>2396</v>
      </c>
    </row>
    <row r="306" spans="1:6" ht="15.5">
      <c r="A306" s="413" t="str">
        <f t="shared" si="18"/>
        <v>Inverclyde2015-16</v>
      </c>
      <c r="B306" s="467" t="s">
        <v>306</v>
      </c>
      <c r="C306" s="451">
        <v>280</v>
      </c>
      <c r="D306" s="467" t="s">
        <v>29</v>
      </c>
      <c r="E306" s="468">
        <v>749</v>
      </c>
      <c r="F306" s="468">
        <v>706</v>
      </c>
    </row>
    <row r="307" spans="1:6" ht="15.5">
      <c r="A307" s="413" t="str">
        <f t="shared" si="18"/>
        <v>Midlothian2015-16</v>
      </c>
      <c r="B307" s="467" t="s">
        <v>306</v>
      </c>
      <c r="C307" s="451">
        <v>290</v>
      </c>
      <c r="D307" s="467" t="s">
        <v>30</v>
      </c>
      <c r="E307" s="468">
        <v>992</v>
      </c>
      <c r="F307" s="468">
        <v>944</v>
      </c>
    </row>
    <row r="308" spans="1:6" ht="15.5">
      <c r="A308" s="413" t="str">
        <f t="shared" si="18"/>
        <v>Moray2015-16</v>
      </c>
      <c r="B308" s="467" t="s">
        <v>306</v>
      </c>
      <c r="C308" s="451">
        <v>300</v>
      </c>
      <c r="D308" s="467" t="s">
        <v>31</v>
      </c>
      <c r="E308" s="468">
        <v>1008</v>
      </c>
      <c r="F308" s="468">
        <v>941</v>
      </c>
    </row>
    <row r="309" spans="1:6" ht="15.5">
      <c r="A309" s="413" t="str">
        <f t="shared" si="18"/>
        <v>North Ayrshire2015-16</v>
      </c>
      <c r="B309" s="467" t="s">
        <v>306</v>
      </c>
      <c r="C309" s="451">
        <v>310</v>
      </c>
      <c r="D309" s="467" t="s">
        <v>33</v>
      </c>
      <c r="E309" s="468">
        <v>1317</v>
      </c>
      <c r="F309" s="468">
        <v>1249</v>
      </c>
    </row>
    <row r="310" spans="1:6" ht="15.5">
      <c r="A310" s="413" t="str">
        <f t="shared" si="18"/>
        <v>North Lanarkshire2015-16</v>
      </c>
      <c r="B310" s="467" t="s">
        <v>306</v>
      </c>
      <c r="C310" s="451">
        <v>320</v>
      </c>
      <c r="D310" s="467" t="s">
        <v>34</v>
      </c>
      <c r="E310" s="468">
        <v>3968</v>
      </c>
      <c r="F310" s="468">
        <v>3664</v>
      </c>
    </row>
    <row r="311" spans="1:6" ht="15.5">
      <c r="A311" s="413" t="str">
        <f t="shared" si="18"/>
        <v>Orkney Islands2015-16</v>
      </c>
      <c r="B311" s="467" t="s">
        <v>306</v>
      </c>
      <c r="C311" s="451">
        <v>330</v>
      </c>
      <c r="D311" s="467" t="s">
        <v>35</v>
      </c>
      <c r="E311" s="468">
        <v>214</v>
      </c>
      <c r="F311" s="468">
        <v>194</v>
      </c>
    </row>
    <row r="312" spans="1:6" ht="15.5">
      <c r="A312" s="413" t="str">
        <f t="shared" si="18"/>
        <v>Perth and Kinross2015-16</v>
      </c>
      <c r="B312" s="467" t="s">
        <v>306</v>
      </c>
      <c r="C312" s="451">
        <v>340</v>
      </c>
      <c r="D312" s="467" t="s">
        <v>36</v>
      </c>
      <c r="E312" s="468">
        <v>1390</v>
      </c>
      <c r="F312" s="468">
        <v>1324</v>
      </c>
    </row>
    <row r="313" spans="1:6" ht="15.5">
      <c r="A313" s="413" t="str">
        <f t="shared" si="18"/>
        <v>Renfrewshire2015-16</v>
      </c>
      <c r="B313" s="467" t="s">
        <v>306</v>
      </c>
      <c r="C313" s="451">
        <v>350</v>
      </c>
      <c r="D313" s="467" t="s">
        <v>37</v>
      </c>
      <c r="E313" s="468">
        <v>1778</v>
      </c>
      <c r="F313" s="468">
        <v>1643</v>
      </c>
    </row>
    <row r="314" spans="1:6" ht="15.5">
      <c r="A314" s="413" t="str">
        <f t="shared" ref="A314:A377" si="19">D314&amp;B314</f>
        <v>Scottish Borders2015-16</v>
      </c>
      <c r="B314" s="467" t="s">
        <v>306</v>
      </c>
      <c r="C314" s="451">
        <v>355</v>
      </c>
      <c r="D314" s="467" t="s">
        <v>38</v>
      </c>
      <c r="E314" s="468">
        <v>1167</v>
      </c>
      <c r="F314" s="468">
        <v>1103</v>
      </c>
    </row>
    <row r="315" spans="1:6" ht="15.5">
      <c r="A315" s="413" t="str">
        <f t="shared" si="19"/>
        <v>Shetland Islands2015-16</v>
      </c>
      <c r="B315" s="467" t="s">
        <v>306</v>
      </c>
      <c r="C315" s="451">
        <v>360</v>
      </c>
      <c r="D315" s="467" t="s">
        <v>39</v>
      </c>
      <c r="E315" s="468">
        <v>273</v>
      </c>
      <c r="F315" s="468" t="s">
        <v>701</v>
      </c>
    </row>
    <row r="316" spans="1:6" ht="15.5">
      <c r="A316" s="413" t="str">
        <f t="shared" si="19"/>
        <v>South Ayrshire2015-16</v>
      </c>
      <c r="B316" s="467" t="s">
        <v>306</v>
      </c>
      <c r="C316" s="451">
        <v>370</v>
      </c>
      <c r="D316" s="467" t="s">
        <v>40</v>
      </c>
      <c r="E316" s="468">
        <v>1207</v>
      </c>
      <c r="F316" s="468">
        <v>1138</v>
      </c>
    </row>
    <row r="317" spans="1:6" ht="15.5">
      <c r="A317" s="413" t="str">
        <f t="shared" si="19"/>
        <v>South Lanarkshire2015-16</v>
      </c>
      <c r="B317" s="467" t="s">
        <v>306</v>
      </c>
      <c r="C317" s="451">
        <v>380</v>
      </c>
      <c r="D317" s="467" t="s">
        <v>41</v>
      </c>
      <c r="E317" s="468">
        <v>3482</v>
      </c>
      <c r="F317" s="468">
        <v>3276</v>
      </c>
    </row>
    <row r="318" spans="1:6" ht="15.5">
      <c r="A318" s="413" t="str">
        <f t="shared" si="19"/>
        <v>Stirling2015-16</v>
      </c>
      <c r="B318" s="467" t="s">
        <v>306</v>
      </c>
      <c r="C318" s="451">
        <v>390</v>
      </c>
      <c r="D318" s="467" t="s">
        <v>42</v>
      </c>
      <c r="E318" s="468">
        <v>1061</v>
      </c>
      <c r="F318" s="468">
        <v>991</v>
      </c>
    </row>
    <row r="319" spans="1:6" ht="15.5">
      <c r="A319" s="413" t="str">
        <f t="shared" si="19"/>
        <v>West Dunbartonshire2015-16</v>
      </c>
      <c r="B319" s="467" t="s">
        <v>306</v>
      </c>
      <c r="C319" s="451">
        <v>395</v>
      </c>
      <c r="D319" s="467" t="s">
        <v>43</v>
      </c>
      <c r="E319" s="468">
        <v>949</v>
      </c>
      <c r="F319" s="468">
        <v>875</v>
      </c>
    </row>
    <row r="320" spans="1:6" ht="15.5">
      <c r="A320" s="413" t="str">
        <f t="shared" si="19"/>
        <v>West Lothian2015-16</v>
      </c>
      <c r="B320" s="467" t="s">
        <v>306</v>
      </c>
      <c r="C320" s="451">
        <v>400</v>
      </c>
      <c r="D320" s="467" t="s">
        <v>44</v>
      </c>
      <c r="E320" s="468">
        <v>1985</v>
      </c>
      <c r="F320" s="468">
        <v>1845</v>
      </c>
    </row>
    <row r="321" spans="1:6" ht="15.5">
      <c r="A321" s="413" t="str">
        <f t="shared" si="19"/>
        <v>Scotland2015-16</v>
      </c>
      <c r="B321" s="449" t="s">
        <v>306</v>
      </c>
      <c r="C321" s="1">
        <v>999</v>
      </c>
      <c r="D321" s="466" t="s">
        <v>45</v>
      </c>
      <c r="E321" s="469">
        <v>52305</v>
      </c>
      <c r="F321" s="469">
        <v>48913</v>
      </c>
    </row>
    <row r="322" spans="1:6" ht="15.5">
      <c r="A322" s="413" t="str">
        <f t="shared" si="19"/>
        <v>Aberdeen City2014-15</v>
      </c>
      <c r="B322" s="467" t="s">
        <v>494</v>
      </c>
      <c r="C322" s="451">
        <v>100</v>
      </c>
      <c r="D322" s="467" t="s">
        <v>14</v>
      </c>
      <c r="E322" s="468">
        <v>1623</v>
      </c>
      <c r="F322" s="468">
        <v>1472</v>
      </c>
    </row>
    <row r="323" spans="1:6" ht="15.5">
      <c r="A323" s="413" t="str">
        <f t="shared" si="19"/>
        <v>Aberdeenshire2014-15</v>
      </c>
      <c r="B323" s="467" t="s">
        <v>494</v>
      </c>
      <c r="C323" s="451">
        <v>110</v>
      </c>
      <c r="D323" s="467" t="s">
        <v>15</v>
      </c>
      <c r="E323" s="468">
        <v>2679</v>
      </c>
      <c r="F323" s="468">
        <v>2570</v>
      </c>
    </row>
    <row r="324" spans="1:6" ht="15.5">
      <c r="A324" s="413" t="str">
        <f t="shared" si="19"/>
        <v>Angus2014-15</v>
      </c>
      <c r="B324" s="467" t="s">
        <v>494</v>
      </c>
      <c r="C324" s="451">
        <v>120</v>
      </c>
      <c r="D324" s="467" t="s">
        <v>16</v>
      </c>
      <c r="E324" s="468">
        <v>1292</v>
      </c>
      <c r="F324" s="468">
        <v>1221</v>
      </c>
    </row>
    <row r="325" spans="1:6" ht="15.5">
      <c r="A325" s="413" t="str">
        <f t="shared" si="19"/>
        <v>Argyll and Bute2014-15</v>
      </c>
      <c r="B325" s="467" t="s">
        <v>494</v>
      </c>
      <c r="C325" s="451">
        <v>130</v>
      </c>
      <c r="D325" s="467" t="s">
        <v>17</v>
      </c>
      <c r="E325" s="468">
        <v>893</v>
      </c>
      <c r="F325" s="468">
        <v>837</v>
      </c>
    </row>
    <row r="326" spans="1:6" ht="15.5">
      <c r="A326" s="413" t="str">
        <f t="shared" si="19"/>
        <v>Clackmannanshire2014-15</v>
      </c>
      <c r="B326" s="467" t="s">
        <v>494</v>
      </c>
      <c r="C326" s="451">
        <v>150</v>
      </c>
      <c r="D326" s="467" t="s">
        <v>18</v>
      </c>
      <c r="E326" s="468">
        <v>510</v>
      </c>
      <c r="F326" s="468">
        <v>473</v>
      </c>
    </row>
    <row r="327" spans="1:6" ht="15.5">
      <c r="A327" s="413" t="str">
        <f t="shared" si="19"/>
        <v>Dumfries and Galloway2014-15</v>
      </c>
      <c r="B327" s="467" t="s">
        <v>494</v>
      </c>
      <c r="C327" s="451">
        <v>170</v>
      </c>
      <c r="D327" s="467" t="s">
        <v>19</v>
      </c>
      <c r="E327" s="468">
        <v>1555</v>
      </c>
      <c r="F327" s="468">
        <v>1448</v>
      </c>
    </row>
    <row r="328" spans="1:6" ht="15.5">
      <c r="A328" s="413" t="str">
        <f t="shared" si="19"/>
        <v>Dundee City2014-15</v>
      </c>
      <c r="B328" s="467" t="s">
        <v>494</v>
      </c>
      <c r="C328" s="451">
        <v>180</v>
      </c>
      <c r="D328" s="467" t="s">
        <v>20</v>
      </c>
      <c r="E328" s="468">
        <v>1294</v>
      </c>
      <c r="F328" s="468">
        <v>1205</v>
      </c>
    </row>
    <row r="329" spans="1:6" ht="15.5">
      <c r="A329" s="413" t="str">
        <f t="shared" si="19"/>
        <v>East Ayrshire2014-15</v>
      </c>
      <c r="B329" s="467" t="s">
        <v>494</v>
      </c>
      <c r="C329" s="451">
        <v>190</v>
      </c>
      <c r="D329" s="467" t="s">
        <v>21</v>
      </c>
      <c r="E329" s="468">
        <v>1291</v>
      </c>
      <c r="F329" s="468">
        <v>1218</v>
      </c>
    </row>
    <row r="330" spans="1:6" ht="15.5">
      <c r="A330" s="413" t="str">
        <f t="shared" si="19"/>
        <v>East Dunbartonshire2014-15</v>
      </c>
      <c r="B330" s="467" t="s">
        <v>494</v>
      </c>
      <c r="C330" s="451">
        <v>200</v>
      </c>
      <c r="D330" s="467" t="s">
        <v>22</v>
      </c>
      <c r="E330" s="468">
        <v>1304</v>
      </c>
      <c r="F330" s="468">
        <v>1262</v>
      </c>
    </row>
    <row r="331" spans="1:6" ht="15.5">
      <c r="A331" s="413" t="str">
        <f t="shared" si="19"/>
        <v>East Lothian2014-15</v>
      </c>
      <c r="B331" s="467" t="s">
        <v>494</v>
      </c>
      <c r="C331" s="451">
        <v>210</v>
      </c>
      <c r="D331" s="467" t="s">
        <v>23</v>
      </c>
      <c r="E331" s="468">
        <v>1015</v>
      </c>
      <c r="F331" s="468">
        <v>942</v>
      </c>
    </row>
    <row r="332" spans="1:6" ht="15.5">
      <c r="A332" s="413" t="str">
        <f t="shared" si="19"/>
        <v>East Renfrewshire2014-15</v>
      </c>
      <c r="B332" s="467" t="s">
        <v>494</v>
      </c>
      <c r="C332" s="451">
        <v>220</v>
      </c>
      <c r="D332" s="467" t="s">
        <v>24</v>
      </c>
      <c r="E332" s="468">
        <v>1421</v>
      </c>
      <c r="F332" s="468">
        <v>1373</v>
      </c>
    </row>
    <row r="333" spans="1:6" ht="15.5">
      <c r="A333" s="413" t="str">
        <f t="shared" si="19"/>
        <v>Edinburgh, City of2014-15</v>
      </c>
      <c r="B333" s="467" t="s">
        <v>494</v>
      </c>
      <c r="C333" s="451">
        <v>230</v>
      </c>
      <c r="D333" s="467" t="s">
        <v>189</v>
      </c>
      <c r="E333" s="468">
        <v>3276</v>
      </c>
      <c r="F333" s="468">
        <v>3029</v>
      </c>
    </row>
    <row r="334" spans="1:6" ht="15.5">
      <c r="A334" s="413" t="str">
        <f t="shared" si="19"/>
        <v>Na h-Eileanan Siar2014-15</v>
      </c>
      <c r="B334" s="467" t="s">
        <v>494</v>
      </c>
      <c r="C334" s="451">
        <v>235</v>
      </c>
      <c r="D334" s="467" t="s">
        <v>32</v>
      </c>
      <c r="E334" s="468">
        <v>269</v>
      </c>
      <c r="F334" s="468">
        <v>259</v>
      </c>
    </row>
    <row r="335" spans="1:6" ht="15.5">
      <c r="A335" s="413" t="str">
        <f t="shared" si="19"/>
        <v>Falkirk2014-15</v>
      </c>
      <c r="B335" s="467" t="s">
        <v>494</v>
      </c>
      <c r="C335" s="451">
        <v>240</v>
      </c>
      <c r="D335" s="467" t="s">
        <v>25</v>
      </c>
      <c r="E335" s="468">
        <v>1572</v>
      </c>
      <c r="F335" s="468">
        <v>1418</v>
      </c>
    </row>
    <row r="336" spans="1:6" ht="15.5">
      <c r="A336" s="413" t="str">
        <f t="shared" si="19"/>
        <v>Fife2014-15</v>
      </c>
      <c r="B336" s="467" t="s">
        <v>494</v>
      </c>
      <c r="C336" s="451">
        <v>250</v>
      </c>
      <c r="D336" s="467" t="s">
        <v>26</v>
      </c>
      <c r="E336" s="468">
        <v>3730</v>
      </c>
      <c r="F336" s="468">
        <v>3456</v>
      </c>
    </row>
    <row r="337" spans="1:6" ht="15.5">
      <c r="A337" s="413" t="str">
        <f t="shared" si="19"/>
        <v>Glasgow City2014-15</v>
      </c>
      <c r="B337" s="467" t="s">
        <v>494</v>
      </c>
      <c r="C337" s="451">
        <v>260</v>
      </c>
      <c r="D337" s="467" t="s">
        <v>27</v>
      </c>
      <c r="E337" s="468">
        <v>4639</v>
      </c>
      <c r="F337" s="468">
        <v>4192</v>
      </c>
    </row>
    <row r="338" spans="1:6" ht="15.5">
      <c r="A338" s="413" t="str">
        <f t="shared" si="19"/>
        <v>Highland2014-15</v>
      </c>
      <c r="B338" s="467" t="s">
        <v>494</v>
      </c>
      <c r="C338" s="451">
        <v>270</v>
      </c>
      <c r="D338" s="467" t="s">
        <v>28</v>
      </c>
      <c r="E338" s="468">
        <v>2538</v>
      </c>
      <c r="F338" s="468">
        <v>2384</v>
      </c>
    </row>
    <row r="339" spans="1:6" ht="15.5">
      <c r="A339" s="413" t="str">
        <f t="shared" si="19"/>
        <v>Inverclyde2014-15</v>
      </c>
      <c r="B339" s="467" t="s">
        <v>494</v>
      </c>
      <c r="C339" s="451">
        <v>280</v>
      </c>
      <c r="D339" s="467" t="s">
        <v>29</v>
      </c>
      <c r="E339" s="468">
        <v>791</v>
      </c>
      <c r="F339" s="468">
        <v>748</v>
      </c>
    </row>
    <row r="340" spans="1:6" ht="15.5">
      <c r="A340" s="413" t="str">
        <f t="shared" si="19"/>
        <v>Midlothian2014-15</v>
      </c>
      <c r="B340" s="467" t="s">
        <v>494</v>
      </c>
      <c r="C340" s="451">
        <v>290</v>
      </c>
      <c r="D340" s="467" t="s">
        <v>30</v>
      </c>
      <c r="E340" s="468">
        <v>900</v>
      </c>
      <c r="F340" s="468">
        <v>842</v>
      </c>
    </row>
    <row r="341" spans="1:6" ht="15.5">
      <c r="A341" s="413" t="str">
        <f t="shared" si="19"/>
        <v>Moray2014-15</v>
      </c>
      <c r="B341" s="467" t="s">
        <v>494</v>
      </c>
      <c r="C341" s="451">
        <v>300</v>
      </c>
      <c r="D341" s="467" t="s">
        <v>31</v>
      </c>
      <c r="E341" s="468">
        <v>1092</v>
      </c>
      <c r="F341" s="468">
        <v>1035</v>
      </c>
    </row>
    <row r="342" spans="1:6" ht="15.5">
      <c r="A342" s="413" t="str">
        <f t="shared" si="19"/>
        <v>North Ayrshire2014-15</v>
      </c>
      <c r="B342" s="467" t="s">
        <v>494</v>
      </c>
      <c r="C342" s="451">
        <v>310</v>
      </c>
      <c r="D342" s="467" t="s">
        <v>33</v>
      </c>
      <c r="E342" s="468">
        <v>1520</v>
      </c>
      <c r="F342" s="468">
        <v>1458</v>
      </c>
    </row>
    <row r="343" spans="1:6" ht="15.5">
      <c r="A343" s="413" t="str">
        <f t="shared" si="19"/>
        <v>North Lanarkshire2014-15</v>
      </c>
      <c r="B343" s="467" t="s">
        <v>494</v>
      </c>
      <c r="C343" s="451">
        <v>320</v>
      </c>
      <c r="D343" s="467" t="s">
        <v>34</v>
      </c>
      <c r="E343" s="468">
        <v>3820</v>
      </c>
      <c r="F343" s="468">
        <v>3556</v>
      </c>
    </row>
    <row r="344" spans="1:6" ht="15.5">
      <c r="A344" s="413" t="str">
        <f t="shared" si="19"/>
        <v>Orkney Islands2014-15</v>
      </c>
      <c r="B344" s="467" t="s">
        <v>494</v>
      </c>
      <c r="C344" s="451">
        <v>330</v>
      </c>
      <c r="D344" s="467" t="s">
        <v>35</v>
      </c>
      <c r="E344" s="468">
        <v>241</v>
      </c>
      <c r="F344" s="468">
        <v>228</v>
      </c>
    </row>
    <row r="345" spans="1:6" ht="15.5">
      <c r="A345" s="413" t="str">
        <f t="shared" si="19"/>
        <v>Perth and Kinross2014-15</v>
      </c>
      <c r="B345" s="467" t="s">
        <v>494</v>
      </c>
      <c r="C345" s="451">
        <v>340</v>
      </c>
      <c r="D345" s="467" t="s">
        <v>36</v>
      </c>
      <c r="E345" s="468">
        <v>1453</v>
      </c>
      <c r="F345" s="468">
        <v>1341</v>
      </c>
    </row>
    <row r="346" spans="1:6" ht="15.5">
      <c r="A346" s="413" t="str">
        <f t="shared" si="19"/>
        <v>Renfrewshire2014-15</v>
      </c>
      <c r="B346" s="467" t="s">
        <v>494</v>
      </c>
      <c r="C346" s="451">
        <v>350</v>
      </c>
      <c r="D346" s="467" t="s">
        <v>37</v>
      </c>
      <c r="E346" s="468">
        <v>1906</v>
      </c>
      <c r="F346" s="468">
        <v>1736</v>
      </c>
    </row>
    <row r="347" spans="1:6" ht="15.5">
      <c r="A347" s="413" t="str">
        <f t="shared" si="19"/>
        <v>Scottish Borders2014-15</v>
      </c>
      <c r="B347" s="467" t="s">
        <v>494</v>
      </c>
      <c r="C347" s="451">
        <v>355</v>
      </c>
      <c r="D347" s="467" t="s">
        <v>38</v>
      </c>
      <c r="E347" s="468">
        <v>1163</v>
      </c>
      <c r="F347" s="468">
        <v>1107</v>
      </c>
    </row>
    <row r="348" spans="1:6" ht="15.5">
      <c r="A348" s="413" t="str">
        <f t="shared" si="19"/>
        <v>Shetland Islands2014-15</v>
      </c>
      <c r="B348" s="467" t="s">
        <v>494</v>
      </c>
      <c r="C348" s="451">
        <v>360</v>
      </c>
      <c r="D348" s="467" t="s">
        <v>39</v>
      </c>
      <c r="E348" s="468">
        <v>251</v>
      </c>
      <c r="F348" s="468">
        <v>242</v>
      </c>
    </row>
    <row r="349" spans="1:6" ht="15.5">
      <c r="A349" s="413" t="str">
        <f t="shared" si="19"/>
        <v>South Ayrshire2014-15</v>
      </c>
      <c r="B349" s="467" t="s">
        <v>494</v>
      </c>
      <c r="C349" s="451">
        <v>370</v>
      </c>
      <c r="D349" s="467" t="s">
        <v>40</v>
      </c>
      <c r="E349" s="468">
        <v>1183</v>
      </c>
      <c r="F349" s="468">
        <v>1118</v>
      </c>
    </row>
    <row r="350" spans="1:6" ht="15.5">
      <c r="A350" s="413" t="str">
        <f t="shared" si="19"/>
        <v>South Lanarkshire2014-15</v>
      </c>
      <c r="B350" s="467" t="s">
        <v>494</v>
      </c>
      <c r="C350" s="451">
        <v>380</v>
      </c>
      <c r="D350" s="467" t="s">
        <v>41</v>
      </c>
      <c r="E350" s="468">
        <v>3276</v>
      </c>
      <c r="F350" s="468">
        <v>3051</v>
      </c>
    </row>
    <row r="351" spans="1:6" ht="15.5">
      <c r="A351" s="413" t="str">
        <f t="shared" si="19"/>
        <v>Stirling2014-15</v>
      </c>
      <c r="B351" s="467" t="s">
        <v>494</v>
      </c>
      <c r="C351" s="451">
        <v>390</v>
      </c>
      <c r="D351" s="467" t="s">
        <v>42</v>
      </c>
      <c r="E351" s="468">
        <v>1049</v>
      </c>
      <c r="F351" s="468">
        <v>952</v>
      </c>
    </row>
    <row r="352" spans="1:6" ht="15.5">
      <c r="A352" s="413" t="str">
        <f t="shared" si="19"/>
        <v>West Dunbartonshire2014-15</v>
      </c>
      <c r="B352" s="467" t="s">
        <v>494</v>
      </c>
      <c r="C352" s="451">
        <v>395</v>
      </c>
      <c r="D352" s="467" t="s">
        <v>43</v>
      </c>
      <c r="E352" s="468">
        <v>939</v>
      </c>
      <c r="F352" s="468">
        <v>845</v>
      </c>
    </row>
    <row r="353" spans="1:6" ht="15.5">
      <c r="A353" s="413" t="str">
        <f t="shared" si="19"/>
        <v>West Lothian2014-15</v>
      </c>
      <c r="B353" s="467" t="s">
        <v>494</v>
      </c>
      <c r="C353" s="451">
        <v>400</v>
      </c>
      <c r="D353" s="467" t="s">
        <v>44</v>
      </c>
      <c r="E353" s="468">
        <v>1921</v>
      </c>
      <c r="F353" s="468">
        <v>1798</v>
      </c>
    </row>
    <row r="354" spans="1:6" ht="15.5">
      <c r="A354" s="413" t="str">
        <f t="shared" si="19"/>
        <v>Scotland2014-15</v>
      </c>
      <c r="B354" s="449" t="s">
        <v>494</v>
      </c>
      <c r="C354" s="1">
        <v>999</v>
      </c>
      <c r="D354" s="466" t="s">
        <v>45</v>
      </c>
      <c r="E354" s="469">
        <v>52491</v>
      </c>
      <c r="F354" s="469">
        <v>48900</v>
      </c>
    </row>
    <row r="355" spans="1:6" ht="15.5">
      <c r="A355" s="413" t="str">
        <f t="shared" si="19"/>
        <v>Aberdeen City2013-14</v>
      </c>
      <c r="B355" s="467" t="s">
        <v>495</v>
      </c>
      <c r="C355" s="451">
        <v>100</v>
      </c>
      <c r="D355" s="467" t="s">
        <v>14</v>
      </c>
      <c r="E355" s="468">
        <v>1595</v>
      </c>
      <c r="F355" s="468">
        <v>1461</v>
      </c>
    </row>
    <row r="356" spans="1:6" ht="15.5">
      <c r="A356" s="413" t="str">
        <f t="shared" si="19"/>
        <v>Aberdeenshire2013-14</v>
      </c>
      <c r="B356" s="467" t="s">
        <v>495</v>
      </c>
      <c r="C356" s="451">
        <v>110</v>
      </c>
      <c r="D356" s="467" t="s">
        <v>15</v>
      </c>
      <c r="E356" s="468">
        <v>2616</v>
      </c>
      <c r="F356" s="468">
        <v>2459</v>
      </c>
    </row>
    <row r="357" spans="1:6" ht="15.5">
      <c r="A357" s="413" t="str">
        <f t="shared" si="19"/>
        <v>Angus2013-14</v>
      </c>
      <c r="B357" s="467" t="s">
        <v>495</v>
      </c>
      <c r="C357" s="451">
        <v>120</v>
      </c>
      <c r="D357" s="467" t="s">
        <v>16</v>
      </c>
      <c r="E357" s="468">
        <v>1006</v>
      </c>
      <c r="F357" s="468">
        <v>933</v>
      </c>
    </row>
    <row r="358" spans="1:6" ht="15.5">
      <c r="A358" s="413" t="str">
        <f t="shared" si="19"/>
        <v>Argyll and Bute2013-14</v>
      </c>
      <c r="B358" s="467" t="s">
        <v>495</v>
      </c>
      <c r="C358" s="451">
        <v>130</v>
      </c>
      <c r="D358" s="467" t="s">
        <v>17</v>
      </c>
      <c r="E358" s="468">
        <v>933</v>
      </c>
      <c r="F358" s="468">
        <v>853</v>
      </c>
    </row>
    <row r="359" spans="1:6" ht="15.5">
      <c r="A359" s="413" t="str">
        <f t="shared" si="19"/>
        <v>Clackmannanshire2013-14</v>
      </c>
      <c r="B359" s="467" t="s">
        <v>495</v>
      </c>
      <c r="C359" s="451">
        <v>150</v>
      </c>
      <c r="D359" s="467" t="s">
        <v>18</v>
      </c>
      <c r="E359" s="468">
        <v>511</v>
      </c>
      <c r="F359" s="468">
        <v>476</v>
      </c>
    </row>
    <row r="360" spans="1:6" ht="15.5">
      <c r="A360" s="413" t="str">
        <f t="shared" si="19"/>
        <v>Dumfries and Galloway2013-14</v>
      </c>
      <c r="B360" s="467" t="s">
        <v>495</v>
      </c>
      <c r="C360" s="451">
        <v>170</v>
      </c>
      <c r="D360" s="467" t="s">
        <v>19</v>
      </c>
      <c r="E360" s="468">
        <v>1557</v>
      </c>
      <c r="F360" s="468">
        <v>1417</v>
      </c>
    </row>
    <row r="361" spans="1:6" ht="15.5">
      <c r="A361" s="413" t="str">
        <f t="shared" si="19"/>
        <v>Dundee City2013-14</v>
      </c>
      <c r="B361" s="467" t="s">
        <v>495</v>
      </c>
      <c r="C361" s="451">
        <v>180</v>
      </c>
      <c r="D361" s="467" t="s">
        <v>20</v>
      </c>
      <c r="E361" s="468">
        <v>1368</v>
      </c>
      <c r="F361" s="468">
        <v>1245</v>
      </c>
    </row>
    <row r="362" spans="1:6" ht="15.5">
      <c r="A362" s="413" t="str">
        <f t="shared" si="19"/>
        <v>East Ayrshire2013-14</v>
      </c>
      <c r="B362" s="467" t="s">
        <v>495</v>
      </c>
      <c r="C362" s="451">
        <v>190</v>
      </c>
      <c r="D362" s="467" t="s">
        <v>21</v>
      </c>
      <c r="E362" s="468">
        <v>1174</v>
      </c>
      <c r="F362" s="468">
        <v>1094</v>
      </c>
    </row>
    <row r="363" spans="1:6" ht="15.5">
      <c r="A363" s="413" t="str">
        <f t="shared" si="19"/>
        <v>East Dunbartonshire2013-14</v>
      </c>
      <c r="B363" s="467" t="s">
        <v>495</v>
      </c>
      <c r="C363" s="451">
        <v>200</v>
      </c>
      <c r="D363" s="467" t="s">
        <v>22</v>
      </c>
      <c r="E363" s="468">
        <v>1291</v>
      </c>
      <c r="F363" s="468">
        <v>1251</v>
      </c>
    </row>
    <row r="364" spans="1:6" ht="15.5">
      <c r="A364" s="413" t="str">
        <f t="shared" si="19"/>
        <v>East Lothian2013-14</v>
      </c>
      <c r="B364" s="467" t="s">
        <v>495</v>
      </c>
      <c r="C364" s="451">
        <v>210</v>
      </c>
      <c r="D364" s="467" t="s">
        <v>23</v>
      </c>
      <c r="E364" s="468">
        <v>1047</v>
      </c>
      <c r="F364" s="468">
        <v>972</v>
      </c>
    </row>
    <row r="365" spans="1:6" ht="15.5">
      <c r="A365" s="413" t="str">
        <f t="shared" si="19"/>
        <v>East Renfrewshire2013-14</v>
      </c>
      <c r="B365" s="467" t="s">
        <v>495</v>
      </c>
      <c r="C365" s="451">
        <v>220</v>
      </c>
      <c r="D365" s="467" t="s">
        <v>24</v>
      </c>
      <c r="E365" s="468">
        <v>1341</v>
      </c>
      <c r="F365" s="468">
        <v>1289</v>
      </c>
    </row>
    <row r="366" spans="1:6" ht="15.5">
      <c r="A366" s="413" t="str">
        <f t="shared" si="19"/>
        <v>Edinburgh, City of2013-14</v>
      </c>
      <c r="B366" s="467" t="s">
        <v>495</v>
      </c>
      <c r="C366" s="451">
        <v>230</v>
      </c>
      <c r="D366" s="467" t="s">
        <v>189</v>
      </c>
      <c r="E366" s="468">
        <v>3229</v>
      </c>
      <c r="F366" s="468">
        <v>2947</v>
      </c>
    </row>
    <row r="367" spans="1:6" ht="15.5">
      <c r="A367" s="413" t="str">
        <f t="shared" si="19"/>
        <v>Na h-Eileanan Siar2013-14</v>
      </c>
      <c r="B367" s="467" t="s">
        <v>495</v>
      </c>
      <c r="C367" s="451">
        <v>235</v>
      </c>
      <c r="D367" s="467" t="s">
        <v>32</v>
      </c>
      <c r="E367" s="468">
        <v>290</v>
      </c>
      <c r="F367" s="468">
        <v>280</v>
      </c>
    </row>
    <row r="368" spans="1:6" ht="15.5">
      <c r="A368" s="413" t="str">
        <f t="shared" si="19"/>
        <v>Falkirk2013-14</v>
      </c>
      <c r="B368" s="467" t="s">
        <v>495</v>
      </c>
      <c r="C368" s="451">
        <v>240</v>
      </c>
      <c r="D368" s="467" t="s">
        <v>25</v>
      </c>
      <c r="E368" s="468">
        <v>1574</v>
      </c>
      <c r="F368" s="468">
        <v>1457</v>
      </c>
    </row>
    <row r="369" spans="1:6" ht="15.5">
      <c r="A369" s="413" t="str">
        <f t="shared" si="19"/>
        <v>Fife2013-14</v>
      </c>
      <c r="B369" s="467" t="s">
        <v>495</v>
      </c>
      <c r="C369" s="451">
        <v>250</v>
      </c>
      <c r="D369" s="467" t="s">
        <v>26</v>
      </c>
      <c r="E369" s="468">
        <v>3601</v>
      </c>
      <c r="F369" s="468">
        <v>3332</v>
      </c>
    </row>
    <row r="370" spans="1:6" ht="15.5">
      <c r="A370" s="413" t="str">
        <f t="shared" si="19"/>
        <v>Glasgow City2013-14</v>
      </c>
      <c r="B370" s="467" t="s">
        <v>495</v>
      </c>
      <c r="C370" s="451">
        <v>260</v>
      </c>
      <c r="D370" s="467" t="s">
        <v>27</v>
      </c>
      <c r="E370" s="468">
        <v>4577</v>
      </c>
      <c r="F370" s="468">
        <v>4108</v>
      </c>
    </row>
    <row r="371" spans="1:6" ht="15.5">
      <c r="A371" s="413" t="str">
        <f t="shared" si="19"/>
        <v>Highland2013-14</v>
      </c>
      <c r="B371" s="467" t="s">
        <v>495</v>
      </c>
      <c r="C371" s="451">
        <v>270</v>
      </c>
      <c r="D371" s="467" t="s">
        <v>28</v>
      </c>
      <c r="E371" s="468">
        <v>2465</v>
      </c>
      <c r="F371" s="468">
        <v>2310</v>
      </c>
    </row>
    <row r="372" spans="1:6" ht="15.5">
      <c r="A372" s="413" t="str">
        <f t="shared" si="19"/>
        <v>Inverclyde2013-14</v>
      </c>
      <c r="B372" s="467" t="s">
        <v>495</v>
      </c>
      <c r="C372" s="451">
        <v>280</v>
      </c>
      <c r="D372" s="467" t="s">
        <v>29</v>
      </c>
      <c r="E372" s="468">
        <v>767</v>
      </c>
      <c r="F372" s="468">
        <v>721</v>
      </c>
    </row>
    <row r="373" spans="1:6" ht="15.5">
      <c r="A373" s="413" t="str">
        <f t="shared" si="19"/>
        <v>Midlothian2013-14</v>
      </c>
      <c r="B373" s="467" t="s">
        <v>495</v>
      </c>
      <c r="C373" s="451">
        <v>290</v>
      </c>
      <c r="D373" s="467" t="s">
        <v>30</v>
      </c>
      <c r="E373" s="468">
        <v>875</v>
      </c>
      <c r="F373" s="468">
        <v>824</v>
      </c>
    </row>
    <row r="374" spans="1:6" ht="15.5">
      <c r="A374" s="413" t="str">
        <f t="shared" si="19"/>
        <v>Moray2013-14</v>
      </c>
      <c r="B374" s="467" t="s">
        <v>495</v>
      </c>
      <c r="C374" s="451">
        <v>300</v>
      </c>
      <c r="D374" s="467" t="s">
        <v>31</v>
      </c>
      <c r="E374" s="468">
        <v>1023</v>
      </c>
      <c r="F374" s="468">
        <v>963</v>
      </c>
    </row>
    <row r="375" spans="1:6" ht="15.5">
      <c r="A375" s="413" t="str">
        <f t="shared" si="19"/>
        <v>North Ayrshire2013-14</v>
      </c>
      <c r="B375" s="467" t="s">
        <v>495</v>
      </c>
      <c r="C375" s="451">
        <v>310</v>
      </c>
      <c r="D375" s="467" t="s">
        <v>33</v>
      </c>
      <c r="E375" s="468">
        <v>1467</v>
      </c>
      <c r="F375" s="468">
        <v>1382</v>
      </c>
    </row>
    <row r="376" spans="1:6" ht="15.5">
      <c r="A376" s="413" t="str">
        <f t="shared" si="19"/>
        <v>North Lanarkshire2013-14</v>
      </c>
      <c r="B376" s="467" t="s">
        <v>495</v>
      </c>
      <c r="C376" s="451">
        <v>320</v>
      </c>
      <c r="D376" s="467" t="s">
        <v>34</v>
      </c>
      <c r="E376" s="468">
        <v>3814</v>
      </c>
      <c r="F376" s="468">
        <v>3490</v>
      </c>
    </row>
    <row r="377" spans="1:6" ht="15.5">
      <c r="A377" s="413" t="str">
        <f t="shared" si="19"/>
        <v>Orkney Islands2013-14</v>
      </c>
      <c r="B377" s="467" t="s">
        <v>495</v>
      </c>
      <c r="C377" s="451">
        <v>330</v>
      </c>
      <c r="D377" s="467" t="s">
        <v>35</v>
      </c>
      <c r="E377" s="468">
        <v>210</v>
      </c>
      <c r="F377" s="468">
        <v>197</v>
      </c>
    </row>
    <row r="378" spans="1:6" ht="15.5">
      <c r="A378" s="413" t="str">
        <f t="shared" ref="A378:A441" si="20">D378&amp;B378</f>
        <v>Perth and Kinross2013-14</v>
      </c>
      <c r="B378" s="467" t="s">
        <v>495</v>
      </c>
      <c r="C378" s="451">
        <v>340</v>
      </c>
      <c r="D378" s="467" t="s">
        <v>36</v>
      </c>
      <c r="E378" s="468">
        <v>1287</v>
      </c>
      <c r="F378" s="468">
        <v>1209</v>
      </c>
    </row>
    <row r="379" spans="1:6" ht="15.5">
      <c r="A379" s="413" t="str">
        <f t="shared" si="20"/>
        <v>Renfrewshire2013-14</v>
      </c>
      <c r="B379" s="467" t="s">
        <v>495</v>
      </c>
      <c r="C379" s="451">
        <v>350</v>
      </c>
      <c r="D379" s="467" t="s">
        <v>37</v>
      </c>
      <c r="E379" s="468">
        <v>1844</v>
      </c>
      <c r="F379" s="468">
        <v>1708</v>
      </c>
    </row>
    <row r="380" spans="1:6" ht="15.5">
      <c r="A380" s="413" t="str">
        <f t="shared" si="20"/>
        <v>Scottish Borders2013-14</v>
      </c>
      <c r="B380" s="467" t="s">
        <v>495</v>
      </c>
      <c r="C380" s="451">
        <v>355</v>
      </c>
      <c r="D380" s="467" t="s">
        <v>38</v>
      </c>
      <c r="E380" s="468">
        <v>1074</v>
      </c>
      <c r="F380" s="468">
        <v>1014</v>
      </c>
    </row>
    <row r="381" spans="1:6" ht="15.5">
      <c r="A381" s="413" t="str">
        <f t="shared" si="20"/>
        <v>Shetland Islands2013-14</v>
      </c>
      <c r="B381" s="467" t="s">
        <v>495</v>
      </c>
      <c r="C381" s="451">
        <v>360</v>
      </c>
      <c r="D381" s="467" t="s">
        <v>39</v>
      </c>
      <c r="E381" s="468">
        <v>283</v>
      </c>
      <c r="F381" s="468">
        <v>265</v>
      </c>
    </row>
    <row r="382" spans="1:6" ht="15.5">
      <c r="A382" s="413" t="str">
        <f t="shared" si="20"/>
        <v>South Ayrshire2013-14</v>
      </c>
      <c r="B382" s="467" t="s">
        <v>495</v>
      </c>
      <c r="C382" s="451">
        <v>370</v>
      </c>
      <c r="D382" s="467" t="s">
        <v>40</v>
      </c>
      <c r="E382" s="468">
        <v>1256</v>
      </c>
      <c r="F382" s="468">
        <v>1161</v>
      </c>
    </row>
    <row r="383" spans="1:6" ht="15.5">
      <c r="A383" s="413" t="str">
        <f t="shared" si="20"/>
        <v>South Lanarkshire2013-14</v>
      </c>
      <c r="B383" s="467" t="s">
        <v>495</v>
      </c>
      <c r="C383" s="451">
        <v>380</v>
      </c>
      <c r="D383" s="467" t="s">
        <v>41</v>
      </c>
      <c r="E383" s="468">
        <v>3347</v>
      </c>
      <c r="F383" s="468">
        <v>3091</v>
      </c>
    </row>
    <row r="384" spans="1:6" ht="15.5">
      <c r="A384" s="413" t="str">
        <f t="shared" si="20"/>
        <v>Stirling2013-14</v>
      </c>
      <c r="B384" s="467" t="s">
        <v>495</v>
      </c>
      <c r="C384" s="451">
        <v>390</v>
      </c>
      <c r="D384" s="467" t="s">
        <v>42</v>
      </c>
      <c r="E384" s="468">
        <v>978</v>
      </c>
      <c r="F384" s="468">
        <v>903</v>
      </c>
    </row>
    <row r="385" spans="1:6" ht="15.5">
      <c r="A385" s="413" t="str">
        <f t="shared" si="20"/>
        <v>West Dunbartonshire2013-14</v>
      </c>
      <c r="B385" s="467" t="s">
        <v>495</v>
      </c>
      <c r="C385" s="451">
        <v>395</v>
      </c>
      <c r="D385" s="467" t="s">
        <v>43</v>
      </c>
      <c r="E385" s="468">
        <v>934</v>
      </c>
      <c r="F385" s="468">
        <v>839</v>
      </c>
    </row>
    <row r="386" spans="1:6" ht="15.5">
      <c r="A386" s="413" t="str">
        <f t="shared" si="20"/>
        <v>West Lothian2013-14</v>
      </c>
      <c r="B386" s="467" t="s">
        <v>495</v>
      </c>
      <c r="C386" s="451">
        <v>400</v>
      </c>
      <c r="D386" s="467" t="s">
        <v>44</v>
      </c>
      <c r="E386" s="468">
        <v>1987</v>
      </c>
      <c r="F386" s="468">
        <v>1844</v>
      </c>
    </row>
    <row r="387" spans="1:6" ht="15.5">
      <c r="A387" s="413" t="str">
        <f t="shared" si="20"/>
        <v>Scotland2013-14</v>
      </c>
      <c r="B387" s="449" t="s">
        <v>495</v>
      </c>
      <c r="C387" s="1">
        <v>999</v>
      </c>
      <c r="D387" s="466" t="s">
        <v>45</v>
      </c>
      <c r="E387" s="469">
        <v>51416</v>
      </c>
      <c r="F387" s="469">
        <v>47589</v>
      </c>
    </row>
    <row r="388" spans="1:6" ht="15.5">
      <c r="A388" s="413" t="str">
        <f t="shared" si="20"/>
        <v>Aberdeen City2012-13</v>
      </c>
      <c r="B388" s="467" t="s">
        <v>496</v>
      </c>
      <c r="C388" s="451">
        <v>100</v>
      </c>
      <c r="D388" s="467" t="s">
        <v>14</v>
      </c>
      <c r="E388" s="468">
        <v>1658</v>
      </c>
      <c r="F388" s="468">
        <v>1512</v>
      </c>
    </row>
    <row r="389" spans="1:6" ht="15.5">
      <c r="A389" s="413" t="str">
        <f t="shared" si="20"/>
        <v>Aberdeenshire2012-13</v>
      </c>
      <c r="B389" s="467" t="s">
        <v>496</v>
      </c>
      <c r="C389" s="451">
        <v>110</v>
      </c>
      <c r="D389" s="467" t="s">
        <v>15</v>
      </c>
      <c r="E389" s="468">
        <v>2673</v>
      </c>
      <c r="F389" s="468">
        <v>2524</v>
      </c>
    </row>
    <row r="390" spans="1:6" ht="15.5">
      <c r="A390" s="413" t="str">
        <f t="shared" si="20"/>
        <v>Angus2012-13</v>
      </c>
      <c r="B390" s="467" t="s">
        <v>496</v>
      </c>
      <c r="C390" s="451">
        <v>120</v>
      </c>
      <c r="D390" s="467" t="s">
        <v>16</v>
      </c>
      <c r="E390" s="468">
        <v>1044</v>
      </c>
      <c r="F390" s="468">
        <v>981</v>
      </c>
    </row>
    <row r="391" spans="1:6" ht="15.5">
      <c r="A391" s="413" t="str">
        <f t="shared" si="20"/>
        <v>Argyll and Bute2012-13</v>
      </c>
      <c r="B391" s="467" t="s">
        <v>496</v>
      </c>
      <c r="C391" s="451">
        <v>130</v>
      </c>
      <c r="D391" s="467" t="s">
        <v>17</v>
      </c>
      <c r="E391" s="468">
        <v>849</v>
      </c>
      <c r="F391" s="468">
        <v>791</v>
      </c>
    </row>
    <row r="392" spans="1:6" ht="15.5">
      <c r="A392" s="413" t="str">
        <f t="shared" si="20"/>
        <v>Clackmannanshire2012-13</v>
      </c>
      <c r="B392" s="467" t="s">
        <v>496</v>
      </c>
      <c r="C392" s="451">
        <v>150</v>
      </c>
      <c r="D392" s="467" t="s">
        <v>18</v>
      </c>
      <c r="E392" s="468">
        <v>520</v>
      </c>
      <c r="F392" s="468">
        <v>464</v>
      </c>
    </row>
    <row r="393" spans="1:6" ht="15.5">
      <c r="A393" s="413" t="str">
        <f t="shared" si="20"/>
        <v>Dumfries and Galloway2012-13</v>
      </c>
      <c r="B393" s="467" t="s">
        <v>496</v>
      </c>
      <c r="C393" s="451">
        <v>170</v>
      </c>
      <c r="D393" s="467" t="s">
        <v>19</v>
      </c>
      <c r="E393" s="468">
        <v>1616</v>
      </c>
      <c r="F393" s="468">
        <v>1489</v>
      </c>
    </row>
    <row r="394" spans="1:6" ht="15.5">
      <c r="A394" s="413" t="str">
        <f t="shared" si="20"/>
        <v>Dundee City2012-13</v>
      </c>
      <c r="B394" s="467" t="s">
        <v>496</v>
      </c>
      <c r="C394" s="451">
        <v>180</v>
      </c>
      <c r="D394" s="467" t="s">
        <v>20</v>
      </c>
      <c r="E394" s="468">
        <v>1339</v>
      </c>
      <c r="F394" s="468">
        <v>1231</v>
      </c>
    </row>
    <row r="395" spans="1:6" ht="15.5">
      <c r="A395" s="413" t="str">
        <f t="shared" si="20"/>
        <v>East Ayrshire2012-13</v>
      </c>
      <c r="B395" s="467" t="s">
        <v>496</v>
      </c>
      <c r="C395" s="451">
        <v>190</v>
      </c>
      <c r="D395" s="467" t="s">
        <v>21</v>
      </c>
      <c r="E395" s="468">
        <v>1331</v>
      </c>
      <c r="F395" s="468">
        <v>1219</v>
      </c>
    </row>
    <row r="396" spans="1:6" ht="15.5">
      <c r="A396" s="413" t="str">
        <f t="shared" si="20"/>
        <v>East Dunbartonshire2012-13</v>
      </c>
      <c r="B396" s="467" t="s">
        <v>496</v>
      </c>
      <c r="C396" s="451">
        <v>200</v>
      </c>
      <c r="D396" s="467" t="s">
        <v>22</v>
      </c>
      <c r="E396" s="468">
        <v>1308</v>
      </c>
      <c r="F396" s="468">
        <v>1256</v>
      </c>
    </row>
    <row r="397" spans="1:6" ht="15.5">
      <c r="A397" s="413" t="str">
        <f t="shared" si="20"/>
        <v>East Lothian2012-13</v>
      </c>
      <c r="B397" s="467" t="s">
        <v>496</v>
      </c>
      <c r="C397" s="451">
        <v>210</v>
      </c>
      <c r="D397" s="467" t="s">
        <v>23</v>
      </c>
      <c r="E397" s="468">
        <v>1039</v>
      </c>
      <c r="F397" s="468">
        <v>937</v>
      </c>
    </row>
    <row r="398" spans="1:6" ht="15.5">
      <c r="A398" s="413" t="str">
        <f t="shared" si="20"/>
        <v>East Renfrewshire2012-13</v>
      </c>
      <c r="B398" s="467" t="s">
        <v>496</v>
      </c>
      <c r="C398" s="451">
        <v>220</v>
      </c>
      <c r="D398" s="467" t="s">
        <v>24</v>
      </c>
      <c r="E398" s="468">
        <v>1295</v>
      </c>
      <c r="F398" s="468">
        <v>1240</v>
      </c>
    </row>
    <row r="399" spans="1:6" ht="15.5">
      <c r="A399" s="413" t="str">
        <f t="shared" si="20"/>
        <v>Edinburgh, City of2012-13</v>
      </c>
      <c r="B399" s="467" t="s">
        <v>496</v>
      </c>
      <c r="C399" s="451">
        <v>230</v>
      </c>
      <c r="D399" s="467" t="s">
        <v>189</v>
      </c>
      <c r="E399" s="468">
        <v>3369</v>
      </c>
      <c r="F399" s="468">
        <v>3101</v>
      </c>
    </row>
    <row r="400" spans="1:6" ht="15.5">
      <c r="A400" s="413" t="str">
        <f t="shared" si="20"/>
        <v>Na h-Eileanan Siar2012-13</v>
      </c>
      <c r="B400" s="467" t="s">
        <v>496</v>
      </c>
      <c r="C400" s="451">
        <v>235</v>
      </c>
      <c r="D400" s="467" t="s">
        <v>32</v>
      </c>
      <c r="E400" s="468">
        <v>315</v>
      </c>
      <c r="F400" s="468">
        <v>305</v>
      </c>
    </row>
    <row r="401" spans="1:6" ht="15.5">
      <c r="A401" s="413" t="str">
        <f t="shared" si="20"/>
        <v>Falkirk2012-13</v>
      </c>
      <c r="B401" s="467" t="s">
        <v>496</v>
      </c>
      <c r="C401" s="451">
        <v>240</v>
      </c>
      <c r="D401" s="467" t="s">
        <v>25</v>
      </c>
      <c r="E401" s="468">
        <v>1491</v>
      </c>
      <c r="F401" s="468">
        <v>1368</v>
      </c>
    </row>
    <row r="402" spans="1:6" ht="15.5">
      <c r="A402" s="413" t="str">
        <f t="shared" si="20"/>
        <v>Fife2012-13</v>
      </c>
      <c r="B402" s="467" t="s">
        <v>496</v>
      </c>
      <c r="C402" s="451">
        <v>250</v>
      </c>
      <c r="D402" s="467" t="s">
        <v>26</v>
      </c>
      <c r="E402" s="468">
        <v>3607</v>
      </c>
      <c r="F402" s="468">
        <v>3246</v>
      </c>
    </row>
    <row r="403" spans="1:6" ht="15.5">
      <c r="A403" s="413" t="str">
        <f t="shared" si="20"/>
        <v>Glasgow City2012-13</v>
      </c>
      <c r="B403" s="467" t="s">
        <v>496</v>
      </c>
      <c r="C403" s="451">
        <v>260</v>
      </c>
      <c r="D403" s="467" t="s">
        <v>27</v>
      </c>
      <c r="E403" s="468">
        <v>4446</v>
      </c>
      <c r="F403" s="468">
        <v>3990</v>
      </c>
    </row>
    <row r="404" spans="1:6" ht="15.5">
      <c r="A404" s="413" t="str">
        <f t="shared" si="20"/>
        <v>Highland2012-13</v>
      </c>
      <c r="B404" s="467" t="s">
        <v>496</v>
      </c>
      <c r="C404" s="451">
        <v>270</v>
      </c>
      <c r="D404" s="467" t="s">
        <v>28</v>
      </c>
      <c r="E404" s="468">
        <v>2524</v>
      </c>
      <c r="F404" s="468">
        <v>2360</v>
      </c>
    </row>
    <row r="405" spans="1:6" ht="15.5">
      <c r="A405" s="413" t="str">
        <f t="shared" si="20"/>
        <v>Inverclyde2012-13</v>
      </c>
      <c r="B405" s="467" t="s">
        <v>496</v>
      </c>
      <c r="C405" s="451">
        <v>280</v>
      </c>
      <c r="D405" s="467" t="s">
        <v>29</v>
      </c>
      <c r="E405" s="468">
        <v>840</v>
      </c>
      <c r="F405" s="468">
        <v>806</v>
      </c>
    </row>
    <row r="406" spans="1:6" ht="15.5">
      <c r="A406" s="413" t="str">
        <f t="shared" si="20"/>
        <v>Midlothian2012-13</v>
      </c>
      <c r="B406" s="467" t="s">
        <v>496</v>
      </c>
      <c r="C406" s="451">
        <v>290</v>
      </c>
      <c r="D406" s="467" t="s">
        <v>30</v>
      </c>
      <c r="E406" s="468">
        <v>993</v>
      </c>
      <c r="F406" s="468">
        <v>889</v>
      </c>
    </row>
    <row r="407" spans="1:6" ht="15.5">
      <c r="A407" s="413" t="str">
        <f t="shared" si="20"/>
        <v>Moray2012-13</v>
      </c>
      <c r="B407" s="467" t="s">
        <v>496</v>
      </c>
      <c r="C407" s="451">
        <v>300</v>
      </c>
      <c r="D407" s="467" t="s">
        <v>31</v>
      </c>
      <c r="E407" s="468">
        <v>1027</v>
      </c>
      <c r="F407" s="468">
        <v>967</v>
      </c>
    </row>
    <row r="408" spans="1:6" ht="15.5">
      <c r="A408" s="413" t="str">
        <f t="shared" si="20"/>
        <v>North Ayrshire2012-13</v>
      </c>
      <c r="B408" s="467" t="s">
        <v>496</v>
      </c>
      <c r="C408" s="451">
        <v>310</v>
      </c>
      <c r="D408" s="467" t="s">
        <v>33</v>
      </c>
      <c r="E408" s="468">
        <v>1343</v>
      </c>
      <c r="F408" s="468">
        <v>1271</v>
      </c>
    </row>
    <row r="409" spans="1:6" ht="15.5">
      <c r="A409" s="413" t="str">
        <f t="shared" si="20"/>
        <v>North Lanarkshire2012-13</v>
      </c>
      <c r="B409" s="467" t="s">
        <v>496</v>
      </c>
      <c r="C409" s="451">
        <v>320</v>
      </c>
      <c r="D409" s="467" t="s">
        <v>34</v>
      </c>
      <c r="E409" s="468">
        <v>3680</v>
      </c>
      <c r="F409" s="468">
        <v>3331</v>
      </c>
    </row>
    <row r="410" spans="1:6" ht="15.5">
      <c r="A410" s="413" t="str">
        <f t="shared" si="20"/>
        <v>Orkney Islands2012-13</v>
      </c>
      <c r="B410" s="467" t="s">
        <v>496</v>
      </c>
      <c r="C410" s="451">
        <v>330</v>
      </c>
      <c r="D410" s="467" t="s">
        <v>35</v>
      </c>
      <c r="E410" s="468">
        <v>262</v>
      </c>
      <c r="F410" s="468">
        <v>248</v>
      </c>
    </row>
    <row r="411" spans="1:6" ht="15.5">
      <c r="A411" s="413" t="str">
        <f t="shared" si="20"/>
        <v>Perth and Kinross2012-13</v>
      </c>
      <c r="B411" s="467" t="s">
        <v>496</v>
      </c>
      <c r="C411" s="451">
        <v>340</v>
      </c>
      <c r="D411" s="467" t="s">
        <v>36</v>
      </c>
      <c r="E411" s="468">
        <v>1372</v>
      </c>
      <c r="F411" s="468">
        <v>1268</v>
      </c>
    </row>
    <row r="412" spans="1:6" ht="15.5">
      <c r="A412" s="413" t="str">
        <f t="shared" si="20"/>
        <v>Renfrewshire2012-13</v>
      </c>
      <c r="B412" s="467" t="s">
        <v>496</v>
      </c>
      <c r="C412" s="451">
        <v>350</v>
      </c>
      <c r="D412" s="467" t="s">
        <v>37</v>
      </c>
      <c r="E412" s="468">
        <v>1756</v>
      </c>
      <c r="F412" s="468">
        <v>1587</v>
      </c>
    </row>
    <row r="413" spans="1:6" ht="15.5">
      <c r="A413" s="413" t="str">
        <f t="shared" si="20"/>
        <v>Scottish Borders2012-13</v>
      </c>
      <c r="B413" s="467" t="s">
        <v>496</v>
      </c>
      <c r="C413" s="451">
        <v>355</v>
      </c>
      <c r="D413" s="467" t="s">
        <v>38</v>
      </c>
      <c r="E413" s="468">
        <v>1197</v>
      </c>
      <c r="F413" s="468">
        <v>1109</v>
      </c>
    </row>
    <row r="414" spans="1:6" ht="15.5">
      <c r="A414" s="413" t="str">
        <f t="shared" si="20"/>
        <v>Shetland Islands2012-13</v>
      </c>
      <c r="B414" s="467" t="s">
        <v>496</v>
      </c>
      <c r="C414" s="451">
        <v>360</v>
      </c>
      <c r="D414" s="467" t="s">
        <v>39</v>
      </c>
      <c r="E414" s="468">
        <v>264</v>
      </c>
      <c r="F414" s="468">
        <v>252</v>
      </c>
    </row>
    <row r="415" spans="1:6" ht="15.5">
      <c r="A415" s="413" t="str">
        <f t="shared" si="20"/>
        <v>South Ayrshire2012-13</v>
      </c>
      <c r="B415" s="467" t="s">
        <v>496</v>
      </c>
      <c r="C415" s="451">
        <v>370</v>
      </c>
      <c r="D415" s="467" t="s">
        <v>40</v>
      </c>
      <c r="E415" s="468">
        <v>1159</v>
      </c>
      <c r="F415" s="468">
        <v>1077</v>
      </c>
    </row>
    <row r="416" spans="1:6" ht="15.5">
      <c r="A416" s="413" t="str">
        <f t="shared" si="20"/>
        <v>South Lanarkshire2012-13</v>
      </c>
      <c r="B416" s="467" t="s">
        <v>496</v>
      </c>
      <c r="C416" s="451">
        <v>380</v>
      </c>
      <c r="D416" s="467" t="s">
        <v>41</v>
      </c>
      <c r="E416" s="468">
        <v>3329</v>
      </c>
      <c r="F416" s="468">
        <v>2977</v>
      </c>
    </row>
    <row r="417" spans="1:6" ht="15.5">
      <c r="A417" s="413" t="str">
        <f t="shared" si="20"/>
        <v>Stirling2012-13</v>
      </c>
      <c r="B417" s="467" t="s">
        <v>496</v>
      </c>
      <c r="C417" s="451">
        <v>390</v>
      </c>
      <c r="D417" s="467" t="s">
        <v>42</v>
      </c>
      <c r="E417" s="468">
        <v>1014</v>
      </c>
      <c r="F417" s="468">
        <v>915</v>
      </c>
    </row>
    <row r="418" spans="1:6" ht="15.5">
      <c r="A418" s="413" t="str">
        <f t="shared" si="20"/>
        <v>West Dunbartonshire2012-13</v>
      </c>
      <c r="B418" s="467" t="s">
        <v>496</v>
      </c>
      <c r="C418" s="451">
        <v>395</v>
      </c>
      <c r="D418" s="467" t="s">
        <v>43</v>
      </c>
      <c r="E418" s="468">
        <v>928</v>
      </c>
      <c r="F418" s="468">
        <v>848</v>
      </c>
    </row>
    <row r="419" spans="1:6" ht="15.5">
      <c r="A419" s="413" t="str">
        <f t="shared" si="20"/>
        <v>West Lothian2012-13</v>
      </c>
      <c r="B419" s="467" t="s">
        <v>496</v>
      </c>
      <c r="C419" s="451">
        <v>400</v>
      </c>
      <c r="D419" s="467" t="s">
        <v>44</v>
      </c>
      <c r="E419" s="468">
        <v>1963</v>
      </c>
      <c r="F419" s="468">
        <v>1823</v>
      </c>
    </row>
    <row r="420" spans="1:6" ht="15.5">
      <c r="A420" s="413" t="str">
        <f t="shared" si="20"/>
        <v>Scotland2012-13</v>
      </c>
      <c r="B420" s="449" t="s">
        <v>496</v>
      </c>
      <c r="C420" s="1">
        <v>999</v>
      </c>
      <c r="D420" s="466" t="s">
        <v>45</v>
      </c>
      <c r="E420" s="469">
        <v>51647</v>
      </c>
      <c r="F420" s="469">
        <v>47475</v>
      </c>
    </row>
    <row r="421" spans="1:6" ht="15.5">
      <c r="A421" s="413" t="str">
        <f t="shared" si="20"/>
        <v>Aberdeen City2011-12</v>
      </c>
      <c r="B421" s="467" t="s">
        <v>497</v>
      </c>
      <c r="C421" s="451">
        <v>100</v>
      </c>
      <c r="D421" s="467" t="s">
        <v>14</v>
      </c>
      <c r="E421" s="468">
        <v>1756</v>
      </c>
      <c r="F421" s="468">
        <v>1555</v>
      </c>
    </row>
    <row r="422" spans="1:6" ht="15.5">
      <c r="A422" s="413" t="str">
        <f t="shared" si="20"/>
        <v>Aberdeenshire2011-12</v>
      </c>
      <c r="B422" s="467" t="s">
        <v>497</v>
      </c>
      <c r="C422" s="451">
        <v>110</v>
      </c>
      <c r="D422" s="467" t="s">
        <v>15</v>
      </c>
      <c r="E422" s="468">
        <v>2573</v>
      </c>
      <c r="F422" s="468">
        <v>2420</v>
      </c>
    </row>
    <row r="423" spans="1:6" ht="15.5">
      <c r="A423" s="413" t="str">
        <f t="shared" si="20"/>
        <v>Angus2011-12</v>
      </c>
      <c r="B423" s="467" t="s">
        <v>497</v>
      </c>
      <c r="C423" s="451">
        <v>120</v>
      </c>
      <c r="D423" s="467" t="s">
        <v>16</v>
      </c>
      <c r="E423" s="468">
        <v>1154</v>
      </c>
      <c r="F423" s="468">
        <v>1088</v>
      </c>
    </row>
    <row r="424" spans="1:6" ht="15.5">
      <c r="A424" s="413" t="str">
        <f t="shared" si="20"/>
        <v>Argyll and Bute2011-12</v>
      </c>
      <c r="B424" s="467" t="s">
        <v>497</v>
      </c>
      <c r="C424" s="451">
        <v>130</v>
      </c>
      <c r="D424" s="467" t="s">
        <v>17</v>
      </c>
      <c r="E424" s="468">
        <v>920</v>
      </c>
      <c r="F424" s="468">
        <v>833</v>
      </c>
    </row>
    <row r="425" spans="1:6" ht="15.5">
      <c r="A425" s="413" t="str">
        <f t="shared" si="20"/>
        <v>Clackmannanshire2011-12</v>
      </c>
      <c r="B425" s="467" t="s">
        <v>497</v>
      </c>
      <c r="C425" s="451">
        <v>150</v>
      </c>
      <c r="D425" s="467" t="s">
        <v>18</v>
      </c>
      <c r="E425" s="468">
        <v>531</v>
      </c>
      <c r="F425" s="468">
        <v>473</v>
      </c>
    </row>
    <row r="426" spans="1:6" ht="15.5">
      <c r="A426" s="413" t="str">
        <f t="shared" si="20"/>
        <v>Dumfries and Galloway2011-12</v>
      </c>
      <c r="B426" s="467" t="s">
        <v>497</v>
      </c>
      <c r="C426" s="451">
        <v>170</v>
      </c>
      <c r="D426" s="467" t="s">
        <v>19</v>
      </c>
      <c r="E426" s="468">
        <v>1571</v>
      </c>
      <c r="F426" s="468">
        <v>1382</v>
      </c>
    </row>
    <row r="427" spans="1:6" ht="15.5">
      <c r="A427" s="413" t="str">
        <f t="shared" si="20"/>
        <v>Dundee City2011-12</v>
      </c>
      <c r="B427" s="467" t="s">
        <v>497</v>
      </c>
      <c r="C427" s="451">
        <v>180</v>
      </c>
      <c r="D427" s="467" t="s">
        <v>20</v>
      </c>
      <c r="E427" s="468">
        <v>1177</v>
      </c>
      <c r="F427" s="468">
        <v>1063</v>
      </c>
    </row>
    <row r="428" spans="1:6" ht="15.5">
      <c r="A428" s="413" t="str">
        <f t="shared" si="20"/>
        <v>East Ayrshire2011-12</v>
      </c>
      <c r="B428" s="467" t="s">
        <v>497</v>
      </c>
      <c r="C428" s="451">
        <v>190</v>
      </c>
      <c r="D428" s="467" t="s">
        <v>21</v>
      </c>
      <c r="E428" s="468">
        <v>1120</v>
      </c>
      <c r="F428" s="468">
        <v>1000</v>
      </c>
    </row>
    <row r="429" spans="1:6" ht="15.5">
      <c r="A429" s="413" t="str">
        <f t="shared" si="20"/>
        <v>East Dunbartonshire2011-12</v>
      </c>
      <c r="B429" s="467" t="s">
        <v>497</v>
      </c>
      <c r="C429" s="451">
        <v>200</v>
      </c>
      <c r="D429" s="467" t="s">
        <v>22</v>
      </c>
      <c r="E429" s="468">
        <v>1241</v>
      </c>
      <c r="F429" s="468">
        <v>1178</v>
      </c>
    </row>
    <row r="430" spans="1:6" ht="15.5">
      <c r="A430" s="413" t="str">
        <f t="shared" si="20"/>
        <v>East Lothian2011-12</v>
      </c>
      <c r="B430" s="467" t="s">
        <v>497</v>
      </c>
      <c r="C430" s="451">
        <v>210</v>
      </c>
      <c r="D430" s="467" t="s">
        <v>23</v>
      </c>
      <c r="E430" s="468">
        <v>952</v>
      </c>
      <c r="F430" s="468">
        <v>845</v>
      </c>
    </row>
    <row r="431" spans="1:6" ht="15.5">
      <c r="A431" s="413" t="str">
        <f t="shared" si="20"/>
        <v>East Renfrewshire2011-12</v>
      </c>
      <c r="B431" s="467" t="s">
        <v>497</v>
      </c>
      <c r="C431" s="451">
        <v>220</v>
      </c>
      <c r="D431" s="467" t="s">
        <v>24</v>
      </c>
      <c r="E431" s="468">
        <v>1324</v>
      </c>
      <c r="F431" s="468">
        <v>1261</v>
      </c>
    </row>
    <row r="432" spans="1:6" ht="15.5">
      <c r="A432" s="413" t="str">
        <f t="shared" si="20"/>
        <v>Edinburgh, City of2011-12</v>
      </c>
      <c r="B432" s="467" t="s">
        <v>497</v>
      </c>
      <c r="C432" s="451">
        <v>230</v>
      </c>
      <c r="D432" s="467" t="s">
        <v>189</v>
      </c>
      <c r="E432" s="468">
        <v>3191</v>
      </c>
      <c r="F432" s="468">
        <v>2831</v>
      </c>
    </row>
    <row r="433" spans="1:6" ht="15.5">
      <c r="A433" s="413" t="str">
        <f t="shared" si="20"/>
        <v>Na h-Eileanan Siar2011-12</v>
      </c>
      <c r="B433" s="467" t="s">
        <v>497</v>
      </c>
      <c r="C433" s="451">
        <v>235</v>
      </c>
      <c r="D433" s="467" t="s">
        <v>32</v>
      </c>
      <c r="E433" s="468">
        <v>307</v>
      </c>
      <c r="F433" s="468">
        <v>292</v>
      </c>
    </row>
    <row r="434" spans="1:6" ht="15.5">
      <c r="A434" s="413" t="str">
        <f t="shared" si="20"/>
        <v>Falkirk2011-12</v>
      </c>
      <c r="B434" s="467" t="s">
        <v>497</v>
      </c>
      <c r="C434" s="451">
        <v>240</v>
      </c>
      <c r="D434" s="467" t="s">
        <v>25</v>
      </c>
      <c r="E434" s="468">
        <v>1497</v>
      </c>
      <c r="F434" s="468">
        <v>1361</v>
      </c>
    </row>
    <row r="435" spans="1:6" ht="15.5">
      <c r="A435" s="413" t="str">
        <f t="shared" si="20"/>
        <v>Fife2011-12</v>
      </c>
      <c r="B435" s="467" t="s">
        <v>497</v>
      </c>
      <c r="C435" s="451">
        <v>250</v>
      </c>
      <c r="D435" s="467" t="s">
        <v>26</v>
      </c>
      <c r="E435" s="468">
        <v>3659</v>
      </c>
      <c r="F435" s="468">
        <v>3290</v>
      </c>
    </row>
    <row r="436" spans="1:6" ht="15.5">
      <c r="A436" s="413" t="str">
        <f t="shared" si="20"/>
        <v>Glasgow City2011-12</v>
      </c>
      <c r="B436" s="467" t="s">
        <v>497</v>
      </c>
      <c r="C436" s="451">
        <v>260</v>
      </c>
      <c r="D436" s="467" t="s">
        <v>27</v>
      </c>
      <c r="E436" s="468">
        <v>4289</v>
      </c>
      <c r="F436" s="468">
        <v>3774</v>
      </c>
    </row>
    <row r="437" spans="1:6" ht="15.5">
      <c r="A437" s="413" t="str">
        <f t="shared" si="20"/>
        <v>Highland2011-12</v>
      </c>
      <c r="B437" s="467" t="s">
        <v>497</v>
      </c>
      <c r="C437" s="451">
        <v>270</v>
      </c>
      <c r="D437" s="467" t="s">
        <v>28</v>
      </c>
      <c r="E437" s="468">
        <v>2433</v>
      </c>
      <c r="F437" s="468">
        <v>2222</v>
      </c>
    </row>
    <row r="438" spans="1:6" ht="15.5">
      <c r="A438" s="413" t="str">
        <f t="shared" si="20"/>
        <v>Inverclyde2011-12</v>
      </c>
      <c r="B438" s="467" t="s">
        <v>497</v>
      </c>
      <c r="C438" s="451">
        <v>280</v>
      </c>
      <c r="D438" s="467" t="s">
        <v>29</v>
      </c>
      <c r="E438" s="468">
        <v>850</v>
      </c>
      <c r="F438" s="468">
        <v>804</v>
      </c>
    </row>
    <row r="439" spans="1:6" ht="15.5">
      <c r="A439" s="413" t="str">
        <f t="shared" si="20"/>
        <v>Midlothian2011-12</v>
      </c>
      <c r="B439" s="467" t="s">
        <v>497</v>
      </c>
      <c r="C439" s="451">
        <v>290</v>
      </c>
      <c r="D439" s="467" t="s">
        <v>30</v>
      </c>
      <c r="E439" s="468">
        <v>959</v>
      </c>
      <c r="F439" s="468">
        <v>824</v>
      </c>
    </row>
    <row r="440" spans="1:6" ht="15.5">
      <c r="A440" s="413" t="str">
        <f t="shared" si="20"/>
        <v>Moray2011-12</v>
      </c>
      <c r="B440" s="467" t="s">
        <v>497</v>
      </c>
      <c r="C440" s="451">
        <v>300</v>
      </c>
      <c r="D440" s="467" t="s">
        <v>31</v>
      </c>
      <c r="E440" s="468">
        <v>1039</v>
      </c>
      <c r="F440" s="468">
        <v>958</v>
      </c>
    </row>
    <row r="441" spans="1:6" ht="15.5">
      <c r="A441" s="413" t="str">
        <f t="shared" si="20"/>
        <v>North Ayrshire2011-12</v>
      </c>
      <c r="B441" s="467" t="s">
        <v>497</v>
      </c>
      <c r="C441" s="451">
        <v>310</v>
      </c>
      <c r="D441" s="467" t="s">
        <v>33</v>
      </c>
      <c r="E441" s="468">
        <v>1367</v>
      </c>
      <c r="F441" s="468">
        <v>1234</v>
      </c>
    </row>
    <row r="442" spans="1:6" ht="15.5">
      <c r="A442" s="413" t="str">
        <f t="shared" ref="A442:A486" si="21">D442&amp;B442</f>
        <v>North Lanarkshire2011-12</v>
      </c>
      <c r="B442" s="467" t="s">
        <v>497</v>
      </c>
      <c r="C442" s="451">
        <v>320</v>
      </c>
      <c r="D442" s="467" t="s">
        <v>34</v>
      </c>
      <c r="E442" s="468">
        <v>3439</v>
      </c>
      <c r="F442" s="468">
        <v>3010</v>
      </c>
    </row>
    <row r="443" spans="1:6" ht="15.5">
      <c r="A443" s="413" t="str">
        <f t="shared" si="21"/>
        <v>Orkney Islands2011-12</v>
      </c>
      <c r="B443" s="467" t="s">
        <v>497</v>
      </c>
      <c r="C443" s="451">
        <v>330</v>
      </c>
      <c r="D443" s="467" t="s">
        <v>35</v>
      </c>
      <c r="E443" s="468">
        <v>226</v>
      </c>
      <c r="F443" s="468">
        <v>213</v>
      </c>
    </row>
    <row r="444" spans="1:6" ht="15.5">
      <c r="A444" s="413" t="str">
        <f t="shared" si="21"/>
        <v>Perth and Kinross2011-12</v>
      </c>
      <c r="B444" s="467" t="s">
        <v>497</v>
      </c>
      <c r="C444" s="451">
        <v>340</v>
      </c>
      <c r="D444" s="467" t="s">
        <v>36</v>
      </c>
      <c r="E444" s="468">
        <v>1268</v>
      </c>
      <c r="F444" s="468">
        <v>1185</v>
      </c>
    </row>
    <row r="445" spans="1:6" ht="15.5">
      <c r="A445" s="413" t="str">
        <f t="shared" si="21"/>
        <v>Renfrewshire2011-12</v>
      </c>
      <c r="B445" s="467" t="s">
        <v>497</v>
      </c>
      <c r="C445" s="451">
        <v>350</v>
      </c>
      <c r="D445" s="467" t="s">
        <v>37</v>
      </c>
      <c r="E445" s="468">
        <v>1729</v>
      </c>
      <c r="F445" s="468">
        <v>1523</v>
      </c>
    </row>
    <row r="446" spans="1:6" ht="15.5">
      <c r="A446" s="413" t="str">
        <f t="shared" si="21"/>
        <v>Scottish Borders2011-12</v>
      </c>
      <c r="B446" s="467" t="s">
        <v>497</v>
      </c>
      <c r="C446" s="451">
        <v>355</v>
      </c>
      <c r="D446" s="467" t="s">
        <v>38</v>
      </c>
      <c r="E446" s="468">
        <v>1151</v>
      </c>
      <c r="F446" s="468">
        <v>1056</v>
      </c>
    </row>
    <row r="447" spans="1:6" ht="15.5">
      <c r="A447" s="413" t="str">
        <f t="shared" si="21"/>
        <v>Shetland Islands2011-12</v>
      </c>
      <c r="B447" s="467" t="s">
        <v>497</v>
      </c>
      <c r="C447" s="451">
        <v>360</v>
      </c>
      <c r="D447" s="467" t="s">
        <v>39</v>
      </c>
      <c r="E447" s="468">
        <v>267</v>
      </c>
      <c r="F447" s="468">
        <v>243</v>
      </c>
    </row>
    <row r="448" spans="1:6" ht="15.5">
      <c r="A448" s="413" t="str">
        <f t="shared" si="21"/>
        <v>South Ayrshire2011-12</v>
      </c>
      <c r="B448" s="467" t="s">
        <v>497</v>
      </c>
      <c r="C448" s="451">
        <v>370</v>
      </c>
      <c r="D448" s="467" t="s">
        <v>40</v>
      </c>
      <c r="E448" s="468">
        <v>1145</v>
      </c>
      <c r="F448" s="468">
        <v>1019</v>
      </c>
    </row>
    <row r="449" spans="1:6" ht="15.5">
      <c r="A449" s="413" t="str">
        <f t="shared" si="21"/>
        <v>South Lanarkshire2011-12</v>
      </c>
      <c r="B449" s="467" t="s">
        <v>497</v>
      </c>
      <c r="C449" s="451">
        <v>380</v>
      </c>
      <c r="D449" s="467" t="s">
        <v>41</v>
      </c>
      <c r="E449" s="468">
        <v>2862</v>
      </c>
      <c r="F449" s="468">
        <v>2576</v>
      </c>
    </row>
    <row r="450" spans="1:6" ht="15.5">
      <c r="A450" s="413" t="str">
        <f t="shared" si="21"/>
        <v>Stirling2011-12</v>
      </c>
      <c r="B450" s="467" t="s">
        <v>497</v>
      </c>
      <c r="C450" s="451">
        <v>390</v>
      </c>
      <c r="D450" s="467" t="s">
        <v>42</v>
      </c>
      <c r="E450" s="468">
        <v>933</v>
      </c>
      <c r="F450" s="468">
        <v>827</v>
      </c>
    </row>
    <row r="451" spans="1:6" ht="15.5">
      <c r="A451" s="413" t="str">
        <f t="shared" si="21"/>
        <v>West Dunbartonshire2011-12</v>
      </c>
      <c r="B451" s="467" t="s">
        <v>497</v>
      </c>
      <c r="C451" s="451">
        <v>395</v>
      </c>
      <c r="D451" s="467" t="s">
        <v>43</v>
      </c>
      <c r="E451" s="468">
        <v>924</v>
      </c>
      <c r="F451" s="468">
        <v>857</v>
      </c>
    </row>
    <row r="452" spans="1:6" ht="15.5">
      <c r="A452" s="413" t="str">
        <f t="shared" si="21"/>
        <v>West Lothian2011-12</v>
      </c>
      <c r="B452" s="467" t="s">
        <v>497</v>
      </c>
      <c r="C452" s="451">
        <v>400</v>
      </c>
      <c r="D452" s="467" t="s">
        <v>44</v>
      </c>
      <c r="E452" s="468">
        <v>1790</v>
      </c>
      <c r="F452" s="468">
        <v>1619</v>
      </c>
    </row>
    <row r="453" spans="1:6" ht="15.5">
      <c r="A453" s="413" t="str">
        <f t="shared" si="21"/>
        <v>Scotland2011-12</v>
      </c>
      <c r="B453" s="449" t="s">
        <v>497</v>
      </c>
      <c r="C453" s="1">
        <v>999</v>
      </c>
      <c r="D453" s="466" t="s">
        <v>45</v>
      </c>
      <c r="E453" s="469">
        <v>49745</v>
      </c>
      <c r="F453" s="469">
        <v>44912</v>
      </c>
    </row>
    <row r="454" spans="1:6" ht="15.5">
      <c r="A454" s="413" t="str">
        <f t="shared" si="21"/>
        <v>Aberdeen City2010-11</v>
      </c>
      <c r="B454" s="467" t="s">
        <v>498</v>
      </c>
      <c r="C454" s="451">
        <v>100</v>
      </c>
      <c r="D454" s="467" t="s">
        <v>14</v>
      </c>
      <c r="E454" s="468">
        <v>1732</v>
      </c>
      <c r="F454" s="468">
        <v>1491</v>
      </c>
    </row>
    <row r="455" spans="1:6" ht="15.5">
      <c r="A455" s="413" t="str">
        <f t="shared" si="21"/>
        <v>Aberdeenshire2010-11</v>
      </c>
      <c r="B455" s="467" t="s">
        <v>498</v>
      </c>
      <c r="C455" s="451">
        <v>110</v>
      </c>
      <c r="D455" s="467" t="s">
        <v>15</v>
      </c>
      <c r="E455" s="468">
        <v>2741</v>
      </c>
      <c r="F455" s="468">
        <v>2537</v>
      </c>
    </row>
    <row r="456" spans="1:6" ht="15.5">
      <c r="A456" s="413" t="str">
        <f t="shared" si="21"/>
        <v>Angus2010-11</v>
      </c>
      <c r="B456" s="467" t="s">
        <v>498</v>
      </c>
      <c r="C456" s="451">
        <v>120</v>
      </c>
      <c r="D456" s="467" t="s">
        <v>16</v>
      </c>
      <c r="E456" s="468">
        <v>1215</v>
      </c>
      <c r="F456" s="468">
        <v>1086</v>
      </c>
    </row>
    <row r="457" spans="1:6" ht="15.5">
      <c r="A457" s="413" t="str">
        <f t="shared" si="21"/>
        <v>Argyll and Bute2010-11</v>
      </c>
      <c r="B457" s="467" t="s">
        <v>498</v>
      </c>
      <c r="C457" s="451">
        <v>130</v>
      </c>
      <c r="D457" s="467" t="s">
        <v>17</v>
      </c>
      <c r="E457" s="468">
        <v>986</v>
      </c>
      <c r="F457" s="468">
        <v>884</v>
      </c>
    </row>
    <row r="458" spans="1:6" ht="15.5">
      <c r="A458" s="413" t="str">
        <f t="shared" si="21"/>
        <v>Clackmannanshire2010-11</v>
      </c>
      <c r="B458" s="467" t="s">
        <v>498</v>
      </c>
      <c r="C458" s="451">
        <v>150</v>
      </c>
      <c r="D458" s="467" t="s">
        <v>18</v>
      </c>
      <c r="E458" s="468">
        <v>563</v>
      </c>
      <c r="F458" s="468">
        <v>482</v>
      </c>
    </row>
    <row r="459" spans="1:6" ht="15.5">
      <c r="A459" s="413" t="str">
        <f t="shared" si="21"/>
        <v>Dumfries and Galloway2010-11</v>
      </c>
      <c r="B459" s="467" t="s">
        <v>498</v>
      </c>
      <c r="C459" s="451">
        <v>170</v>
      </c>
      <c r="D459" s="467" t="s">
        <v>19</v>
      </c>
      <c r="E459" s="468">
        <v>1736</v>
      </c>
      <c r="F459" s="468">
        <v>1540</v>
      </c>
    </row>
    <row r="460" spans="1:6" ht="15.5">
      <c r="A460" s="413" t="str">
        <f t="shared" si="21"/>
        <v>Dundee City2010-11</v>
      </c>
      <c r="B460" s="467" t="s">
        <v>498</v>
      </c>
      <c r="C460" s="451">
        <v>180</v>
      </c>
      <c r="D460" s="467" t="s">
        <v>20</v>
      </c>
      <c r="E460" s="468">
        <v>1383</v>
      </c>
      <c r="F460" s="468">
        <v>1223</v>
      </c>
    </row>
    <row r="461" spans="1:6" ht="15.5">
      <c r="A461" s="413" t="str">
        <f t="shared" si="21"/>
        <v>East Ayrshire2010-11</v>
      </c>
      <c r="B461" s="467" t="s">
        <v>498</v>
      </c>
      <c r="C461" s="451">
        <v>190</v>
      </c>
      <c r="D461" s="467" t="s">
        <v>21</v>
      </c>
      <c r="E461" s="468">
        <v>1318</v>
      </c>
      <c r="F461" s="468">
        <v>1177</v>
      </c>
    </row>
    <row r="462" spans="1:6" ht="15.5">
      <c r="A462" s="413" t="str">
        <f t="shared" si="21"/>
        <v>East Dunbartonshire2010-11</v>
      </c>
      <c r="B462" s="467" t="s">
        <v>498</v>
      </c>
      <c r="C462" s="451">
        <v>200</v>
      </c>
      <c r="D462" s="467" t="s">
        <v>22</v>
      </c>
      <c r="E462" s="468">
        <v>1382</v>
      </c>
      <c r="F462" s="468">
        <v>1286</v>
      </c>
    </row>
    <row r="463" spans="1:6" ht="15.5">
      <c r="A463" s="413" t="str">
        <f t="shared" si="21"/>
        <v>East Lothian2010-11</v>
      </c>
      <c r="B463" s="467" t="s">
        <v>498</v>
      </c>
      <c r="C463" s="451">
        <v>210</v>
      </c>
      <c r="D463" s="467" t="s">
        <v>23</v>
      </c>
      <c r="E463" s="468">
        <v>1099</v>
      </c>
      <c r="F463" s="468">
        <v>955</v>
      </c>
    </row>
    <row r="464" spans="1:6" ht="15.5">
      <c r="A464" s="413" t="str">
        <f t="shared" si="21"/>
        <v>East Renfrewshire2010-11</v>
      </c>
      <c r="B464" s="467" t="s">
        <v>498</v>
      </c>
      <c r="C464" s="451">
        <v>220</v>
      </c>
      <c r="D464" s="467" t="s">
        <v>24</v>
      </c>
      <c r="E464" s="468">
        <v>1348</v>
      </c>
      <c r="F464" s="468">
        <v>1258</v>
      </c>
    </row>
    <row r="465" spans="1:6" ht="15.5">
      <c r="A465" s="413" t="str">
        <f t="shared" si="21"/>
        <v>Edinburgh, City of2010-11</v>
      </c>
      <c r="B465" s="467" t="s">
        <v>498</v>
      </c>
      <c r="C465" s="451">
        <v>230</v>
      </c>
      <c r="D465" s="467" t="s">
        <v>189</v>
      </c>
      <c r="E465" s="468">
        <v>3322</v>
      </c>
      <c r="F465" s="468">
        <v>2932</v>
      </c>
    </row>
    <row r="466" spans="1:6" ht="15.5">
      <c r="A466" s="413" t="str">
        <f t="shared" si="21"/>
        <v>Na h-Eileanan Siar2010-11</v>
      </c>
      <c r="B466" s="467" t="s">
        <v>498</v>
      </c>
      <c r="C466" s="451">
        <v>235</v>
      </c>
      <c r="D466" s="467" t="s">
        <v>32</v>
      </c>
      <c r="E466" s="468">
        <v>325</v>
      </c>
      <c r="F466" s="468">
        <v>304</v>
      </c>
    </row>
    <row r="467" spans="1:6" ht="15.5">
      <c r="A467" s="413" t="str">
        <f t="shared" si="21"/>
        <v>Falkirk2010-11</v>
      </c>
      <c r="B467" s="467" t="s">
        <v>498</v>
      </c>
      <c r="C467" s="451">
        <v>240</v>
      </c>
      <c r="D467" s="467" t="s">
        <v>25</v>
      </c>
      <c r="E467" s="468">
        <v>1497</v>
      </c>
      <c r="F467" s="468">
        <v>1319</v>
      </c>
    </row>
    <row r="468" spans="1:6" ht="15.5">
      <c r="A468" s="413" t="str">
        <f t="shared" si="21"/>
        <v>Fife2010-11</v>
      </c>
      <c r="B468" s="467" t="s">
        <v>498</v>
      </c>
      <c r="C468" s="451">
        <v>250</v>
      </c>
      <c r="D468" s="467" t="s">
        <v>26</v>
      </c>
      <c r="E468" s="468">
        <v>3845</v>
      </c>
      <c r="F468" s="468">
        <v>3531</v>
      </c>
    </row>
    <row r="469" spans="1:6" ht="15.5">
      <c r="A469" s="413" t="str">
        <f t="shared" si="21"/>
        <v>Glasgow City2010-11</v>
      </c>
      <c r="B469" s="467" t="s">
        <v>498</v>
      </c>
      <c r="C469" s="451">
        <v>260</v>
      </c>
      <c r="D469" s="467" t="s">
        <v>27</v>
      </c>
      <c r="E469" s="468">
        <v>4490</v>
      </c>
      <c r="F469" s="468">
        <v>3912</v>
      </c>
    </row>
    <row r="470" spans="1:6" ht="15.5">
      <c r="A470" s="413" t="str">
        <f t="shared" si="21"/>
        <v>Highland2010-11</v>
      </c>
      <c r="B470" s="467" t="s">
        <v>498</v>
      </c>
      <c r="C470" s="451">
        <v>270</v>
      </c>
      <c r="D470" s="467" t="s">
        <v>28</v>
      </c>
      <c r="E470" s="468">
        <v>2539</v>
      </c>
      <c r="F470" s="468">
        <v>2292</v>
      </c>
    </row>
    <row r="471" spans="1:6" ht="15.5">
      <c r="A471" s="413" t="str">
        <f t="shared" si="21"/>
        <v>Inverclyde2010-11</v>
      </c>
      <c r="B471" s="467" t="s">
        <v>498</v>
      </c>
      <c r="C471" s="451">
        <v>280</v>
      </c>
      <c r="D471" s="467" t="s">
        <v>29</v>
      </c>
      <c r="E471" s="468">
        <v>823</v>
      </c>
      <c r="F471" s="468">
        <v>732</v>
      </c>
    </row>
    <row r="472" spans="1:6" ht="15.5">
      <c r="A472" s="413" t="str">
        <f t="shared" si="21"/>
        <v>Midlothian2010-11</v>
      </c>
      <c r="B472" s="467" t="s">
        <v>498</v>
      </c>
      <c r="C472" s="451">
        <v>290</v>
      </c>
      <c r="D472" s="467" t="s">
        <v>30</v>
      </c>
      <c r="E472" s="468">
        <v>933</v>
      </c>
      <c r="F472" s="468">
        <v>794</v>
      </c>
    </row>
    <row r="473" spans="1:6" ht="15.5">
      <c r="A473" s="413" t="str">
        <f t="shared" si="21"/>
        <v>Moray2010-11</v>
      </c>
      <c r="B473" s="467" t="s">
        <v>498</v>
      </c>
      <c r="C473" s="451">
        <v>300</v>
      </c>
      <c r="D473" s="467" t="s">
        <v>31</v>
      </c>
      <c r="E473" s="468">
        <v>1015</v>
      </c>
      <c r="F473" s="468">
        <v>905</v>
      </c>
    </row>
    <row r="474" spans="1:6" ht="15.5">
      <c r="A474" s="413" t="str">
        <f t="shared" si="21"/>
        <v>North Ayrshire2010-11</v>
      </c>
      <c r="B474" s="467" t="s">
        <v>498</v>
      </c>
      <c r="C474" s="451">
        <v>310</v>
      </c>
      <c r="D474" s="467" t="s">
        <v>33</v>
      </c>
      <c r="E474" s="468">
        <v>1533</v>
      </c>
      <c r="F474" s="468">
        <v>1393</v>
      </c>
    </row>
    <row r="475" spans="1:6" ht="15.5">
      <c r="A475" s="413" t="str">
        <f t="shared" si="21"/>
        <v>North Lanarkshire2010-11</v>
      </c>
      <c r="B475" s="467" t="s">
        <v>498</v>
      </c>
      <c r="C475" s="451">
        <v>320</v>
      </c>
      <c r="D475" s="467" t="s">
        <v>34</v>
      </c>
      <c r="E475" s="468">
        <v>3709</v>
      </c>
      <c r="F475" s="468">
        <v>3199</v>
      </c>
    </row>
    <row r="476" spans="1:6" ht="15.5">
      <c r="A476" s="413" t="str">
        <f t="shared" si="21"/>
        <v>Orkney Islands2010-11</v>
      </c>
      <c r="B476" s="467" t="s">
        <v>498</v>
      </c>
      <c r="C476" s="451">
        <v>330</v>
      </c>
      <c r="D476" s="467" t="s">
        <v>35</v>
      </c>
      <c r="E476" s="468">
        <v>287</v>
      </c>
      <c r="F476" s="468">
        <v>255</v>
      </c>
    </row>
    <row r="477" spans="1:6" ht="15.5">
      <c r="A477" s="413" t="str">
        <f t="shared" si="21"/>
        <v>Perth and Kinross2010-11</v>
      </c>
      <c r="B477" s="467" t="s">
        <v>498</v>
      </c>
      <c r="C477" s="451">
        <v>340</v>
      </c>
      <c r="D477" s="467" t="s">
        <v>36</v>
      </c>
      <c r="E477" s="468">
        <v>1368</v>
      </c>
      <c r="F477" s="468">
        <v>1248</v>
      </c>
    </row>
    <row r="478" spans="1:6" ht="15.5">
      <c r="A478" s="413" t="str">
        <f t="shared" si="21"/>
        <v>Renfrewshire2010-11</v>
      </c>
      <c r="B478" s="467" t="s">
        <v>498</v>
      </c>
      <c r="C478" s="451">
        <v>350</v>
      </c>
      <c r="D478" s="467" t="s">
        <v>37</v>
      </c>
      <c r="E478" s="468">
        <v>1901</v>
      </c>
      <c r="F478" s="468">
        <v>1697</v>
      </c>
    </row>
    <row r="479" spans="1:6" ht="15.5">
      <c r="A479" s="413" t="str">
        <f t="shared" si="21"/>
        <v>Scottish Borders2010-11</v>
      </c>
      <c r="B479" s="467" t="s">
        <v>498</v>
      </c>
      <c r="C479" s="451">
        <v>355</v>
      </c>
      <c r="D479" s="467" t="s">
        <v>38</v>
      </c>
      <c r="E479" s="468">
        <v>1236</v>
      </c>
      <c r="F479" s="468">
        <v>1146</v>
      </c>
    </row>
    <row r="480" spans="1:6" ht="15.5">
      <c r="A480" s="413" t="str">
        <f t="shared" si="21"/>
        <v>Shetland Islands2010-11</v>
      </c>
      <c r="B480" s="467" t="s">
        <v>498</v>
      </c>
      <c r="C480" s="451">
        <v>360</v>
      </c>
      <c r="D480" s="467" t="s">
        <v>39</v>
      </c>
      <c r="E480" s="468">
        <v>276</v>
      </c>
      <c r="F480" s="468">
        <v>260</v>
      </c>
    </row>
    <row r="481" spans="1:6" ht="15.5">
      <c r="A481" s="413" t="str">
        <f t="shared" si="21"/>
        <v>South Ayrshire2010-11</v>
      </c>
      <c r="B481" s="467" t="s">
        <v>498</v>
      </c>
      <c r="C481" s="451">
        <v>370</v>
      </c>
      <c r="D481" s="467" t="s">
        <v>40</v>
      </c>
      <c r="E481" s="468">
        <v>1218</v>
      </c>
      <c r="F481" s="468">
        <v>1095</v>
      </c>
    </row>
    <row r="482" spans="1:6" ht="15.5">
      <c r="A482" s="413" t="str">
        <f t="shared" si="21"/>
        <v>South Lanarkshire2010-11</v>
      </c>
      <c r="B482" s="467" t="s">
        <v>498</v>
      </c>
      <c r="C482" s="451">
        <v>380</v>
      </c>
      <c r="D482" s="467" t="s">
        <v>41</v>
      </c>
      <c r="E482" s="468">
        <v>3484</v>
      </c>
      <c r="F482" s="468">
        <v>3051</v>
      </c>
    </row>
    <row r="483" spans="1:6" ht="15.5">
      <c r="A483" s="413" t="str">
        <f t="shared" si="21"/>
        <v>Stirling2010-11</v>
      </c>
      <c r="B483" s="467" t="s">
        <v>498</v>
      </c>
      <c r="C483" s="451">
        <v>390</v>
      </c>
      <c r="D483" s="467" t="s">
        <v>42</v>
      </c>
      <c r="E483" s="468">
        <v>982</v>
      </c>
      <c r="F483" s="468">
        <v>869</v>
      </c>
    </row>
    <row r="484" spans="1:6" ht="15.5">
      <c r="A484" s="413" t="str">
        <f t="shared" si="21"/>
        <v>West Dunbartonshire2010-11</v>
      </c>
      <c r="B484" s="467" t="s">
        <v>498</v>
      </c>
      <c r="C484" s="451">
        <v>395</v>
      </c>
      <c r="D484" s="467" t="s">
        <v>43</v>
      </c>
      <c r="E484" s="468">
        <v>1018</v>
      </c>
      <c r="F484" s="468">
        <v>932</v>
      </c>
    </row>
    <row r="485" spans="1:6" ht="15.5">
      <c r="A485" s="413" t="str">
        <f t="shared" si="21"/>
        <v>West Lothian2010-11</v>
      </c>
      <c r="B485" s="467" t="s">
        <v>498</v>
      </c>
      <c r="C485" s="451">
        <v>400</v>
      </c>
      <c r="D485" s="467" t="s">
        <v>44</v>
      </c>
      <c r="E485" s="468">
        <v>1995</v>
      </c>
      <c r="F485" s="468">
        <v>1785</v>
      </c>
    </row>
    <row r="486" spans="1:6" ht="15.5">
      <c r="A486" s="413" t="str">
        <f t="shared" si="21"/>
        <v>Scotland2010-11</v>
      </c>
      <c r="B486" s="449" t="s">
        <v>498</v>
      </c>
      <c r="C486" s="1">
        <v>999</v>
      </c>
      <c r="D486" s="466" t="s">
        <v>45</v>
      </c>
      <c r="E486" s="469">
        <v>53394</v>
      </c>
      <c r="F486" s="469">
        <v>47660</v>
      </c>
    </row>
    <row r="487" spans="1:6" ht="15.5">
      <c r="B487" s="149" t="s">
        <v>751</v>
      </c>
      <c r="C487" s="451">
        <v>100</v>
      </c>
      <c r="D487" s="467" t="s">
        <v>14</v>
      </c>
      <c r="E487" s="468">
        <v>1773</v>
      </c>
      <c r="F487" s="468">
        <v>1516</v>
      </c>
    </row>
    <row r="488" spans="1:6" ht="15.5">
      <c r="B488" s="149" t="s">
        <v>751</v>
      </c>
      <c r="C488" s="451">
        <v>110</v>
      </c>
      <c r="D488" s="467" t="s">
        <v>15</v>
      </c>
      <c r="E488" s="468">
        <v>2714</v>
      </c>
      <c r="F488" s="468">
        <v>2484</v>
      </c>
    </row>
    <row r="489" spans="1:6" ht="15.5">
      <c r="B489" s="149" t="s">
        <v>751</v>
      </c>
      <c r="C489" s="451">
        <v>120</v>
      </c>
      <c r="D489" s="467" t="s">
        <v>16</v>
      </c>
      <c r="E489" s="468">
        <v>1279</v>
      </c>
      <c r="F489" s="468">
        <v>1143</v>
      </c>
    </row>
    <row r="490" spans="1:6" ht="15.5">
      <c r="B490" s="149" t="s">
        <v>751</v>
      </c>
      <c r="C490" s="451">
        <v>130</v>
      </c>
      <c r="D490" s="467" t="s">
        <v>17</v>
      </c>
      <c r="E490" s="468">
        <v>929</v>
      </c>
      <c r="F490" s="468">
        <v>818</v>
      </c>
    </row>
    <row r="491" spans="1:6" ht="15.5">
      <c r="B491" s="149" t="s">
        <v>751</v>
      </c>
      <c r="C491" s="451">
        <v>150</v>
      </c>
      <c r="D491" s="467" t="s">
        <v>18</v>
      </c>
      <c r="E491" s="468">
        <v>570</v>
      </c>
      <c r="F491" s="468">
        <v>503</v>
      </c>
    </row>
    <row r="492" spans="1:6" ht="15.5">
      <c r="B492" s="149" t="s">
        <v>751</v>
      </c>
      <c r="C492" s="451">
        <v>170</v>
      </c>
      <c r="D492" s="467" t="s">
        <v>19</v>
      </c>
      <c r="E492" s="468">
        <v>1588</v>
      </c>
      <c r="F492" s="468">
        <v>1404</v>
      </c>
    </row>
    <row r="493" spans="1:6" ht="15.5">
      <c r="B493" s="149" t="s">
        <v>751</v>
      </c>
      <c r="C493" s="451">
        <v>180</v>
      </c>
      <c r="D493" s="467" t="s">
        <v>20</v>
      </c>
      <c r="E493" s="468">
        <v>1391</v>
      </c>
      <c r="F493" s="468">
        <v>1177</v>
      </c>
    </row>
    <row r="494" spans="1:6" ht="15.5">
      <c r="B494" s="149" t="s">
        <v>751</v>
      </c>
      <c r="C494" s="451">
        <v>190</v>
      </c>
      <c r="D494" s="467" t="s">
        <v>21</v>
      </c>
      <c r="E494" s="468">
        <v>1330</v>
      </c>
      <c r="F494" s="468">
        <v>1176</v>
      </c>
    </row>
    <row r="495" spans="1:6" ht="15.5">
      <c r="B495" s="149" t="s">
        <v>751</v>
      </c>
      <c r="C495" s="451">
        <v>200</v>
      </c>
      <c r="D495" s="467" t="s">
        <v>22</v>
      </c>
      <c r="E495" s="468">
        <v>1299</v>
      </c>
      <c r="F495" s="468">
        <v>1200</v>
      </c>
    </row>
    <row r="496" spans="1:6" ht="15.5">
      <c r="B496" s="149" t="s">
        <v>751</v>
      </c>
      <c r="C496" s="451">
        <v>210</v>
      </c>
      <c r="D496" s="467" t="s">
        <v>23</v>
      </c>
      <c r="E496" s="468">
        <v>1051</v>
      </c>
      <c r="F496" s="468">
        <v>910</v>
      </c>
    </row>
    <row r="497" spans="2:6" ht="15.5">
      <c r="B497" s="149" t="s">
        <v>751</v>
      </c>
      <c r="C497" s="451">
        <v>220</v>
      </c>
      <c r="D497" s="467" t="s">
        <v>24</v>
      </c>
      <c r="E497" s="468">
        <v>1306</v>
      </c>
      <c r="F497" s="468">
        <v>1235</v>
      </c>
    </row>
    <row r="498" spans="2:6" ht="15.5">
      <c r="B498" s="149" t="s">
        <v>751</v>
      </c>
      <c r="C498" s="451">
        <v>230</v>
      </c>
      <c r="D498" s="467" t="s">
        <v>189</v>
      </c>
      <c r="E498" s="468">
        <v>3349</v>
      </c>
      <c r="F498" s="468">
        <v>2783</v>
      </c>
    </row>
    <row r="499" spans="2:6" ht="15.5">
      <c r="B499" s="149" t="s">
        <v>751</v>
      </c>
      <c r="C499" s="451">
        <v>235</v>
      </c>
      <c r="D499" s="467" t="s">
        <v>32</v>
      </c>
      <c r="E499" s="468">
        <v>317</v>
      </c>
      <c r="F499" s="468">
        <v>298</v>
      </c>
    </row>
    <row r="500" spans="2:6" ht="15.5">
      <c r="B500" s="149" t="s">
        <v>751</v>
      </c>
      <c r="C500" s="451">
        <v>240</v>
      </c>
      <c r="D500" s="467" t="s">
        <v>25</v>
      </c>
      <c r="E500" s="468">
        <v>1535</v>
      </c>
      <c r="F500" s="468">
        <v>1299</v>
      </c>
    </row>
    <row r="501" spans="2:6" ht="15.5">
      <c r="B501" s="149" t="s">
        <v>751</v>
      </c>
      <c r="C501" s="451">
        <v>250</v>
      </c>
      <c r="D501" s="467" t="s">
        <v>26</v>
      </c>
      <c r="E501" s="468">
        <v>3909</v>
      </c>
      <c r="F501" s="468">
        <v>3429</v>
      </c>
    </row>
    <row r="502" spans="2:6" ht="15.5">
      <c r="B502" s="149" t="s">
        <v>751</v>
      </c>
      <c r="C502" s="451">
        <v>260</v>
      </c>
      <c r="D502" s="467" t="s">
        <v>27</v>
      </c>
      <c r="E502" s="468">
        <v>4566</v>
      </c>
      <c r="F502" s="468">
        <v>3904</v>
      </c>
    </row>
    <row r="503" spans="2:6" ht="15.5">
      <c r="B503" s="149" t="s">
        <v>751</v>
      </c>
      <c r="C503" s="451">
        <v>270</v>
      </c>
      <c r="D503" s="467" t="s">
        <v>28</v>
      </c>
      <c r="E503" s="468">
        <v>2634</v>
      </c>
      <c r="F503" s="468">
        <v>2320</v>
      </c>
    </row>
    <row r="504" spans="2:6" ht="15.5">
      <c r="B504" s="149" t="s">
        <v>751</v>
      </c>
      <c r="C504" s="451">
        <v>280</v>
      </c>
      <c r="D504" s="467" t="s">
        <v>29</v>
      </c>
      <c r="E504" s="468">
        <v>938</v>
      </c>
      <c r="F504" s="468">
        <v>851</v>
      </c>
    </row>
    <row r="505" spans="2:6" ht="15.5">
      <c r="B505" s="149" t="s">
        <v>751</v>
      </c>
      <c r="C505" s="451">
        <v>290</v>
      </c>
      <c r="D505" s="467" t="s">
        <v>30</v>
      </c>
      <c r="E505" s="468">
        <v>957</v>
      </c>
      <c r="F505" s="468">
        <v>802</v>
      </c>
    </row>
    <row r="506" spans="2:6" ht="15.5">
      <c r="B506" s="149" t="s">
        <v>751</v>
      </c>
      <c r="C506" s="451">
        <v>300</v>
      </c>
      <c r="D506" s="467" t="s">
        <v>31</v>
      </c>
      <c r="E506" s="468">
        <v>1026</v>
      </c>
      <c r="F506" s="468">
        <v>934</v>
      </c>
    </row>
    <row r="507" spans="2:6" ht="15.5">
      <c r="B507" s="149" t="s">
        <v>751</v>
      </c>
      <c r="C507" s="451">
        <v>310</v>
      </c>
      <c r="D507" s="467" t="s">
        <v>33</v>
      </c>
      <c r="E507" s="468">
        <v>1385</v>
      </c>
      <c r="F507" s="468">
        <v>1201</v>
      </c>
    </row>
    <row r="508" spans="2:6" ht="15.5">
      <c r="B508" s="149" t="s">
        <v>751</v>
      </c>
      <c r="C508" s="451">
        <v>320</v>
      </c>
      <c r="D508" s="467" t="s">
        <v>34</v>
      </c>
      <c r="E508" s="468">
        <v>3632</v>
      </c>
      <c r="F508" s="468">
        <v>3162</v>
      </c>
    </row>
    <row r="509" spans="2:6" ht="15.5">
      <c r="B509" s="149" t="s">
        <v>751</v>
      </c>
      <c r="C509" s="451">
        <v>330</v>
      </c>
      <c r="D509" s="467" t="s">
        <v>35</v>
      </c>
      <c r="E509" s="468">
        <v>228</v>
      </c>
      <c r="F509" s="468">
        <v>216</v>
      </c>
    </row>
    <row r="510" spans="2:6" ht="15.5">
      <c r="B510" s="149" t="s">
        <v>751</v>
      </c>
      <c r="C510" s="451">
        <v>340</v>
      </c>
      <c r="D510" s="467" t="s">
        <v>36</v>
      </c>
      <c r="E510" s="468">
        <v>1389</v>
      </c>
      <c r="F510" s="468">
        <v>1250</v>
      </c>
    </row>
    <row r="511" spans="2:6" ht="15.5">
      <c r="B511" s="149" t="s">
        <v>751</v>
      </c>
      <c r="C511" s="451">
        <v>350</v>
      </c>
      <c r="D511" s="467" t="s">
        <v>37</v>
      </c>
      <c r="E511" s="468">
        <v>1886</v>
      </c>
      <c r="F511" s="468">
        <v>1698</v>
      </c>
    </row>
    <row r="512" spans="2:6" ht="15.5">
      <c r="B512" s="149" t="s">
        <v>751</v>
      </c>
      <c r="C512" s="451">
        <v>355</v>
      </c>
      <c r="D512" s="467" t="s">
        <v>38</v>
      </c>
      <c r="E512" s="468">
        <v>1236</v>
      </c>
      <c r="F512" s="468">
        <v>1097</v>
      </c>
    </row>
    <row r="513" spans="2:6" ht="15.5">
      <c r="B513" s="149" t="s">
        <v>751</v>
      </c>
      <c r="C513" s="451">
        <v>360</v>
      </c>
      <c r="D513" s="467" t="s">
        <v>39</v>
      </c>
      <c r="E513" s="468">
        <v>297</v>
      </c>
      <c r="F513" s="468">
        <v>277</v>
      </c>
    </row>
    <row r="514" spans="2:6" ht="15.5">
      <c r="B514" s="149" t="s">
        <v>751</v>
      </c>
      <c r="C514" s="451">
        <v>370</v>
      </c>
      <c r="D514" s="467" t="s">
        <v>40</v>
      </c>
      <c r="E514" s="468">
        <v>1190</v>
      </c>
      <c r="F514" s="468">
        <v>1038</v>
      </c>
    </row>
    <row r="515" spans="2:6" ht="15.5">
      <c r="B515" s="149" t="s">
        <v>751</v>
      </c>
      <c r="C515" s="451">
        <v>380</v>
      </c>
      <c r="D515" s="467" t="s">
        <v>41</v>
      </c>
      <c r="E515" s="468">
        <v>3361</v>
      </c>
      <c r="F515" s="468">
        <v>2945</v>
      </c>
    </row>
    <row r="516" spans="2:6" ht="15.5">
      <c r="B516" s="149" t="s">
        <v>751</v>
      </c>
      <c r="C516" s="451">
        <v>390</v>
      </c>
      <c r="D516" s="467" t="s">
        <v>42</v>
      </c>
      <c r="E516" s="468">
        <v>1029</v>
      </c>
      <c r="F516" s="468">
        <v>898</v>
      </c>
    </row>
    <row r="517" spans="2:6" ht="15.5">
      <c r="B517" s="149" t="s">
        <v>751</v>
      </c>
      <c r="C517" s="451">
        <v>395</v>
      </c>
      <c r="D517" s="467" t="s">
        <v>43</v>
      </c>
      <c r="E517" s="468">
        <v>997</v>
      </c>
      <c r="F517" s="468">
        <v>892</v>
      </c>
    </row>
    <row r="518" spans="2:6" ht="15.5">
      <c r="B518" s="149" t="s">
        <v>751</v>
      </c>
      <c r="C518" s="451">
        <v>400</v>
      </c>
      <c r="D518" s="467" t="s">
        <v>44</v>
      </c>
      <c r="E518" s="468">
        <v>1939</v>
      </c>
      <c r="F518" s="468">
        <v>1637</v>
      </c>
    </row>
    <row r="519" spans="2:6" ht="15.5">
      <c r="B519" s="470" t="s">
        <v>751</v>
      </c>
      <c r="C519" s="1">
        <v>999</v>
      </c>
      <c r="D519" s="471" t="s">
        <v>45</v>
      </c>
      <c r="E519" s="476">
        <v>53134</v>
      </c>
      <c r="F519" s="469">
        <v>46597</v>
      </c>
    </row>
  </sheetData>
  <sortState xmlns:xlrd2="http://schemas.microsoft.com/office/spreadsheetml/2017/richdata2" ref="V8:W42">
    <sortCondition descending="1" ref="W17:W42"/>
  </sortState>
  <pageMargins left="0.70866141732283472" right="0.70866141732283472" top="0.74803149606299213" bottom="0.74803149606299213" header="0.31496062992125984" footer="0.31496062992125984"/>
  <pageSetup paperSize="9" scale="75"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autoPageBreaks="0"/>
  </sheetPr>
  <dimension ref="A1:U47"/>
  <sheetViews>
    <sheetView zoomScale="85" zoomScaleNormal="85" workbookViewId="0"/>
  </sheetViews>
  <sheetFormatPr defaultColWidth="8.7265625" defaultRowHeight="14.5"/>
  <cols>
    <col min="1" max="1" width="24.1796875" customWidth="1"/>
  </cols>
  <sheetData>
    <row r="1" spans="1:17" ht="15.5">
      <c r="A1" s="229" t="s">
        <v>0</v>
      </c>
    </row>
    <row r="2" spans="1:17">
      <c r="A2" s="230" t="s">
        <v>597</v>
      </c>
    </row>
    <row r="4" spans="1:17">
      <c r="A4" s="231" t="s">
        <v>1</v>
      </c>
      <c r="B4" s="231" t="s">
        <v>2</v>
      </c>
    </row>
    <row r="5" spans="1:17">
      <c r="A5" s="231" t="s">
        <v>3</v>
      </c>
      <c r="B5" s="231" t="s">
        <v>64</v>
      </c>
    </row>
    <row r="7" spans="1:17" ht="22" customHeight="1">
      <c r="A7" s="232" t="s">
        <v>5</v>
      </c>
      <c r="B7" s="603" t="s">
        <v>525</v>
      </c>
      <c r="C7" s="604"/>
      <c r="D7" s="604"/>
      <c r="E7" s="604"/>
      <c r="F7" s="603" t="s">
        <v>598</v>
      </c>
      <c r="G7" s="604"/>
      <c r="H7" s="604"/>
      <c r="I7" s="604"/>
      <c r="J7" s="603" t="s">
        <v>705</v>
      </c>
      <c r="K7" s="604"/>
      <c r="L7" s="604"/>
      <c r="M7" s="604"/>
      <c r="N7" s="603" t="s">
        <v>754</v>
      </c>
      <c r="O7" s="604"/>
      <c r="P7" s="604"/>
      <c r="Q7" s="604"/>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231" t="s">
        <v>14</v>
      </c>
      <c r="B9" s="243" t="s">
        <v>707</v>
      </c>
      <c r="C9" s="243" t="s">
        <v>707</v>
      </c>
      <c r="D9" s="243" t="s">
        <v>707</v>
      </c>
      <c r="E9" s="243" t="s">
        <v>69</v>
      </c>
      <c r="F9" s="243" t="s">
        <v>707</v>
      </c>
      <c r="G9" s="243" t="s">
        <v>707</v>
      </c>
      <c r="H9" s="243" t="s">
        <v>707</v>
      </c>
      <c r="I9" s="243" t="s">
        <v>69</v>
      </c>
      <c r="J9" s="243">
        <v>82400</v>
      </c>
      <c r="K9" s="243">
        <v>153200</v>
      </c>
      <c r="L9" s="244">
        <v>53.8</v>
      </c>
      <c r="M9" s="244">
        <v>5.0999999999999996</v>
      </c>
      <c r="N9" s="243">
        <v>95600</v>
      </c>
      <c r="O9" s="243">
        <v>156700</v>
      </c>
      <c r="P9" s="244">
        <v>61.1</v>
      </c>
      <c r="Q9" s="244">
        <v>5.5</v>
      </c>
    </row>
    <row r="10" spans="1:17">
      <c r="A10" s="231" t="s">
        <v>15</v>
      </c>
      <c r="B10" s="243" t="s">
        <v>707</v>
      </c>
      <c r="C10" s="243" t="s">
        <v>707</v>
      </c>
      <c r="D10" s="243" t="s">
        <v>707</v>
      </c>
      <c r="E10" s="243" t="s">
        <v>69</v>
      </c>
      <c r="F10" s="243" t="s">
        <v>707</v>
      </c>
      <c r="G10" s="243" t="s">
        <v>707</v>
      </c>
      <c r="H10" s="243" t="s">
        <v>707</v>
      </c>
      <c r="I10" s="243" t="s">
        <v>69</v>
      </c>
      <c r="J10" s="243">
        <v>72800</v>
      </c>
      <c r="K10" s="243">
        <v>156600</v>
      </c>
      <c r="L10" s="244">
        <v>46.5</v>
      </c>
      <c r="M10" s="244">
        <v>5.2</v>
      </c>
      <c r="N10" s="243">
        <v>82600</v>
      </c>
      <c r="O10" s="243">
        <v>164900</v>
      </c>
      <c r="P10" s="244">
        <v>50.1</v>
      </c>
      <c r="Q10" s="244">
        <v>6.2</v>
      </c>
    </row>
    <row r="11" spans="1:17">
      <c r="A11" s="231" t="s">
        <v>16</v>
      </c>
      <c r="B11" s="243" t="s">
        <v>707</v>
      </c>
      <c r="C11" s="243" t="s">
        <v>707</v>
      </c>
      <c r="D11" s="243" t="s">
        <v>707</v>
      </c>
      <c r="E11" s="243" t="s">
        <v>69</v>
      </c>
      <c r="F11" s="243" t="s">
        <v>707</v>
      </c>
      <c r="G11" s="243" t="s">
        <v>707</v>
      </c>
      <c r="H11" s="243" t="s">
        <v>707</v>
      </c>
      <c r="I11" s="243" t="s">
        <v>69</v>
      </c>
      <c r="J11" s="243">
        <v>34100</v>
      </c>
      <c r="K11" s="243">
        <v>67700</v>
      </c>
      <c r="L11" s="244">
        <v>50.4</v>
      </c>
      <c r="M11" s="244">
        <v>4.9000000000000004</v>
      </c>
      <c r="N11" s="243">
        <v>33000</v>
      </c>
      <c r="O11" s="243">
        <v>69100</v>
      </c>
      <c r="P11" s="244">
        <v>47.7</v>
      </c>
      <c r="Q11" s="244">
        <v>6.5</v>
      </c>
    </row>
    <row r="12" spans="1:17">
      <c r="A12" s="231" t="s">
        <v>17</v>
      </c>
      <c r="B12" s="243" t="s">
        <v>707</v>
      </c>
      <c r="C12" s="243" t="s">
        <v>707</v>
      </c>
      <c r="D12" s="243" t="s">
        <v>707</v>
      </c>
      <c r="E12" s="243" t="s">
        <v>69</v>
      </c>
      <c r="F12" s="243" t="s">
        <v>707</v>
      </c>
      <c r="G12" s="243" t="s">
        <v>707</v>
      </c>
      <c r="H12" s="243" t="s">
        <v>707</v>
      </c>
      <c r="I12" s="243" t="s">
        <v>69</v>
      </c>
      <c r="J12" s="243">
        <v>25500</v>
      </c>
      <c r="K12" s="243">
        <v>47200</v>
      </c>
      <c r="L12" s="244">
        <v>54.1</v>
      </c>
      <c r="M12" s="244">
        <v>5.8</v>
      </c>
      <c r="N12" s="243">
        <v>23000</v>
      </c>
      <c r="O12" s="243">
        <v>46900</v>
      </c>
      <c r="P12" s="244">
        <v>49</v>
      </c>
      <c r="Q12" s="244">
        <v>7.6</v>
      </c>
    </row>
    <row r="13" spans="1:17">
      <c r="A13" s="231" t="s">
        <v>189</v>
      </c>
      <c r="B13" s="243" t="s">
        <v>707</v>
      </c>
      <c r="C13" s="243" t="s">
        <v>707</v>
      </c>
      <c r="D13" s="243" t="s">
        <v>707</v>
      </c>
      <c r="E13" s="243" t="s">
        <v>69</v>
      </c>
      <c r="F13" s="243" t="s">
        <v>707</v>
      </c>
      <c r="G13" s="243" t="s">
        <v>707</v>
      </c>
      <c r="H13" s="243" t="s">
        <v>707</v>
      </c>
      <c r="I13" s="243" t="s">
        <v>69</v>
      </c>
      <c r="J13" s="243">
        <v>252200</v>
      </c>
      <c r="K13" s="243">
        <v>344700</v>
      </c>
      <c r="L13" s="244">
        <v>73.2</v>
      </c>
      <c r="M13" s="244">
        <v>4</v>
      </c>
      <c r="N13" s="243">
        <v>244400</v>
      </c>
      <c r="O13" s="243">
        <v>349800</v>
      </c>
      <c r="P13" s="244">
        <v>69.900000000000006</v>
      </c>
      <c r="Q13" s="244">
        <v>4.5</v>
      </c>
    </row>
    <row r="14" spans="1:17">
      <c r="A14" s="231" t="s">
        <v>18</v>
      </c>
      <c r="B14" s="243" t="s">
        <v>707</v>
      </c>
      <c r="C14" s="243" t="s">
        <v>707</v>
      </c>
      <c r="D14" s="243" t="s">
        <v>707</v>
      </c>
      <c r="E14" s="243" t="s">
        <v>69</v>
      </c>
      <c r="F14" s="243" t="s">
        <v>707</v>
      </c>
      <c r="G14" s="243" t="s">
        <v>707</v>
      </c>
      <c r="H14" s="243" t="s">
        <v>707</v>
      </c>
      <c r="I14" s="243" t="s">
        <v>69</v>
      </c>
      <c r="J14" s="243">
        <v>14900</v>
      </c>
      <c r="K14" s="243">
        <v>30500</v>
      </c>
      <c r="L14" s="244">
        <v>48.9</v>
      </c>
      <c r="M14" s="244">
        <v>6.3</v>
      </c>
      <c r="N14" s="243">
        <v>12800</v>
      </c>
      <c r="O14" s="243">
        <v>31200</v>
      </c>
      <c r="P14" s="244">
        <v>40.9</v>
      </c>
      <c r="Q14" s="244">
        <v>7</v>
      </c>
    </row>
    <row r="15" spans="1:17">
      <c r="A15" s="231" t="s">
        <v>19</v>
      </c>
      <c r="B15" s="243" t="s">
        <v>707</v>
      </c>
      <c r="C15" s="243" t="s">
        <v>707</v>
      </c>
      <c r="D15" s="243" t="s">
        <v>707</v>
      </c>
      <c r="E15" s="243" t="s">
        <v>69</v>
      </c>
      <c r="F15" s="243" t="s">
        <v>707</v>
      </c>
      <c r="G15" s="243" t="s">
        <v>707</v>
      </c>
      <c r="H15" s="243" t="s">
        <v>707</v>
      </c>
      <c r="I15" s="243" t="s">
        <v>69</v>
      </c>
      <c r="J15" s="243">
        <v>34500</v>
      </c>
      <c r="K15" s="243">
        <v>80300</v>
      </c>
      <c r="L15" s="244">
        <v>42.9</v>
      </c>
      <c r="M15" s="244">
        <v>5.0999999999999996</v>
      </c>
      <c r="N15" s="243">
        <v>44200</v>
      </c>
      <c r="O15" s="243">
        <v>83500</v>
      </c>
      <c r="P15" s="244">
        <v>53</v>
      </c>
      <c r="Q15" s="244">
        <v>7.2</v>
      </c>
    </row>
    <row r="16" spans="1:17">
      <c r="A16" s="231" t="s">
        <v>20</v>
      </c>
      <c r="B16" s="243" t="s">
        <v>707</v>
      </c>
      <c r="C16" s="243" t="s">
        <v>707</v>
      </c>
      <c r="D16" s="243" t="s">
        <v>707</v>
      </c>
      <c r="E16" s="243" t="s">
        <v>69</v>
      </c>
      <c r="F16" s="243" t="s">
        <v>707</v>
      </c>
      <c r="G16" s="243" t="s">
        <v>707</v>
      </c>
      <c r="H16" s="243" t="s">
        <v>707</v>
      </c>
      <c r="I16" s="243" t="s">
        <v>69</v>
      </c>
      <c r="J16" s="243">
        <v>59500</v>
      </c>
      <c r="K16" s="243">
        <v>90300</v>
      </c>
      <c r="L16" s="244">
        <v>65.8</v>
      </c>
      <c r="M16" s="244">
        <v>4.7</v>
      </c>
      <c r="N16" s="243">
        <v>54100</v>
      </c>
      <c r="O16" s="243">
        <v>95200</v>
      </c>
      <c r="P16" s="244">
        <v>56.8</v>
      </c>
      <c r="Q16" s="244">
        <v>5.6</v>
      </c>
    </row>
    <row r="17" spans="1:17">
      <c r="A17" s="231" t="s">
        <v>21</v>
      </c>
      <c r="B17" s="243" t="s">
        <v>707</v>
      </c>
      <c r="C17" s="243" t="s">
        <v>707</v>
      </c>
      <c r="D17" s="243" t="s">
        <v>707</v>
      </c>
      <c r="E17" s="243" t="s">
        <v>69</v>
      </c>
      <c r="F17" s="243" t="s">
        <v>707</v>
      </c>
      <c r="G17" s="243" t="s">
        <v>707</v>
      </c>
      <c r="H17" s="243" t="s">
        <v>707</v>
      </c>
      <c r="I17" s="243" t="s">
        <v>69</v>
      </c>
      <c r="J17" s="243">
        <v>34900</v>
      </c>
      <c r="K17" s="243">
        <v>67700</v>
      </c>
      <c r="L17" s="244">
        <v>51.7</v>
      </c>
      <c r="M17" s="244">
        <v>5.0999999999999996</v>
      </c>
      <c r="N17" s="243">
        <v>35300</v>
      </c>
      <c r="O17" s="243">
        <v>68100</v>
      </c>
      <c r="P17" s="244">
        <v>51.9</v>
      </c>
      <c r="Q17" s="244">
        <v>6.5</v>
      </c>
    </row>
    <row r="18" spans="1:17">
      <c r="A18" s="231" t="s">
        <v>22</v>
      </c>
      <c r="B18" s="243" t="s">
        <v>707</v>
      </c>
      <c r="C18" s="243" t="s">
        <v>707</v>
      </c>
      <c r="D18" s="243" t="s">
        <v>707</v>
      </c>
      <c r="E18" s="243" t="s">
        <v>69</v>
      </c>
      <c r="F18" s="243" t="s">
        <v>707</v>
      </c>
      <c r="G18" s="243" t="s">
        <v>707</v>
      </c>
      <c r="H18" s="243" t="s">
        <v>707</v>
      </c>
      <c r="I18" s="243" t="s">
        <v>69</v>
      </c>
      <c r="J18" s="243">
        <v>40100</v>
      </c>
      <c r="K18" s="243">
        <v>59400</v>
      </c>
      <c r="L18" s="244">
        <v>67.5</v>
      </c>
      <c r="M18" s="244">
        <v>4.3</v>
      </c>
      <c r="N18" s="243">
        <v>38700</v>
      </c>
      <c r="O18" s="243">
        <v>58700</v>
      </c>
      <c r="P18" s="244">
        <v>65.900000000000006</v>
      </c>
      <c r="Q18" s="244">
        <v>5.2</v>
      </c>
    </row>
    <row r="19" spans="1:17">
      <c r="A19" s="231" t="s">
        <v>23</v>
      </c>
      <c r="B19" s="243" t="s">
        <v>707</v>
      </c>
      <c r="C19" s="243" t="s">
        <v>707</v>
      </c>
      <c r="D19" s="243" t="s">
        <v>707</v>
      </c>
      <c r="E19" s="243" t="s">
        <v>69</v>
      </c>
      <c r="F19" s="243" t="s">
        <v>707</v>
      </c>
      <c r="G19" s="243" t="s">
        <v>707</v>
      </c>
      <c r="H19" s="243" t="s">
        <v>707</v>
      </c>
      <c r="I19" s="243" t="s">
        <v>69</v>
      </c>
      <c r="J19" s="243">
        <v>38500</v>
      </c>
      <c r="K19" s="243">
        <v>59500</v>
      </c>
      <c r="L19" s="244">
        <v>64.599999999999994</v>
      </c>
      <c r="M19" s="244">
        <v>5.5</v>
      </c>
      <c r="N19" s="243">
        <v>36600</v>
      </c>
      <c r="O19" s="243">
        <v>64300</v>
      </c>
      <c r="P19" s="244">
        <v>56.8</v>
      </c>
      <c r="Q19" s="244">
        <v>6.6</v>
      </c>
    </row>
    <row r="20" spans="1:17">
      <c r="A20" s="231" t="s">
        <v>24</v>
      </c>
      <c r="B20" s="243" t="s">
        <v>707</v>
      </c>
      <c r="C20" s="243" t="s">
        <v>707</v>
      </c>
      <c r="D20" s="243" t="s">
        <v>707</v>
      </c>
      <c r="E20" s="243" t="s">
        <v>69</v>
      </c>
      <c r="F20" s="243" t="s">
        <v>707</v>
      </c>
      <c r="G20" s="243" t="s">
        <v>707</v>
      </c>
      <c r="H20" s="243" t="s">
        <v>707</v>
      </c>
      <c r="I20" s="243" t="s">
        <v>69</v>
      </c>
      <c r="J20" s="243">
        <v>35300</v>
      </c>
      <c r="K20" s="243">
        <v>53900</v>
      </c>
      <c r="L20" s="244">
        <v>65.599999999999994</v>
      </c>
      <c r="M20" s="244">
        <v>5.4</v>
      </c>
      <c r="N20" s="243">
        <v>38000</v>
      </c>
      <c r="O20" s="243">
        <v>54200</v>
      </c>
      <c r="P20" s="244">
        <v>70.099999999999994</v>
      </c>
      <c r="Q20" s="244">
        <v>6.4</v>
      </c>
    </row>
    <row r="21" spans="1:17">
      <c r="A21" s="231" t="s">
        <v>25</v>
      </c>
      <c r="B21" s="243" t="s">
        <v>707</v>
      </c>
      <c r="C21" s="243" t="s">
        <v>707</v>
      </c>
      <c r="D21" s="243" t="s">
        <v>707</v>
      </c>
      <c r="E21" s="243" t="s">
        <v>69</v>
      </c>
      <c r="F21" s="243" t="s">
        <v>707</v>
      </c>
      <c r="G21" s="243" t="s">
        <v>707</v>
      </c>
      <c r="H21" s="243" t="s">
        <v>707</v>
      </c>
      <c r="I21" s="243" t="s">
        <v>69</v>
      </c>
      <c r="J21" s="243">
        <v>48400</v>
      </c>
      <c r="K21" s="243">
        <v>94600</v>
      </c>
      <c r="L21" s="244">
        <v>51.1</v>
      </c>
      <c r="M21" s="244">
        <v>5.2</v>
      </c>
      <c r="N21" s="243">
        <v>44200</v>
      </c>
      <c r="O21" s="243">
        <v>95500</v>
      </c>
      <c r="P21" s="244">
        <v>46.3</v>
      </c>
      <c r="Q21" s="244">
        <v>5.8</v>
      </c>
    </row>
    <row r="22" spans="1:17">
      <c r="A22" s="231" t="s">
        <v>26</v>
      </c>
      <c r="B22" s="243" t="s">
        <v>707</v>
      </c>
      <c r="C22" s="243" t="s">
        <v>707</v>
      </c>
      <c r="D22" s="243" t="s">
        <v>707</v>
      </c>
      <c r="E22" s="243" t="s">
        <v>69</v>
      </c>
      <c r="F22" s="243" t="s">
        <v>707</v>
      </c>
      <c r="G22" s="243" t="s">
        <v>707</v>
      </c>
      <c r="H22" s="243" t="s">
        <v>707</v>
      </c>
      <c r="I22" s="243" t="s">
        <v>69</v>
      </c>
      <c r="J22" s="243">
        <v>117500</v>
      </c>
      <c r="K22" s="243">
        <v>217800</v>
      </c>
      <c r="L22" s="244">
        <v>54</v>
      </c>
      <c r="M22" s="244">
        <v>4.4000000000000004</v>
      </c>
      <c r="N22" s="243">
        <v>115300</v>
      </c>
      <c r="O22" s="243">
        <v>219600</v>
      </c>
      <c r="P22" s="244">
        <v>52.5</v>
      </c>
      <c r="Q22" s="244">
        <v>4.5</v>
      </c>
    </row>
    <row r="23" spans="1:17">
      <c r="A23" s="231" t="s">
        <v>27</v>
      </c>
      <c r="B23" s="243" t="s">
        <v>707</v>
      </c>
      <c r="C23" s="243" t="s">
        <v>707</v>
      </c>
      <c r="D23" s="243" t="s">
        <v>707</v>
      </c>
      <c r="E23" s="243" t="s">
        <v>69</v>
      </c>
      <c r="F23" s="243" t="s">
        <v>707</v>
      </c>
      <c r="G23" s="243" t="s">
        <v>707</v>
      </c>
      <c r="H23" s="243" t="s">
        <v>707</v>
      </c>
      <c r="I23" s="243" t="s">
        <v>69</v>
      </c>
      <c r="J23" s="243">
        <v>220700</v>
      </c>
      <c r="K23" s="243">
        <v>405400</v>
      </c>
      <c r="L23" s="244">
        <v>54.4</v>
      </c>
      <c r="M23" s="244">
        <v>4.2</v>
      </c>
      <c r="N23" s="243">
        <v>231800</v>
      </c>
      <c r="O23" s="243">
        <v>407500</v>
      </c>
      <c r="P23" s="244">
        <v>56.9</v>
      </c>
      <c r="Q23" s="244">
        <v>5.0999999999999996</v>
      </c>
    </row>
    <row r="24" spans="1:17">
      <c r="A24" s="231" t="s">
        <v>28</v>
      </c>
      <c r="B24" s="243" t="s">
        <v>707</v>
      </c>
      <c r="C24" s="243" t="s">
        <v>707</v>
      </c>
      <c r="D24" s="243" t="s">
        <v>707</v>
      </c>
      <c r="E24" s="243" t="s">
        <v>69</v>
      </c>
      <c r="F24" s="243" t="s">
        <v>707</v>
      </c>
      <c r="G24" s="243" t="s">
        <v>707</v>
      </c>
      <c r="H24" s="243" t="s">
        <v>707</v>
      </c>
      <c r="I24" s="243" t="s">
        <v>69</v>
      </c>
      <c r="J24" s="243">
        <v>62300</v>
      </c>
      <c r="K24" s="243">
        <v>131100</v>
      </c>
      <c r="L24" s="244">
        <v>47.5</v>
      </c>
      <c r="M24" s="244">
        <v>6.8</v>
      </c>
      <c r="N24" s="243">
        <v>69600</v>
      </c>
      <c r="O24" s="243">
        <v>143000</v>
      </c>
      <c r="P24" s="244">
        <v>48.7</v>
      </c>
      <c r="Q24" s="244">
        <v>7.4</v>
      </c>
    </row>
    <row r="25" spans="1:17">
      <c r="A25" s="231" t="s">
        <v>29</v>
      </c>
      <c r="B25" s="243" t="s">
        <v>707</v>
      </c>
      <c r="C25" s="243" t="s">
        <v>707</v>
      </c>
      <c r="D25" s="243" t="s">
        <v>707</v>
      </c>
      <c r="E25" s="243" t="s">
        <v>69</v>
      </c>
      <c r="F25" s="243" t="s">
        <v>707</v>
      </c>
      <c r="G25" s="243" t="s">
        <v>707</v>
      </c>
      <c r="H25" s="243" t="s">
        <v>707</v>
      </c>
      <c r="I25" s="243" t="s">
        <v>69</v>
      </c>
      <c r="J25" s="243">
        <v>25300</v>
      </c>
      <c r="K25" s="243">
        <v>44600</v>
      </c>
      <c r="L25" s="244">
        <v>56.7</v>
      </c>
      <c r="M25" s="244">
        <v>5.8</v>
      </c>
      <c r="N25" s="243">
        <v>21600</v>
      </c>
      <c r="O25" s="243">
        <v>44500</v>
      </c>
      <c r="P25" s="244">
        <v>48.5</v>
      </c>
      <c r="Q25" s="244">
        <v>7.5</v>
      </c>
    </row>
    <row r="26" spans="1:17">
      <c r="A26" s="231" t="s">
        <v>30</v>
      </c>
      <c r="B26" s="243" t="s">
        <v>707</v>
      </c>
      <c r="C26" s="243" t="s">
        <v>707</v>
      </c>
      <c r="D26" s="243" t="s">
        <v>707</v>
      </c>
      <c r="E26" s="243" t="s">
        <v>69</v>
      </c>
      <c r="F26" s="243" t="s">
        <v>707</v>
      </c>
      <c r="G26" s="243" t="s">
        <v>707</v>
      </c>
      <c r="H26" s="243" t="s">
        <v>707</v>
      </c>
      <c r="I26" s="243" t="s">
        <v>69</v>
      </c>
      <c r="J26" s="243">
        <v>27900</v>
      </c>
      <c r="K26" s="243">
        <v>55400</v>
      </c>
      <c r="L26" s="244">
        <v>50.4</v>
      </c>
      <c r="M26" s="244">
        <v>6.3</v>
      </c>
      <c r="N26" s="243">
        <v>32500</v>
      </c>
      <c r="O26" s="243">
        <v>54300</v>
      </c>
      <c r="P26" s="244">
        <v>59.8</v>
      </c>
      <c r="Q26" s="244">
        <v>7.6</v>
      </c>
    </row>
    <row r="27" spans="1:17">
      <c r="A27" s="231" t="s">
        <v>31</v>
      </c>
      <c r="B27" s="243" t="s">
        <v>707</v>
      </c>
      <c r="C27" s="243" t="s">
        <v>707</v>
      </c>
      <c r="D27" s="243" t="s">
        <v>707</v>
      </c>
      <c r="E27" s="243" t="s">
        <v>69</v>
      </c>
      <c r="F27" s="243" t="s">
        <v>707</v>
      </c>
      <c r="G27" s="243" t="s">
        <v>707</v>
      </c>
      <c r="H27" s="243" t="s">
        <v>707</v>
      </c>
      <c r="I27" s="243" t="s">
        <v>69</v>
      </c>
      <c r="J27" s="243">
        <v>27000</v>
      </c>
      <c r="K27" s="243">
        <v>56700</v>
      </c>
      <c r="L27" s="244">
        <v>47.6</v>
      </c>
      <c r="M27" s="244">
        <v>5.3</v>
      </c>
      <c r="N27" s="243">
        <v>30300</v>
      </c>
      <c r="O27" s="243">
        <v>59300</v>
      </c>
      <c r="P27" s="244">
        <v>51.1</v>
      </c>
      <c r="Q27" s="244">
        <v>6.4</v>
      </c>
    </row>
    <row r="28" spans="1:17">
      <c r="A28" s="231" t="s">
        <v>32</v>
      </c>
      <c r="B28" s="243" t="s">
        <v>707</v>
      </c>
      <c r="C28" s="243" t="s">
        <v>707</v>
      </c>
      <c r="D28" s="243" t="s">
        <v>707</v>
      </c>
      <c r="E28" s="243" t="s">
        <v>69</v>
      </c>
      <c r="F28" s="243" t="s">
        <v>707</v>
      </c>
      <c r="G28" s="243" t="s">
        <v>707</v>
      </c>
      <c r="H28" s="243" t="s">
        <v>707</v>
      </c>
      <c r="I28" s="243" t="s">
        <v>69</v>
      </c>
      <c r="J28" s="243">
        <v>7300</v>
      </c>
      <c r="K28" s="243">
        <v>14400</v>
      </c>
      <c r="L28" s="244">
        <v>50.6</v>
      </c>
      <c r="M28" s="244">
        <v>8.6</v>
      </c>
      <c r="N28" s="243">
        <v>7400</v>
      </c>
      <c r="O28" s="243">
        <v>14400</v>
      </c>
      <c r="P28" s="244">
        <v>51</v>
      </c>
      <c r="Q28" s="244">
        <v>11</v>
      </c>
    </row>
    <row r="29" spans="1:17">
      <c r="A29" s="231" t="s">
        <v>33</v>
      </c>
      <c r="B29" s="243" t="s">
        <v>707</v>
      </c>
      <c r="C29" s="243" t="s">
        <v>707</v>
      </c>
      <c r="D29" s="243" t="s">
        <v>707</v>
      </c>
      <c r="E29" s="243" t="s">
        <v>69</v>
      </c>
      <c r="F29" s="243" t="s">
        <v>707</v>
      </c>
      <c r="G29" s="243" t="s">
        <v>707</v>
      </c>
      <c r="H29" s="243" t="s">
        <v>707</v>
      </c>
      <c r="I29" s="243" t="s">
        <v>69</v>
      </c>
      <c r="J29" s="243">
        <v>37500</v>
      </c>
      <c r="K29" s="243">
        <v>75000</v>
      </c>
      <c r="L29" s="244">
        <v>50</v>
      </c>
      <c r="M29" s="244">
        <v>5</v>
      </c>
      <c r="N29" s="243">
        <v>41800</v>
      </c>
      <c r="O29" s="243">
        <v>77000</v>
      </c>
      <c r="P29" s="244">
        <v>54.3</v>
      </c>
      <c r="Q29" s="244">
        <v>6.3</v>
      </c>
    </row>
    <row r="30" spans="1:17">
      <c r="A30" s="231" t="s">
        <v>34</v>
      </c>
      <c r="B30" s="243" t="s">
        <v>707</v>
      </c>
      <c r="C30" s="243" t="s">
        <v>707</v>
      </c>
      <c r="D30" s="243" t="s">
        <v>707</v>
      </c>
      <c r="E30" s="243" t="s">
        <v>69</v>
      </c>
      <c r="F30" s="243" t="s">
        <v>707</v>
      </c>
      <c r="G30" s="243" t="s">
        <v>707</v>
      </c>
      <c r="H30" s="243" t="s">
        <v>707</v>
      </c>
      <c r="I30" s="243" t="s">
        <v>69</v>
      </c>
      <c r="J30" s="243">
        <v>81100</v>
      </c>
      <c r="K30" s="243">
        <v>212200</v>
      </c>
      <c r="L30" s="244">
        <v>38.200000000000003</v>
      </c>
      <c r="M30" s="244">
        <v>5</v>
      </c>
      <c r="N30" s="243">
        <v>92500</v>
      </c>
      <c r="O30" s="243">
        <v>209900</v>
      </c>
      <c r="P30" s="244">
        <v>44.1</v>
      </c>
      <c r="Q30" s="244">
        <v>5.9</v>
      </c>
    </row>
    <row r="31" spans="1:17">
      <c r="A31" s="231" t="s">
        <v>35</v>
      </c>
      <c r="B31" s="243" t="s">
        <v>707</v>
      </c>
      <c r="C31" s="243" t="s">
        <v>707</v>
      </c>
      <c r="D31" s="243" t="s">
        <v>707</v>
      </c>
      <c r="E31" s="243" t="s">
        <v>69</v>
      </c>
      <c r="F31" s="243" t="s">
        <v>707</v>
      </c>
      <c r="G31" s="243" t="s">
        <v>707</v>
      </c>
      <c r="H31" s="243" t="s">
        <v>707</v>
      </c>
      <c r="I31" s="243" t="s">
        <v>69</v>
      </c>
      <c r="J31" s="243">
        <v>6300</v>
      </c>
      <c r="K31" s="243">
        <v>12100</v>
      </c>
      <c r="L31" s="244">
        <v>52.4</v>
      </c>
      <c r="M31" s="244">
        <v>17.600000000000001</v>
      </c>
      <c r="N31" s="243">
        <v>4500</v>
      </c>
      <c r="O31" s="243">
        <v>13000</v>
      </c>
      <c r="P31" s="244">
        <v>34.6</v>
      </c>
      <c r="Q31" s="243" t="s">
        <v>10</v>
      </c>
    </row>
    <row r="32" spans="1:17">
      <c r="A32" s="231" t="s">
        <v>36</v>
      </c>
      <c r="B32" s="243" t="s">
        <v>707</v>
      </c>
      <c r="C32" s="243" t="s">
        <v>707</v>
      </c>
      <c r="D32" s="243" t="s">
        <v>707</v>
      </c>
      <c r="E32" s="243" t="s">
        <v>69</v>
      </c>
      <c r="F32" s="243" t="s">
        <v>707</v>
      </c>
      <c r="G32" s="243" t="s">
        <v>707</v>
      </c>
      <c r="H32" s="243" t="s">
        <v>707</v>
      </c>
      <c r="I32" s="243" t="s">
        <v>69</v>
      </c>
      <c r="J32" s="243">
        <v>52100</v>
      </c>
      <c r="K32" s="243">
        <v>88200</v>
      </c>
      <c r="L32" s="244">
        <v>59</v>
      </c>
      <c r="M32" s="244">
        <v>4.8</v>
      </c>
      <c r="N32" s="243">
        <v>58000</v>
      </c>
      <c r="O32" s="243">
        <v>90300</v>
      </c>
      <c r="P32" s="244">
        <v>64.2</v>
      </c>
      <c r="Q32" s="244">
        <v>5.6</v>
      </c>
    </row>
    <row r="33" spans="1:21">
      <c r="A33" s="231" t="s">
        <v>37</v>
      </c>
      <c r="B33" s="243" t="s">
        <v>707</v>
      </c>
      <c r="C33" s="243" t="s">
        <v>707</v>
      </c>
      <c r="D33" s="243" t="s">
        <v>707</v>
      </c>
      <c r="E33" s="243" t="s">
        <v>69</v>
      </c>
      <c r="F33" s="243" t="s">
        <v>707</v>
      </c>
      <c r="G33" s="243" t="s">
        <v>707</v>
      </c>
      <c r="H33" s="243" t="s">
        <v>707</v>
      </c>
      <c r="I33" s="243" t="s">
        <v>69</v>
      </c>
      <c r="J33" s="243">
        <v>58200</v>
      </c>
      <c r="K33" s="243">
        <v>106100</v>
      </c>
      <c r="L33" s="244">
        <v>54.8</v>
      </c>
      <c r="M33" s="244">
        <v>5.5</v>
      </c>
      <c r="N33" s="243">
        <v>67300</v>
      </c>
      <c r="O33" s="243">
        <v>107100</v>
      </c>
      <c r="P33" s="244">
        <v>62.9</v>
      </c>
      <c r="Q33" s="244">
        <v>5.9</v>
      </c>
    </row>
    <row r="34" spans="1:21">
      <c r="A34" s="231" t="s">
        <v>38</v>
      </c>
      <c r="B34" s="243" t="s">
        <v>707</v>
      </c>
      <c r="C34" s="243" t="s">
        <v>707</v>
      </c>
      <c r="D34" s="243" t="s">
        <v>707</v>
      </c>
      <c r="E34" s="243" t="s">
        <v>69</v>
      </c>
      <c r="F34" s="243" t="s">
        <v>707</v>
      </c>
      <c r="G34" s="243" t="s">
        <v>707</v>
      </c>
      <c r="H34" s="243" t="s">
        <v>707</v>
      </c>
      <c r="I34" s="243" t="s">
        <v>69</v>
      </c>
      <c r="J34" s="243">
        <v>31800</v>
      </c>
      <c r="K34" s="243">
        <v>63900</v>
      </c>
      <c r="L34" s="244">
        <v>49.7</v>
      </c>
      <c r="M34" s="244">
        <v>5.0999999999999996</v>
      </c>
      <c r="N34" s="243">
        <v>30400</v>
      </c>
      <c r="O34" s="243">
        <v>63700</v>
      </c>
      <c r="P34" s="244">
        <v>47.6</v>
      </c>
      <c r="Q34" s="244">
        <v>6.5</v>
      </c>
    </row>
    <row r="35" spans="1:21">
      <c r="A35" s="231" t="s">
        <v>39</v>
      </c>
      <c r="B35" s="243" t="s">
        <v>707</v>
      </c>
      <c r="C35" s="243" t="s">
        <v>707</v>
      </c>
      <c r="D35" s="243" t="s">
        <v>707</v>
      </c>
      <c r="E35" s="243" t="s">
        <v>69</v>
      </c>
      <c r="F35" s="243" t="s">
        <v>707</v>
      </c>
      <c r="G35" s="243" t="s">
        <v>707</v>
      </c>
      <c r="H35" s="243" t="s">
        <v>707</v>
      </c>
      <c r="I35" s="243" t="s">
        <v>69</v>
      </c>
      <c r="J35" s="243">
        <v>6400</v>
      </c>
      <c r="K35" s="243">
        <v>14000</v>
      </c>
      <c r="L35" s="244">
        <v>45.8</v>
      </c>
      <c r="M35" s="244">
        <v>16.7</v>
      </c>
      <c r="N35" s="243">
        <v>5500</v>
      </c>
      <c r="O35" s="243">
        <v>14200</v>
      </c>
      <c r="P35" s="244">
        <v>39.1</v>
      </c>
      <c r="Q35" s="244">
        <v>17.2</v>
      </c>
    </row>
    <row r="36" spans="1:21">
      <c r="A36" s="231" t="s">
        <v>40</v>
      </c>
      <c r="B36" s="243" t="s">
        <v>707</v>
      </c>
      <c r="C36" s="243" t="s">
        <v>707</v>
      </c>
      <c r="D36" s="243" t="s">
        <v>707</v>
      </c>
      <c r="E36" s="243" t="s">
        <v>69</v>
      </c>
      <c r="F36" s="243" t="s">
        <v>707</v>
      </c>
      <c r="G36" s="243" t="s">
        <v>707</v>
      </c>
      <c r="H36" s="243" t="s">
        <v>707</v>
      </c>
      <c r="I36" s="243" t="s">
        <v>69</v>
      </c>
      <c r="J36" s="243">
        <v>31000</v>
      </c>
      <c r="K36" s="243">
        <v>60800</v>
      </c>
      <c r="L36" s="244">
        <v>51</v>
      </c>
      <c r="M36" s="244">
        <v>5.5</v>
      </c>
      <c r="N36" s="243">
        <v>30500</v>
      </c>
      <c r="O36" s="243">
        <v>61800</v>
      </c>
      <c r="P36" s="244">
        <v>49.4</v>
      </c>
      <c r="Q36" s="244">
        <v>6.7</v>
      </c>
    </row>
    <row r="37" spans="1:21">
      <c r="A37" s="231" t="s">
        <v>41</v>
      </c>
      <c r="B37" s="243" t="s">
        <v>707</v>
      </c>
      <c r="C37" s="243" t="s">
        <v>707</v>
      </c>
      <c r="D37" s="243" t="s">
        <v>707</v>
      </c>
      <c r="E37" s="243" t="s">
        <v>69</v>
      </c>
      <c r="F37" s="243" t="s">
        <v>707</v>
      </c>
      <c r="G37" s="243" t="s">
        <v>707</v>
      </c>
      <c r="H37" s="243" t="s">
        <v>707</v>
      </c>
      <c r="I37" s="243" t="s">
        <v>69</v>
      </c>
      <c r="J37" s="243">
        <v>92000</v>
      </c>
      <c r="K37" s="243">
        <v>186900</v>
      </c>
      <c r="L37" s="244">
        <v>49.2</v>
      </c>
      <c r="M37" s="244">
        <v>4.8</v>
      </c>
      <c r="N37" s="243">
        <v>91600</v>
      </c>
      <c r="O37" s="243">
        <v>187500</v>
      </c>
      <c r="P37" s="244">
        <v>48.9</v>
      </c>
      <c r="Q37" s="244">
        <v>5.8</v>
      </c>
    </row>
    <row r="38" spans="1:21">
      <c r="A38" s="231" t="s">
        <v>42</v>
      </c>
      <c r="B38" s="243" t="s">
        <v>707</v>
      </c>
      <c r="C38" s="243" t="s">
        <v>707</v>
      </c>
      <c r="D38" s="243" t="s">
        <v>707</v>
      </c>
      <c r="E38" s="243" t="s">
        <v>69</v>
      </c>
      <c r="F38" s="243" t="s">
        <v>707</v>
      </c>
      <c r="G38" s="243" t="s">
        <v>707</v>
      </c>
      <c r="H38" s="243" t="s">
        <v>707</v>
      </c>
      <c r="I38" s="243" t="s">
        <v>69</v>
      </c>
      <c r="J38" s="243">
        <v>33600</v>
      </c>
      <c r="K38" s="243">
        <v>55700</v>
      </c>
      <c r="L38" s="244">
        <v>60.3</v>
      </c>
      <c r="M38" s="244">
        <v>4.7</v>
      </c>
      <c r="N38" s="243">
        <v>37800</v>
      </c>
      <c r="O38" s="243">
        <v>58600</v>
      </c>
      <c r="P38" s="244">
        <v>64.5</v>
      </c>
      <c r="Q38" s="244">
        <v>5.2</v>
      </c>
    </row>
    <row r="39" spans="1:21">
      <c r="A39" s="231" t="s">
        <v>43</v>
      </c>
      <c r="B39" s="243" t="s">
        <v>707</v>
      </c>
      <c r="C39" s="243" t="s">
        <v>707</v>
      </c>
      <c r="D39" s="243" t="s">
        <v>707</v>
      </c>
      <c r="E39" s="243" t="s">
        <v>69</v>
      </c>
      <c r="F39" s="243" t="s">
        <v>707</v>
      </c>
      <c r="G39" s="243" t="s">
        <v>707</v>
      </c>
      <c r="H39" s="243" t="s">
        <v>707</v>
      </c>
      <c r="I39" s="243" t="s">
        <v>69</v>
      </c>
      <c r="J39" s="243">
        <v>24500</v>
      </c>
      <c r="K39" s="243">
        <v>52100</v>
      </c>
      <c r="L39" s="244">
        <v>46.9</v>
      </c>
      <c r="M39" s="244">
        <v>5.0999999999999996</v>
      </c>
      <c r="N39" s="243">
        <v>22300</v>
      </c>
      <c r="O39" s="243">
        <v>50600</v>
      </c>
      <c r="P39" s="244">
        <v>44.1</v>
      </c>
      <c r="Q39" s="244">
        <v>5.6</v>
      </c>
    </row>
    <row r="40" spans="1:21">
      <c r="A40" s="231" t="s">
        <v>44</v>
      </c>
      <c r="B40" s="243" t="s">
        <v>707</v>
      </c>
      <c r="C40" s="243" t="s">
        <v>707</v>
      </c>
      <c r="D40" s="243" t="s">
        <v>707</v>
      </c>
      <c r="E40" s="243" t="s">
        <v>69</v>
      </c>
      <c r="F40" s="243" t="s">
        <v>707</v>
      </c>
      <c r="G40" s="243" t="s">
        <v>707</v>
      </c>
      <c r="H40" s="243" t="s">
        <v>707</v>
      </c>
      <c r="I40" s="243" t="s">
        <v>69</v>
      </c>
      <c r="J40" s="243">
        <v>54700</v>
      </c>
      <c r="K40" s="243">
        <v>106800</v>
      </c>
      <c r="L40" s="244">
        <v>51.2</v>
      </c>
      <c r="M40" s="244">
        <v>5.0999999999999996</v>
      </c>
      <c r="N40" s="243">
        <v>58500</v>
      </c>
      <c r="O40" s="243">
        <v>112200</v>
      </c>
      <c r="P40" s="244">
        <v>52.1</v>
      </c>
      <c r="Q40" s="244">
        <v>5.9</v>
      </c>
    </row>
    <row r="41" spans="1:21">
      <c r="A41" s="231" t="s">
        <v>45</v>
      </c>
      <c r="B41" s="243" t="s">
        <v>707</v>
      </c>
      <c r="C41" s="243" t="s">
        <v>707</v>
      </c>
      <c r="D41" s="243" t="s">
        <v>707</v>
      </c>
      <c r="E41" s="243" t="s">
        <v>69</v>
      </c>
      <c r="F41" s="243" t="s">
        <v>707</v>
      </c>
      <c r="G41" s="243" t="s">
        <v>707</v>
      </c>
      <c r="H41" s="243" t="s">
        <v>707</v>
      </c>
      <c r="I41" s="243" t="s">
        <v>69</v>
      </c>
      <c r="J41" s="243">
        <v>1770300</v>
      </c>
      <c r="K41" s="243">
        <v>3264800</v>
      </c>
      <c r="L41" s="244">
        <v>54.2</v>
      </c>
      <c r="M41" s="244">
        <v>0.9</v>
      </c>
      <c r="N41" s="243">
        <v>1831700</v>
      </c>
      <c r="O41" s="243">
        <v>3326500</v>
      </c>
      <c r="P41" s="244">
        <v>55.1</v>
      </c>
      <c r="Q41" s="244">
        <v>1.1000000000000001</v>
      </c>
      <c r="R41" s="387"/>
      <c r="S41" s="387"/>
      <c r="T41" s="387"/>
      <c r="U41" s="387"/>
    </row>
    <row r="42" spans="1:21">
      <c r="A42" s="231" t="s">
        <v>46</v>
      </c>
      <c r="B42" s="243" t="s">
        <v>707</v>
      </c>
      <c r="C42" s="243" t="s">
        <v>707</v>
      </c>
      <c r="D42" s="243" t="s">
        <v>707</v>
      </c>
      <c r="E42" s="243" t="s">
        <v>69</v>
      </c>
      <c r="F42" s="243" t="s">
        <v>707</v>
      </c>
      <c r="G42" s="243" t="s">
        <v>707</v>
      </c>
      <c r="H42" s="243" t="s">
        <v>707</v>
      </c>
      <c r="I42" s="243" t="s">
        <v>69</v>
      </c>
      <c r="J42" s="243">
        <v>18067600</v>
      </c>
      <c r="K42" s="243">
        <v>39690400</v>
      </c>
      <c r="L42" s="244">
        <v>45.5</v>
      </c>
      <c r="M42" s="244">
        <v>0.3</v>
      </c>
      <c r="N42" s="243">
        <v>19134600</v>
      </c>
      <c r="O42" s="243">
        <v>40657400</v>
      </c>
      <c r="P42" s="244">
        <v>47.1</v>
      </c>
      <c r="Q42" s="244">
        <v>0.4</v>
      </c>
    </row>
    <row r="43" spans="1:21">
      <c r="A43" s="231" t="s">
        <v>47</v>
      </c>
      <c r="B43" s="243" t="s">
        <v>707</v>
      </c>
      <c r="C43" s="243" t="s">
        <v>707</v>
      </c>
      <c r="D43" s="243" t="s">
        <v>707</v>
      </c>
      <c r="E43" s="243" t="s">
        <v>69</v>
      </c>
      <c r="F43" s="243" t="s">
        <v>707</v>
      </c>
      <c r="G43" s="243" t="s">
        <v>707</v>
      </c>
      <c r="H43" s="243" t="s">
        <v>707</v>
      </c>
      <c r="I43" s="243" t="s">
        <v>69</v>
      </c>
      <c r="J43" s="243">
        <v>577100</v>
      </c>
      <c r="K43" s="243">
        <v>1120600</v>
      </c>
      <c r="L43" s="244">
        <v>51.5</v>
      </c>
      <c r="M43" s="244">
        <v>1.8</v>
      </c>
      <c r="N43" s="243">
        <v>603900</v>
      </c>
      <c r="O43" s="243">
        <v>1119900</v>
      </c>
      <c r="P43" s="244">
        <v>53.9</v>
      </c>
      <c r="Q43" s="244">
        <v>2.1</v>
      </c>
    </row>
    <row r="44" spans="1:21">
      <c r="A44" s="6" t="s">
        <v>543</v>
      </c>
      <c r="B44" s="385" cm="1">
        <f t="array" ref="B44">SUM(SUMIFS(B$9:B$41,$A$9:$A$41,{"Na h-Eileanan Siar","Argyll and Bute","Shetland Islands","Highland","Orkney Islands","Scottish Borders","Dumfries and Galloway","Aberdeenshire"}))</f>
        <v>0</v>
      </c>
      <c r="C44" s="385">
        <f>SUM(SUMIFS(C$9:C$41,$A$9:$A$41,{"Na h-Eileanan Siar","Argyll and Bute","Shetland Islands","Highland","Orkney Islands","Scottish Borders","Dumfries and Galloway","Aberdeenshire"}))</f>
        <v>0</v>
      </c>
      <c r="D44" s="389" t="e">
        <f>SUM(B44/C44)*100</f>
        <v>#DIV/0!</v>
      </c>
      <c r="E44" s="9"/>
      <c r="F44" s="385">
        <f>SUM(SUMIFS(F$9:F$41,$A$9:$A$41,{"Na h-Eileanan Siar","Argyll and Bute","Shetland Islands","Highland","Orkney Islands","Scottish Borders","Dumfries and Galloway","Aberdeenshire"}))</f>
        <v>0</v>
      </c>
      <c r="G44" s="385">
        <f>SUM(SUMIFS(G$9:G$41,$A$9:$A$41,{"Na h-Eileanan Siar","Argyll and Bute","Shetland Islands","Highland","Orkney Islands","Scottish Borders","Dumfries and Galloway","Aberdeenshire"}))</f>
        <v>0</v>
      </c>
      <c r="H44" s="389" t="e">
        <f>SUM(F44/G44)*100</f>
        <v>#DIV/0!</v>
      </c>
      <c r="I44" s="9"/>
      <c r="J44" s="385">
        <f>SUM(SUMIFS(J$9:J$41,$A$9:$A$41,{"Na h-Eileanan Siar","Argyll and Bute","Shetland Islands","Highland","Orkney Islands","Scottish Borders","Dumfries and Galloway","Aberdeenshire"}))</f>
        <v>246900</v>
      </c>
      <c r="K44" s="385">
        <f>SUM(SUMIFS(K$9:K$41,$A$9:$A$41,{"Na h-Eileanan Siar","Argyll and Bute","Shetland Islands","Highland","Orkney Islands","Scottish Borders","Dumfries and Galloway","Aberdeenshire"}))</f>
        <v>519600</v>
      </c>
      <c r="L44" s="389">
        <f>SUM(J44/K44)*100</f>
        <v>47.517321016166278</v>
      </c>
      <c r="M44" s="9"/>
      <c r="N44" s="385" cm="1">
        <f t="array" ref="N44">SUM(SUMIFS(N$9:N$41,$A$9:$A$41,{"Na h-Eileanan Siar","Argyll and Bute","Shetland Islands","Highland","Orkney Islands","Scottish Borders","Dumfries and Galloway","Aberdeenshire"}))</f>
        <v>267200</v>
      </c>
      <c r="O44" s="385">
        <f>SUM(SUMIFS(O$9:O$41,$A$9:$A$41,{"Na h-Eileanan Siar","Argyll and Bute","Shetland Islands","Highland","Orkney Islands","Scottish Borders","Dumfries and Galloway","Aberdeenshire"}))</f>
        <v>543600</v>
      </c>
      <c r="P44" s="389">
        <f>SUM(N44/O44)*100</f>
        <v>49.153789551140541</v>
      </c>
      <c r="Q44" s="9"/>
    </row>
    <row r="45" spans="1:21">
      <c r="A45" s="6" t="s">
        <v>544</v>
      </c>
      <c r="B45" s="385">
        <f>SUM(SUMIFS(B$9:B$41,$A$9:$A$41,{"Perth and Kinross","Stirling","Moray","South Ayrshire","East Ayrshire","East Lothian","North Ayrshire","Fife"}))</f>
        <v>0</v>
      </c>
      <c r="C45" s="385">
        <f>SUM(SUMIFS(C$9:C$41,$A$9:$A$41,{"Perth and Kinross","Stirling","Moray","South Ayrshire","East Ayrshire","East Lothian","North Ayrshire","Fife"}))</f>
        <v>0</v>
      </c>
      <c r="D45" s="389" t="e">
        <f>SUM(B45/C45)*100</f>
        <v>#DIV/0!</v>
      </c>
      <c r="E45" s="9"/>
      <c r="F45" s="385">
        <f>SUM(SUMIFS(F$9:F$41,$A$9:$A$41,{"Perth and Kinross","Stirling","Moray","South Ayrshire","East Ayrshire","East Lothian","North Ayrshire","Fife"}))</f>
        <v>0</v>
      </c>
      <c r="G45" s="385">
        <f>SUM(SUMIFS(G$9:G$41,$A$9:$A$41,{"Perth and Kinross","Stirling","Moray","South Ayrshire","East Ayrshire","East Lothian","North Ayrshire","Fife"}))</f>
        <v>0</v>
      </c>
      <c r="H45" s="389" t="e">
        <f>SUM(F45/G45)*100</f>
        <v>#DIV/0!</v>
      </c>
      <c r="I45" s="9"/>
      <c r="J45" s="385">
        <f>SUM(SUMIFS(J$9:J$41,$A$9:$A$41,{"Perth and Kinross","Stirling","Moray","South Ayrshire","East Ayrshire","East Lothian","North Ayrshire","Fife"}))</f>
        <v>372100</v>
      </c>
      <c r="K45" s="385">
        <f>SUM(SUMIFS(K$9:K$41,$A$9:$A$41,{"Perth and Kinross","Stirling","Moray","South Ayrshire","East Ayrshire","East Lothian","North Ayrshire","Fife"}))</f>
        <v>681400</v>
      </c>
      <c r="L45" s="389">
        <f>SUM(J45/K45)*100</f>
        <v>54.608159671265042</v>
      </c>
      <c r="M45" s="9"/>
      <c r="N45" s="385">
        <f>SUM(SUMIFS(N$9:N$41,$A$9:$A$41,{"Perth and Kinross","Stirling","Moray","South Ayrshire","East Ayrshire","East Lothian","North Ayrshire","Fife"}))</f>
        <v>385600</v>
      </c>
      <c r="O45" s="385">
        <f>SUM(SUMIFS(O$9:O$41,$A$9:$A$41,{"Perth and Kinross","Stirling","Moray","South Ayrshire","East Ayrshire","East Lothian","North Ayrshire","Fife"}))</f>
        <v>699000</v>
      </c>
      <c r="P45" s="389">
        <f>SUM(N45/O45)*100</f>
        <v>55.164520743919887</v>
      </c>
      <c r="Q45" s="9"/>
    </row>
    <row r="46" spans="1:21">
      <c r="A46" s="6" t="s">
        <v>545</v>
      </c>
      <c r="B46" s="385">
        <f>SUM(SUMIFS(B$9:B$41,$A$9:$A$41,{"Angus","Clackmannanshire","Midlothian","South Lanarkshire","Inverclyde","Renfrewshire","West Lothian","East Renfrewshire"}))</f>
        <v>0</v>
      </c>
      <c r="C46" s="385">
        <f>SUM(SUMIFS(C$9:C$41,$A$9:$A$41,{"Angus","Clackmannanshire","Midlothian","South Lanarkshire","Inverclyde","Renfrewshire","West Lothian","East Renfrewshire"}))</f>
        <v>0</v>
      </c>
      <c r="D46" s="389" t="e">
        <f>SUM(B46/C46)*100</f>
        <v>#DIV/0!</v>
      </c>
      <c r="E46" s="9"/>
      <c r="F46" s="385">
        <f>SUM(SUMIFS(F$9:F$41,$A$9:$A$41,{"Angus","Clackmannanshire","Midlothian","South Lanarkshire","Inverclyde","Renfrewshire","West Lothian","East Renfrewshire"}))</f>
        <v>0</v>
      </c>
      <c r="G46" s="385">
        <f>SUM(SUMIFS(G$9:G$41,$A$9:$A$41,{"Angus","Clackmannanshire","Midlothian","South Lanarkshire","Inverclyde","Renfrewshire","West Lothian","East Renfrewshire"}))</f>
        <v>0</v>
      </c>
      <c r="H46" s="389" t="e">
        <f>SUM(F46/G46)*100</f>
        <v>#DIV/0!</v>
      </c>
      <c r="I46" s="9"/>
      <c r="J46" s="385">
        <f>SUM(SUMIFS(J$9:J$41,$A$9:$A$41,{"Angus","Clackmannanshire","Midlothian","South Lanarkshire","Inverclyde","Renfrewshire","West Lothian","East Renfrewshire"}))</f>
        <v>342400</v>
      </c>
      <c r="K46" s="385">
        <f>SUM(SUMIFS(K$9:K$41,$A$9:$A$41,{"Angus","Clackmannanshire","Midlothian","South Lanarkshire","Inverclyde","Renfrewshire","West Lothian","East Renfrewshire"}))</f>
        <v>651900</v>
      </c>
      <c r="L46" s="389">
        <f>SUM(J46/K46)*100</f>
        <v>52.523393158459882</v>
      </c>
      <c r="M46" s="9"/>
      <c r="N46" s="385">
        <f>SUM(SUMIFS(N$9:N$41,$A$9:$A$41,{"Angus","Clackmannanshire","Midlothian","South Lanarkshire","Inverclyde","Renfrewshire","West Lothian","East Renfrewshire"}))</f>
        <v>355300</v>
      </c>
      <c r="O46" s="385">
        <f>SUM(SUMIFS(O$9:O$41,$A$9:$A$41,{"Angus","Clackmannanshire","Midlothian","South Lanarkshire","Inverclyde","Renfrewshire","West Lothian","East Renfrewshire"}))</f>
        <v>660100</v>
      </c>
      <c r="P46" s="389">
        <f>SUM(N46/O46)*100</f>
        <v>53.82517800333283</v>
      </c>
      <c r="Q46" s="9"/>
    </row>
    <row r="47" spans="1:21">
      <c r="A47" s="6" t="s">
        <v>546</v>
      </c>
      <c r="B47" s="385">
        <f>SUM(SUMIFS(B$9:B$41,$A$9:$A$41,{"North Lanarkshire","Falkirk","East Dunbartonshire","Aberdeen City","Edinburgh, City of","West Dunbartonshire","Dundee City","Glasgow City"}))</f>
        <v>0</v>
      </c>
      <c r="C47" s="385">
        <f>SUM(SUMIFS(C$9:C$41,$A$9:$A$41,{"North Lanarkshire","Falkirk","East Dunbartonshire","Aberdeen City","Edinburgh, City of","West Dunbartonshire","Dundee City","Glasgow City"}))</f>
        <v>0</v>
      </c>
      <c r="D47" s="389" t="e">
        <f>SUM(B47/C47)*100</f>
        <v>#DIV/0!</v>
      </c>
      <c r="E47" s="9"/>
      <c r="F47" s="385">
        <f>SUM(SUMIFS(F$9:F$41,$A$9:$A$41,{"North Lanarkshire","Falkirk","East Dunbartonshire","Aberdeen City","Edinburgh, City of","West Dunbartonshire","Dundee City","Glasgow City"}))</f>
        <v>0</v>
      </c>
      <c r="G47" s="385">
        <f>SUM(SUMIFS(G$9:G$41,$A$9:$A$41,{"North Lanarkshire","Falkirk","East Dunbartonshire","Aberdeen City","Edinburgh, City of","West Dunbartonshire","Dundee City","Glasgow City"}))</f>
        <v>0</v>
      </c>
      <c r="H47" s="389" t="e">
        <f>SUM(F47/G47)*100</f>
        <v>#DIV/0!</v>
      </c>
      <c r="I47" s="9"/>
      <c r="J47" s="385">
        <f>SUM(SUMIFS(J$9:J$41,$A$9:$A$41,{"North Lanarkshire","Falkirk","East Dunbartonshire","Aberdeen City","Edinburgh, City of","West Dunbartonshire","Dundee City","Glasgow City"}))</f>
        <v>808900</v>
      </c>
      <c r="K47" s="385">
        <f>SUM(SUMIFS(K$9:K$41,$A$9:$A$41,{"North Lanarkshire","Falkirk","East Dunbartonshire","Aberdeen City","Edinburgh, City of","West Dunbartonshire","Dundee City","Glasgow City"}))</f>
        <v>1411900</v>
      </c>
      <c r="L47" s="389">
        <f>SUM(J47/K47)*100</f>
        <v>57.291592889014794</v>
      </c>
      <c r="M47" s="9"/>
      <c r="N47" s="385">
        <f>SUM(SUMIFS(N$9:N$41,$A$9:$A$41,{"North Lanarkshire","Falkirk","East Dunbartonshire","Aberdeen City","Edinburgh, City of","West Dunbartonshire","Dundee City","Glasgow City"}))</f>
        <v>823600</v>
      </c>
      <c r="O47" s="385">
        <f>SUM(SUMIFS(O$9:O$41,$A$9:$A$41,{"North Lanarkshire","Falkirk","East Dunbartonshire","Aberdeen City","Edinburgh, City of","West Dunbartonshire","Dundee City","Glasgow City"}))</f>
        <v>1423900</v>
      </c>
      <c r="P47" s="389">
        <f>SUM(N47/O47)*100</f>
        <v>57.841140529531565</v>
      </c>
      <c r="Q47" s="9"/>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autoPageBreaks="0"/>
  </sheetPr>
  <dimension ref="A1:Q52"/>
  <sheetViews>
    <sheetView zoomScale="59" workbookViewId="0"/>
  </sheetViews>
  <sheetFormatPr defaultColWidth="8.7265625" defaultRowHeight="14.5"/>
  <cols>
    <col min="1" max="1" width="24.1796875" customWidth="1"/>
  </cols>
  <sheetData>
    <row r="1" spans="1:17" ht="15.5">
      <c r="A1" s="229" t="s">
        <v>0</v>
      </c>
    </row>
    <row r="2" spans="1:17">
      <c r="A2" s="230" t="s">
        <v>597</v>
      </c>
    </row>
    <row r="4" spans="1:17">
      <c r="A4" s="231" t="s">
        <v>1</v>
      </c>
      <c r="B4" s="231" t="s">
        <v>2</v>
      </c>
    </row>
    <row r="5" spans="1:17">
      <c r="A5" s="231" t="s">
        <v>3</v>
      </c>
      <c r="B5" s="231" t="s">
        <v>208</v>
      </c>
    </row>
    <row r="7" spans="1:17" ht="22" customHeight="1">
      <c r="A7" s="232" t="s">
        <v>5</v>
      </c>
      <c r="B7" s="603" t="s">
        <v>525</v>
      </c>
      <c r="C7" s="604"/>
      <c r="D7" s="604"/>
      <c r="E7" s="604"/>
      <c r="F7" s="603" t="s">
        <v>598</v>
      </c>
      <c r="G7" s="604"/>
      <c r="H7" s="604"/>
      <c r="I7" s="604"/>
      <c r="J7" s="603" t="s">
        <v>705</v>
      </c>
      <c r="K7" s="604"/>
      <c r="L7" s="604"/>
      <c r="M7" s="604"/>
      <c r="N7" s="603" t="s">
        <v>754</v>
      </c>
      <c r="O7" s="604"/>
      <c r="P7" s="604"/>
      <c r="Q7" s="604"/>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231" t="s">
        <v>14</v>
      </c>
      <c r="B9" s="243" t="s">
        <v>707</v>
      </c>
      <c r="C9" s="243" t="s">
        <v>707</v>
      </c>
      <c r="D9" s="243" t="s">
        <v>707</v>
      </c>
      <c r="E9" s="243" t="s">
        <v>69</v>
      </c>
      <c r="F9" s="243" t="s">
        <v>707</v>
      </c>
      <c r="G9" s="243" t="s">
        <v>707</v>
      </c>
      <c r="H9" s="243" t="s">
        <v>707</v>
      </c>
      <c r="I9" s="243" t="s">
        <v>69</v>
      </c>
      <c r="J9" s="243">
        <v>7000</v>
      </c>
      <c r="K9" s="243">
        <v>153200</v>
      </c>
      <c r="L9" s="244">
        <v>4.5999999999999996</v>
      </c>
      <c r="M9" s="244">
        <v>2.2000000000000002</v>
      </c>
      <c r="N9" s="243">
        <v>3300</v>
      </c>
      <c r="O9" s="243">
        <v>156700</v>
      </c>
      <c r="P9" s="244">
        <v>2.1</v>
      </c>
      <c r="Q9" s="243" t="s">
        <v>10</v>
      </c>
    </row>
    <row r="10" spans="1:17">
      <c r="A10" s="231" t="s">
        <v>15</v>
      </c>
      <c r="B10" s="243" t="s">
        <v>707</v>
      </c>
      <c r="C10" s="243" t="s">
        <v>707</v>
      </c>
      <c r="D10" s="243" t="s">
        <v>707</v>
      </c>
      <c r="E10" s="243" t="s">
        <v>69</v>
      </c>
      <c r="F10" s="243" t="s">
        <v>707</v>
      </c>
      <c r="G10" s="243" t="s">
        <v>707</v>
      </c>
      <c r="H10" s="243" t="s">
        <v>707</v>
      </c>
      <c r="I10" s="243" t="s">
        <v>69</v>
      </c>
      <c r="J10" s="243">
        <v>11800</v>
      </c>
      <c r="K10" s="243">
        <v>156600</v>
      </c>
      <c r="L10" s="244">
        <v>7.5</v>
      </c>
      <c r="M10" s="244">
        <v>2.7</v>
      </c>
      <c r="N10" s="243">
        <v>11300</v>
      </c>
      <c r="O10" s="243">
        <v>164900</v>
      </c>
      <c r="P10" s="244">
        <v>6.9</v>
      </c>
      <c r="Q10" s="244">
        <v>3.1</v>
      </c>
    </row>
    <row r="11" spans="1:17">
      <c r="A11" s="231" t="s">
        <v>16</v>
      </c>
      <c r="B11" s="243" t="s">
        <v>707</v>
      </c>
      <c r="C11" s="243" t="s">
        <v>707</v>
      </c>
      <c r="D11" s="243" t="s">
        <v>707</v>
      </c>
      <c r="E11" s="243" t="s">
        <v>69</v>
      </c>
      <c r="F11" s="243" t="s">
        <v>707</v>
      </c>
      <c r="G11" s="243" t="s">
        <v>707</v>
      </c>
      <c r="H11" s="243" t="s">
        <v>707</v>
      </c>
      <c r="I11" s="243" t="s">
        <v>69</v>
      </c>
      <c r="J11" s="243">
        <v>3500</v>
      </c>
      <c r="K11" s="243">
        <v>67700</v>
      </c>
      <c r="L11" s="244">
        <v>5.2</v>
      </c>
      <c r="M11" s="244">
        <v>2.2000000000000002</v>
      </c>
      <c r="N11" s="243">
        <v>4900</v>
      </c>
      <c r="O11" s="243">
        <v>69100</v>
      </c>
      <c r="P11" s="244">
        <v>7.1</v>
      </c>
      <c r="Q11" s="244">
        <v>3.3</v>
      </c>
    </row>
    <row r="12" spans="1:17">
      <c r="A12" s="231" t="s">
        <v>17</v>
      </c>
      <c r="B12" s="243" t="s">
        <v>707</v>
      </c>
      <c r="C12" s="243" t="s">
        <v>707</v>
      </c>
      <c r="D12" s="243" t="s">
        <v>707</v>
      </c>
      <c r="E12" s="243" t="s">
        <v>69</v>
      </c>
      <c r="F12" s="243" t="s">
        <v>707</v>
      </c>
      <c r="G12" s="243" t="s">
        <v>707</v>
      </c>
      <c r="H12" s="243" t="s">
        <v>707</v>
      </c>
      <c r="I12" s="243" t="s">
        <v>69</v>
      </c>
      <c r="J12" s="243">
        <v>1900</v>
      </c>
      <c r="K12" s="243">
        <v>47200</v>
      </c>
      <c r="L12" s="244">
        <v>4</v>
      </c>
      <c r="M12" s="244">
        <v>2.2999999999999998</v>
      </c>
      <c r="N12" s="243">
        <v>2900</v>
      </c>
      <c r="O12" s="243">
        <v>46900</v>
      </c>
      <c r="P12" s="244">
        <v>6.2</v>
      </c>
      <c r="Q12" s="244">
        <v>3.6</v>
      </c>
    </row>
    <row r="13" spans="1:17">
      <c r="A13" s="231" t="s">
        <v>189</v>
      </c>
      <c r="B13" s="243" t="s">
        <v>707</v>
      </c>
      <c r="C13" s="243" t="s">
        <v>707</v>
      </c>
      <c r="D13" s="243" t="s">
        <v>707</v>
      </c>
      <c r="E13" s="243" t="s">
        <v>69</v>
      </c>
      <c r="F13" s="243" t="s">
        <v>707</v>
      </c>
      <c r="G13" s="243" t="s">
        <v>707</v>
      </c>
      <c r="H13" s="243" t="s">
        <v>707</v>
      </c>
      <c r="I13" s="243" t="s">
        <v>69</v>
      </c>
      <c r="J13" s="243">
        <v>19100</v>
      </c>
      <c r="K13" s="243">
        <v>344700</v>
      </c>
      <c r="L13" s="244">
        <v>5.5</v>
      </c>
      <c r="M13" s="244">
        <v>2</v>
      </c>
      <c r="N13" s="243">
        <v>14700</v>
      </c>
      <c r="O13" s="243">
        <v>349800</v>
      </c>
      <c r="P13" s="244">
        <v>4.2</v>
      </c>
      <c r="Q13" s="244">
        <v>2</v>
      </c>
    </row>
    <row r="14" spans="1:17">
      <c r="A14" s="231" t="s">
        <v>18</v>
      </c>
      <c r="B14" s="243" t="s">
        <v>707</v>
      </c>
      <c r="C14" s="243" t="s">
        <v>707</v>
      </c>
      <c r="D14" s="243" t="s">
        <v>707</v>
      </c>
      <c r="E14" s="243" t="s">
        <v>69</v>
      </c>
      <c r="F14" s="243" t="s">
        <v>707</v>
      </c>
      <c r="G14" s="243" t="s">
        <v>707</v>
      </c>
      <c r="H14" s="243" t="s">
        <v>707</v>
      </c>
      <c r="I14" s="243" t="s">
        <v>69</v>
      </c>
      <c r="J14" s="243">
        <v>1800</v>
      </c>
      <c r="K14" s="243">
        <v>30500</v>
      </c>
      <c r="L14" s="244">
        <v>5.9</v>
      </c>
      <c r="M14" s="244">
        <v>3</v>
      </c>
      <c r="N14" s="243">
        <v>2200</v>
      </c>
      <c r="O14" s="243">
        <v>31200</v>
      </c>
      <c r="P14" s="244">
        <v>7.2</v>
      </c>
      <c r="Q14" s="244">
        <v>3.7</v>
      </c>
    </row>
    <row r="15" spans="1:17">
      <c r="A15" s="231" t="s">
        <v>19</v>
      </c>
      <c r="B15" s="243" t="s">
        <v>707</v>
      </c>
      <c r="C15" s="243" t="s">
        <v>707</v>
      </c>
      <c r="D15" s="243" t="s">
        <v>707</v>
      </c>
      <c r="E15" s="243" t="s">
        <v>69</v>
      </c>
      <c r="F15" s="243" t="s">
        <v>707</v>
      </c>
      <c r="G15" s="243" t="s">
        <v>707</v>
      </c>
      <c r="H15" s="243" t="s">
        <v>707</v>
      </c>
      <c r="I15" s="243" t="s">
        <v>69</v>
      </c>
      <c r="J15" s="243">
        <v>7800</v>
      </c>
      <c r="K15" s="243">
        <v>80300</v>
      </c>
      <c r="L15" s="244">
        <v>9.6999999999999993</v>
      </c>
      <c r="M15" s="244">
        <v>3.1</v>
      </c>
      <c r="N15" s="243">
        <v>5800</v>
      </c>
      <c r="O15" s="243">
        <v>83500</v>
      </c>
      <c r="P15" s="244">
        <v>7</v>
      </c>
      <c r="Q15" s="244">
        <v>3.7</v>
      </c>
    </row>
    <row r="16" spans="1:17">
      <c r="A16" s="231" t="s">
        <v>20</v>
      </c>
      <c r="B16" s="243" t="s">
        <v>707</v>
      </c>
      <c r="C16" s="243" t="s">
        <v>707</v>
      </c>
      <c r="D16" s="243" t="s">
        <v>707</v>
      </c>
      <c r="E16" s="243" t="s">
        <v>69</v>
      </c>
      <c r="F16" s="243" t="s">
        <v>707</v>
      </c>
      <c r="G16" s="243" t="s">
        <v>707</v>
      </c>
      <c r="H16" s="243" t="s">
        <v>707</v>
      </c>
      <c r="I16" s="243" t="s">
        <v>69</v>
      </c>
      <c r="J16" s="243">
        <v>3100</v>
      </c>
      <c r="K16" s="243">
        <v>90300</v>
      </c>
      <c r="L16" s="244">
        <v>3.4</v>
      </c>
      <c r="M16" s="244">
        <v>1.8</v>
      </c>
      <c r="N16" s="243">
        <v>7400</v>
      </c>
      <c r="O16" s="243">
        <v>95200</v>
      </c>
      <c r="P16" s="244">
        <v>7.7</v>
      </c>
      <c r="Q16" s="244">
        <v>3</v>
      </c>
    </row>
    <row r="17" spans="1:17">
      <c r="A17" s="231" t="s">
        <v>21</v>
      </c>
      <c r="B17" s="243" t="s">
        <v>707</v>
      </c>
      <c r="C17" s="243" t="s">
        <v>707</v>
      </c>
      <c r="D17" s="243" t="s">
        <v>707</v>
      </c>
      <c r="E17" s="243" t="s">
        <v>69</v>
      </c>
      <c r="F17" s="243" t="s">
        <v>707</v>
      </c>
      <c r="G17" s="243" t="s">
        <v>707</v>
      </c>
      <c r="H17" s="243" t="s">
        <v>707</v>
      </c>
      <c r="I17" s="243" t="s">
        <v>69</v>
      </c>
      <c r="J17" s="243">
        <v>7500</v>
      </c>
      <c r="K17" s="243">
        <v>67700</v>
      </c>
      <c r="L17" s="244">
        <v>11.1</v>
      </c>
      <c r="M17" s="244">
        <v>3.2</v>
      </c>
      <c r="N17" s="243">
        <v>8600</v>
      </c>
      <c r="O17" s="243">
        <v>68100</v>
      </c>
      <c r="P17" s="244">
        <v>12.6</v>
      </c>
      <c r="Q17" s="244">
        <v>4.3</v>
      </c>
    </row>
    <row r="18" spans="1:17">
      <c r="A18" s="231" t="s">
        <v>22</v>
      </c>
      <c r="B18" s="243" t="s">
        <v>707</v>
      </c>
      <c r="C18" s="243" t="s">
        <v>707</v>
      </c>
      <c r="D18" s="243" t="s">
        <v>707</v>
      </c>
      <c r="E18" s="243" t="s">
        <v>69</v>
      </c>
      <c r="F18" s="243" t="s">
        <v>707</v>
      </c>
      <c r="G18" s="243" t="s">
        <v>707</v>
      </c>
      <c r="H18" s="243" t="s">
        <v>707</v>
      </c>
      <c r="I18" s="243" t="s">
        <v>69</v>
      </c>
      <c r="J18" s="243">
        <v>2600</v>
      </c>
      <c r="K18" s="243">
        <v>59400</v>
      </c>
      <c r="L18" s="244">
        <v>4.4000000000000004</v>
      </c>
      <c r="M18" s="244">
        <v>1.9</v>
      </c>
      <c r="N18" s="243">
        <v>3100</v>
      </c>
      <c r="O18" s="243">
        <v>58700</v>
      </c>
      <c r="P18" s="244">
        <v>5.3</v>
      </c>
      <c r="Q18" s="244">
        <v>2.4</v>
      </c>
    </row>
    <row r="19" spans="1:17">
      <c r="A19" s="231" t="s">
        <v>23</v>
      </c>
      <c r="B19" s="243" t="s">
        <v>707</v>
      </c>
      <c r="C19" s="243" t="s">
        <v>707</v>
      </c>
      <c r="D19" s="243" t="s">
        <v>707</v>
      </c>
      <c r="E19" s="243" t="s">
        <v>69</v>
      </c>
      <c r="F19" s="243" t="s">
        <v>707</v>
      </c>
      <c r="G19" s="243" t="s">
        <v>707</v>
      </c>
      <c r="H19" s="243" t="s">
        <v>707</v>
      </c>
      <c r="I19" s="243" t="s">
        <v>69</v>
      </c>
      <c r="J19" s="243">
        <v>4800</v>
      </c>
      <c r="K19" s="243">
        <v>59500</v>
      </c>
      <c r="L19" s="244">
        <v>8.1</v>
      </c>
      <c r="M19" s="244">
        <v>3.1</v>
      </c>
      <c r="N19" s="243">
        <v>4200</v>
      </c>
      <c r="O19" s="243">
        <v>64300</v>
      </c>
      <c r="P19" s="244">
        <v>6.6</v>
      </c>
      <c r="Q19" s="244">
        <v>3.3</v>
      </c>
    </row>
    <row r="20" spans="1:17">
      <c r="A20" s="231" t="s">
        <v>24</v>
      </c>
      <c r="B20" s="243" t="s">
        <v>707</v>
      </c>
      <c r="C20" s="243" t="s">
        <v>707</v>
      </c>
      <c r="D20" s="243" t="s">
        <v>707</v>
      </c>
      <c r="E20" s="243" t="s">
        <v>69</v>
      </c>
      <c r="F20" s="243" t="s">
        <v>707</v>
      </c>
      <c r="G20" s="243" t="s">
        <v>707</v>
      </c>
      <c r="H20" s="243" t="s">
        <v>707</v>
      </c>
      <c r="I20" s="243" t="s">
        <v>69</v>
      </c>
      <c r="J20" s="243">
        <v>3100</v>
      </c>
      <c r="K20" s="243">
        <v>53900</v>
      </c>
      <c r="L20" s="244">
        <v>5.7</v>
      </c>
      <c r="M20" s="244">
        <v>2.7</v>
      </c>
      <c r="N20" s="243">
        <v>2400</v>
      </c>
      <c r="O20" s="243">
        <v>54200</v>
      </c>
      <c r="P20" s="244">
        <v>4.4000000000000004</v>
      </c>
      <c r="Q20" s="244">
        <v>2.9</v>
      </c>
    </row>
    <row r="21" spans="1:17">
      <c r="A21" s="231" t="s">
        <v>25</v>
      </c>
      <c r="B21" s="243" t="s">
        <v>707</v>
      </c>
      <c r="C21" s="243" t="s">
        <v>707</v>
      </c>
      <c r="D21" s="243" t="s">
        <v>707</v>
      </c>
      <c r="E21" s="243" t="s">
        <v>69</v>
      </c>
      <c r="F21" s="243" t="s">
        <v>707</v>
      </c>
      <c r="G21" s="243" t="s">
        <v>707</v>
      </c>
      <c r="H21" s="243" t="s">
        <v>707</v>
      </c>
      <c r="I21" s="243" t="s">
        <v>69</v>
      </c>
      <c r="J21" s="243">
        <v>8600</v>
      </c>
      <c r="K21" s="243">
        <v>94600</v>
      </c>
      <c r="L21" s="244">
        <v>9.1</v>
      </c>
      <c r="M21" s="244">
        <v>3</v>
      </c>
      <c r="N21" s="243">
        <v>12400</v>
      </c>
      <c r="O21" s="243">
        <v>95500</v>
      </c>
      <c r="P21" s="244">
        <v>13</v>
      </c>
      <c r="Q21" s="244">
        <v>3.9</v>
      </c>
    </row>
    <row r="22" spans="1:17">
      <c r="A22" s="231" t="s">
        <v>26</v>
      </c>
      <c r="B22" s="243" t="s">
        <v>707</v>
      </c>
      <c r="C22" s="243" t="s">
        <v>707</v>
      </c>
      <c r="D22" s="243" t="s">
        <v>707</v>
      </c>
      <c r="E22" s="243" t="s">
        <v>69</v>
      </c>
      <c r="F22" s="243" t="s">
        <v>707</v>
      </c>
      <c r="G22" s="243" t="s">
        <v>707</v>
      </c>
      <c r="H22" s="243" t="s">
        <v>707</v>
      </c>
      <c r="I22" s="243" t="s">
        <v>69</v>
      </c>
      <c r="J22" s="243">
        <v>16700</v>
      </c>
      <c r="K22" s="243">
        <v>217800</v>
      </c>
      <c r="L22" s="244">
        <v>7.7</v>
      </c>
      <c r="M22" s="244">
        <v>2.2999999999999998</v>
      </c>
      <c r="N22" s="243">
        <v>13200</v>
      </c>
      <c r="O22" s="243">
        <v>219600</v>
      </c>
      <c r="P22" s="244">
        <v>6</v>
      </c>
      <c r="Q22" s="244">
        <v>2.2000000000000002</v>
      </c>
    </row>
    <row r="23" spans="1:17">
      <c r="A23" s="231" t="s">
        <v>27</v>
      </c>
      <c r="B23" s="243" t="s">
        <v>707</v>
      </c>
      <c r="C23" s="243" t="s">
        <v>707</v>
      </c>
      <c r="D23" s="243" t="s">
        <v>707</v>
      </c>
      <c r="E23" s="243" t="s">
        <v>69</v>
      </c>
      <c r="F23" s="243" t="s">
        <v>707</v>
      </c>
      <c r="G23" s="243" t="s">
        <v>707</v>
      </c>
      <c r="H23" s="243" t="s">
        <v>707</v>
      </c>
      <c r="I23" s="243" t="s">
        <v>69</v>
      </c>
      <c r="J23" s="243">
        <v>45500</v>
      </c>
      <c r="K23" s="243">
        <v>405400</v>
      </c>
      <c r="L23" s="244">
        <v>11.2</v>
      </c>
      <c r="M23" s="244">
        <v>2.6</v>
      </c>
      <c r="N23" s="243">
        <v>48600</v>
      </c>
      <c r="O23" s="243">
        <v>407500</v>
      </c>
      <c r="P23" s="244">
        <v>11.9</v>
      </c>
      <c r="Q23" s="244">
        <v>3.4</v>
      </c>
    </row>
    <row r="24" spans="1:17">
      <c r="A24" s="231" t="s">
        <v>28</v>
      </c>
      <c r="B24" s="243" t="s">
        <v>707</v>
      </c>
      <c r="C24" s="243" t="s">
        <v>707</v>
      </c>
      <c r="D24" s="243" t="s">
        <v>707</v>
      </c>
      <c r="E24" s="243" t="s">
        <v>69</v>
      </c>
      <c r="F24" s="243" t="s">
        <v>707</v>
      </c>
      <c r="G24" s="243" t="s">
        <v>707</v>
      </c>
      <c r="H24" s="243" t="s">
        <v>707</v>
      </c>
      <c r="I24" s="243" t="s">
        <v>69</v>
      </c>
      <c r="J24" s="243">
        <v>11000</v>
      </c>
      <c r="K24" s="243">
        <v>131100</v>
      </c>
      <c r="L24" s="244">
        <v>8.4</v>
      </c>
      <c r="M24" s="244">
        <v>3.8</v>
      </c>
      <c r="N24" s="243">
        <v>12500</v>
      </c>
      <c r="O24" s="243">
        <v>143000</v>
      </c>
      <c r="P24" s="244">
        <v>8.6999999999999993</v>
      </c>
      <c r="Q24" s="244">
        <v>4.2</v>
      </c>
    </row>
    <row r="25" spans="1:17">
      <c r="A25" s="231" t="s">
        <v>29</v>
      </c>
      <c r="B25" s="243" t="s">
        <v>707</v>
      </c>
      <c r="C25" s="243" t="s">
        <v>707</v>
      </c>
      <c r="D25" s="243" t="s">
        <v>707</v>
      </c>
      <c r="E25" s="243" t="s">
        <v>69</v>
      </c>
      <c r="F25" s="243" t="s">
        <v>707</v>
      </c>
      <c r="G25" s="243" t="s">
        <v>707</v>
      </c>
      <c r="H25" s="243" t="s">
        <v>707</v>
      </c>
      <c r="I25" s="243" t="s">
        <v>69</v>
      </c>
      <c r="J25" s="243">
        <v>4100</v>
      </c>
      <c r="K25" s="243">
        <v>44600</v>
      </c>
      <c r="L25" s="244">
        <v>9.1</v>
      </c>
      <c r="M25" s="244">
        <v>3.3</v>
      </c>
      <c r="N25" s="243">
        <v>4100</v>
      </c>
      <c r="O25" s="243">
        <v>44500</v>
      </c>
      <c r="P25" s="244">
        <v>9.1999999999999993</v>
      </c>
      <c r="Q25" s="244">
        <v>4.3</v>
      </c>
    </row>
    <row r="26" spans="1:17">
      <c r="A26" s="231" t="s">
        <v>30</v>
      </c>
      <c r="B26" s="243" t="s">
        <v>707</v>
      </c>
      <c r="C26" s="243" t="s">
        <v>707</v>
      </c>
      <c r="D26" s="243" t="s">
        <v>707</v>
      </c>
      <c r="E26" s="243" t="s">
        <v>69</v>
      </c>
      <c r="F26" s="243" t="s">
        <v>707</v>
      </c>
      <c r="G26" s="243" t="s">
        <v>707</v>
      </c>
      <c r="H26" s="243" t="s">
        <v>707</v>
      </c>
      <c r="I26" s="243" t="s">
        <v>69</v>
      </c>
      <c r="J26" s="243">
        <v>7700</v>
      </c>
      <c r="K26" s="243">
        <v>55400</v>
      </c>
      <c r="L26" s="244">
        <v>13.9</v>
      </c>
      <c r="M26" s="244">
        <v>4.4000000000000004</v>
      </c>
      <c r="N26" s="243">
        <v>3000</v>
      </c>
      <c r="O26" s="243">
        <v>54300</v>
      </c>
      <c r="P26" s="244">
        <v>5.5</v>
      </c>
      <c r="Q26" s="244">
        <v>3.5</v>
      </c>
    </row>
    <row r="27" spans="1:17">
      <c r="A27" s="231" t="s">
        <v>31</v>
      </c>
      <c r="B27" s="243" t="s">
        <v>707</v>
      </c>
      <c r="C27" s="243" t="s">
        <v>707</v>
      </c>
      <c r="D27" s="243" t="s">
        <v>707</v>
      </c>
      <c r="E27" s="243" t="s">
        <v>69</v>
      </c>
      <c r="F27" s="243" t="s">
        <v>707</v>
      </c>
      <c r="G27" s="243" t="s">
        <v>707</v>
      </c>
      <c r="H27" s="243" t="s">
        <v>707</v>
      </c>
      <c r="I27" s="243" t="s">
        <v>69</v>
      </c>
      <c r="J27" s="243">
        <v>3000</v>
      </c>
      <c r="K27" s="243">
        <v>56700</v>
      </c>
      <c r="L27" s="244">
        <v>5.3</v>
      </c>
      <c r="M27" s="244">
        <v>2.4</v>
      </c>
      <c r="N27" s="243">
        <v>4500</v>
      </c>
      <c r="O27" s="243">
        <v>59300</v>
      </c>
      <c r="P27" s="244">
        <v>7.6</v>
      </c>
      <c r="Q27" s="244">
        <v>3.4</v>
      </c>
    </row>
    <row r="28" spans="1:17">
      <c r="A28" s="231" t="s">
        <v>32</v>
      </c>
      <c r="B28" s="243" t="s">
        <v>707</v>
      </c>
      <c r="C28" s="243" t="s">
        <v>707</v>
      </c>
      <c r="D28" s="243" t="s">
        <v>707</v>
      </c>
      <c r="E28" s="243" t="s">
        <v>69</v>
      </c>
      <c r="F28" s="243" t="s">
        <v>707</v>
      </c>
      <c r="G28" s="243" t="s">
        <v>707</v>
      </c>
      <c r="H28" s="243" t="s">
        <v>707</v>
      </c>
      <c r="I28" s="243" t="s">
        <v>69</v>
      </c>
      <c r="J28" s="243">
        <v>900</v>
      </c>
      <c r="K28" s="243">
        <v>14400</v>
      </c>
      <c r="L28" s="244">
        <v>6.1</v>
      </c>
      <c r="M28" s="243" t="s">
        <v>10</v>
      </c>
      <c r="N28" s="243">
        <v>700</v>
      </c>
      <c r="O28" s="243">
        <v>14400</v>
      </c>
      <c r="P28" s="244">
        <v>4.9000000000000004</v>
      </c>
      <c r="Q28" s="243" t="s">
        <v>10</v>
      </c>
    </row>
    <row r="29" spans="1:17">
      <c r="A29" s="231" t="s">
        <v>33</v>
      </c>
      <c r="B29" s="243" t="s">
        <v>707</v>
      </c>
      <c r="C29" s="243" t="s">
        <v>707</v>
      </c>
      <c r="D29" s="243" t="s">
        <v>707</v>
      </c>
      <c r="E29" s="243" t="s">
        <v>69</v>
      </c>
      <c r="F29" s="243" t="s">
        <v>707</v>
      </c>
      <c r="G29" s="243" t="s">
        <v>707</v>
      </c>
      <c r="H29" s="243" t="s">
        <v>707</v>
      </c>
      <c r="I29" s="243" t="s">
        <v>69</v>
      </c>
      <c r="J29" s="243">
        <v>5500</v>
      </c>
      <c r="K29" s="243">
        <v>75000</v>
      </c>
      <c r="L29" s="244">
        <v>7.4</v>
      </c>
      <c r="M29" s="244">
        <v>2.6</v>
      </c>
      <c r="N29" s="243">
        <v>7400</v>
      </c>
      <c r="O29" s="243">
        <v>77000</v>
      </c>
      <c r="P29" s="244">
        <v>9.6</v>
      </c>
      <c r="Q29" s="244">
        <v>3.7</v>
      </c>
    </row>
    <row r="30" spans="1:17">
      <c r="A30" s="231" t="s">
        <v>34</v>
      </c>
      <c r="B30" s="243" t="s">
        <v>707</v>
      </c>
      <c r="C30" s="243" t="s">
        <v>707</v>
      </c>
      <c r="D30" s="243" t="s">
        <v>707</v>
      </c>
      <c r="E30" s="243" t="s">
        <v>69</v>
      </c>
      <c r="F30" s="243" t="s">
        <v>707</v>
      </c>
      <c r="G30" s="243" t="s">
        <v>707</v>
      </c>
      <c r="H30" s="243" t="s">
        <v>707</v>
      </c>
      <c r="I30" s="243" t="s">
        <v>69</v>
      </c>
      <c r="J30" s="243">
        <v>30500</v>
      </c>
      <c r="K30" s="243">
        <v>212200</v>
      </c>
      <c r="L30" s="244">
        <v>14.4</v>
      </c>
      <c r="M30" s="244">
        <v>3.6</v>
      </c>
      <c r="N30" s="243">
        <v>30100</v>
      </c>
      <c r="O30" s="243">
        <v>209900</v>
      </c>
      <c r="P30" s="244">
        <v>14.3</v>
      </c>
      <c r="Q30" s="244">
        <v>4.2</v>
      </c>
    </row>
    <row r="31" spans="1:17">
      <c r="A31" s="231" t="s">
        <v>35</v>
      </c>
      <c r="B31" s="243" t="s">
        <v>707</v>
      </c>
      <c r="C31" s="243" t="s">
        <v>707</v>
      </c>
      <c r="D31" s="243" t="s">
        <v>707</v>
      </c>
      <c r="E31" s="243" t="s">
        <v>69</v>
      </c>
      <c r="F31" s="243" t="s">
        <v>707</v>
      </c>
      <c r="G31" s="243" t="s">
        <v>707</v>
      </c>
      <c r="H31" s="243" t="s">
        <v>707</v>
      </c>
      <c r="I31" s="243" t="s">
        <v>69</v>
      </c>
      <c r="J31" s="243" t="s">
        <v>707</v>
      </c>
      <c r="K31" s="243">
        <v>12100</v>
      </c>
      <c r="L31" s="243" t="s">
        <v>707</v>
      </c>
      <c r="M31" s="243" t="s">
        <v>707</v>
      </c>
      <c r="N31" s="243" t="s">
        <v>707</v>
      </c>
      <c r="O31" s="243">
        <v>13000</v>
      </c>
      <c r="P31" s="243" t="s">
        <v>707</v>
      </c>
      <c r="Q31" s="243" t="s">
        <v>707</v>
      </c>
    </row>
    <row r="32" spans="1:17">
      <c r="A32" s="231" t="s">
        <v>36</v>
      </c>
      <c r="B32" s="243" t="s">
        <v>707</v>
      </c>
      <c r="C32" s="243" t="s">
        <v>707</v>
      </c>
      <c r="D32" s="243" t="s">
        <v>707</v>
      </c>
      <c r="E32" s="243" t="s">
        <v>69</v>
      </c>
      <c r="F32" s="243" t="s">
        <v>707</v>
      </c>
      <c r="G32" s="243" t="s">
        <v>707</v>
      </c>
      <c r="H32" s="243" t="s">
        <v>707</v>
      </c>
      <c r="I32" s="243" t="s">
        <v>69</v>
      </c>
      <c r="J32" s="243">
        <v>3200</v>
      </c>
      <c r="K32" s="243">
        <v>88200</v>
      </c>
      <c r="L32" s="244">
        <v>3.7</v>
      </c>
      <c r="M32" s="244">
        <v>1.8</v>
      </c>
      <c r="N32" s="243">
        <v>4700</v>
      </c>
      <c r="O32" s="243">
        <v>90300</v>
      </c>
      <c r="P32" s="244">
        <v>5.2</v>
      </c>
      <c r="Q32" s="244">
        <v>2.6</v>
      </c>
    </row>
    <row r="33" spans="1:17">
      <c r="A33" s="231" t="s">
        <v>37</v>
      </c>
      <c r="B33" s="243" t="s">
        <v>707</v>
      </c>
      <c r="C33" s="243" t="s">
        <v>707</v>
      </c>
      <c r="D33" s="243" t="s">
        <v>707</v>
      </c>
      <c r="E33" s="243" t="s">
        <v>69</v>
      </c>
      <c r="F33" s="243" t="s">
        <v>707</v>
      </c>
      <c r="G33" s="243" t="s">
        <v>707</v>
      </c>
      <c r="H33" s="243" t="s">
        <v>707</v>
      </c>
      <c r="I33" s="243" t="s">
        <v>69</v>
      </c>
      <c r="J33" s="243">
        <v>5500</v>
      </c>
      <c r="K33" s="243">
        <v>106100</v>
      </c>
      <c r="L33" s="244">
        <v>5.2</v>
      </c>
      <c r="M33" s="244">
        <v>2.4</v>
      </c>
      <c r="N33" s="243">
        <v>7800</v>
      </c>
      <c r="O33" s="243">
        <v>107100</v>
      </c>
      <c r="P33" s="244">
        <v>7.3</v>
      </c>
      <c r="Q33" s="244">
        <v>3.2</v>
      </c>
    </row>
    <row r="34" spans="1:17">
      <c r="A34" s="231" t="s">
        <v>38</v>
      </c>
      <c r="B34" s="243" t="s">
        <v>707</v>
      </c>
      <c r="C34" s="243" t="s">
        <v>707</v>
      </c>
      <c r="D34" s="243" t="s">
        <v>707</v>
      </c>
      <c r="E34" s="243" t="s">
        <v>69</v>
      </c>
      <c r="F34" s="243" t="s">
        <v>707</v>
      </c>
      <c r="G34" s="243" t="s">
        <v>707</v>
      </c>
      <c r="H34" s="243" t="s">
        <v>707</v>
      </c>
      <c r="I34" s="243" t="s">
        <v>69</v>
      </c>
      <c r="J34" s="243">
        <v>3500</v>
      </c>
      <c r="K34" s="243">
        <v>63900</v>
      </c>
      <c r="L34" s="244">
        <v>5.5</v>
      </c>
      <c r="M34" s="244">
        <v>2.2999999999999998</v>
      </c>
      <c r="N34" s="243">
        <v>2700</v>
      </c>
      <c r="O34" s="243">
        <v>63700</v>
      </c>
      <c r="P34" s="244">
        <v>4.3</v>
      </c>
      <c r="Q34" s="243" t="s">
        <v>10</v>
      </c>
    </row>
    <row r="35" spans="1:17">
      <c r="A35" s="231" t="s">
        <v>39</v>
      </c>
      <c r="B35" s="243" t="s">
        <v>707</v>
      </c>
      <c r="C35" s="243" t="s">
        <v>707</v>
      </c>
      <c r="D35" s="243" t="s">
        <v>707</v>
      </c>
      <c r="E35" s="243" t="s">
        <v>69</v>
      </c>
      <c r="F35" s="243" t="s">
        <v>707</v>
      </c>
      <c r="G35" s="243" t="s">
        <v>707</v>
      </c>
      <c r="H35" s="243" t="s">
        <v>707</v>
      </c>
      <c r="I35" s="243" t="s">
        <v>69</v>
      </c>
      <c r="J35" s="243" t="s">
        <v>707</v>
      </c>
      <c r="K35" s="243">
        <v>14000</v>
      </c>
      <c r="L35" s="243" t="s">
        <v>707</v>
      </c>
      <c r="M35" s="243" t="s">
        <v>707</v>
      </c>
      <c r="N35" s="243" t="s">
        <v>707</v>
      </c>
      <c r="O35" s="243">
        <v>14200</v>
      </c>
      <c r="P35" s="243" t="s">
        <v>707</v>
      </c>
      <c r="Q35" s="243" t="s">
        <v>707</v>
      </c>
    </row>
    <row r="36" spans="1:17">
      <c r="A36" s="231" t="s">
        <v>40</v>
      </c>
      <c r="B36" s="243" t="s">
        <v>707</v>
      </c>
      <c r="C36" s="243" t="s">
        <v>707</v>
      </c>
      <c r="D36" s="243" t="s">
        <v>707</v>
      </c>
      <c r="E36" s="243" t="s">
        <v>69</v>
      </c>
      <c r="F36" s="243" t="s">
        <v>707</v>
      </c>
      <c r="G36" s="243" t="s">
        <v>707</v>
      </c>
      <c r="H36" s="243" t="s">
        <v>707</v>
      </c>
      <c r="I36" s="243" t="s">
        <v>69</v>
      </c>
      <c r="J36" s="243">
        <v>6500</v>
      </c>
      <c r="K36" s="243">
        <v>60800</v>
      </c>
      <c r="L36" s="244">
        <v>10.7</v>
      </c>
      <c r="M36" s="244">
        <v>3.4</v>
      </c>
      <c r="N36" s="243">
        <v>6900</v>
      </c>
      <c r="O36" s="243">
        <v>61800</v>
      </c>
      <c r="P36" s="244">
        <v>11.2</v>
      </c>
      <c r="Q36" s="244">
        <v>4.2</v>
      </c>
    </row>
    <row r="37" spans="1:17">
      <c r="A37" s="231" t="s">
        <v>41</v>
      </c>
      <c r="B37" s="243" t="s">
        <v>707</v>
      </c>
      <c r="C37" s="243" t="s">
        <v>707</v>
      </c>
      <c r="D37" s="243" t="s">
        <v>707</v>
      </c>
      <c r="E37" s="243" t="s">
        <v>69</v>
      </c>
      <c r="F37" s="243" t="s">
        <v>707</v>
      </c>
      <c r="G37" s="243" t="s">
        <v>707</v>
      </c>
      <c r="H37" s="243" t="s">
        <v>707</v>
      </c>
      <c r="I37" s="243" t="s">
        <v>69</v>
      </c>
      <c r="J37" s="243">
        <v>17800</v>
      </c>
      <c r="K37" s="243">
        <v>186900</v>
      </c>
      <c r="L37" s="244">
        <v>9.5</v>
      </c>
      <c r="M37" s="244">
        <v>2.8</v>
      </c>
      <c r="N37" s="243">
        <v>20000</v>
      </c>
      <c r="O37" s="243">
        <v>187500</v>
      </c>
      <c r="P37" s="244">
        <v>10.6</v>
      </c>
      <c r="Q37" s="244">
        <v>3.6</v>
      </c>
    </row>
    <row r="38" spans="1:17">
      <c r="A38" s="231" t="s">
        <v>42</v>
      </c>
      <c r="B38" s="243" t="s">
        <v>707</v>
      </c>
      <c r="C38" s="243" t="s">
        <v>707</v>
      </c>
      <c r="D38" s="243" t="s">
        <v>707</v>
      </c>
      <c r="E38" s="243" t="s">
        <v>69</v>
      </c>
      <c r="F38" s="243" t="s">
        <v>707</v>
      </c>
      <c r="G38" s="243" t="s">
        <v>707</v>
      </c>
      <c r="H38" s="243" t="s">
        <v>707</v>
      </c>
      <c r="I38" s="243" t="s">
        <v>69</v>
      </c>
      <c r="J38" s="243">
        <v>3300</v>
      </c>
      <c r="K38" s="243">
        <v>55700</v>
      </c>
      <c r="L38" s="244">
        <v>5.9</v>
      </c>
      <c r="M38" s="244">
        <v>2.2999999999999998</v>
      </c>
      <c r="N38" s="243">
        <v>2700</v>
      </c>
      <c r="O38" s="243">
        <v>58600</v>
      </c>
      <c r="P38" s="244">
        <v>4.7</v>
      </c>
      <c r="Q38" s="244">
        <v>2.2999999999999998</v>
      </c>
    </row>
    <row r="39" spans="1:17">
      <c r="A39" s="231" t="s">
        <v>43</v>
      </c>
      <c r="B39" s="243" t="s">
        <v>707</v>
      </c>
      <c r="C39" s="243" t="s">
        <v>707</v>
      </c>
      <c r="D39" s="243" t="s">
        <v>707</v>
      </c>
      <c r="E39" s="243" t="s">
        <v>69</v>
      </c>
      <c r="F39" s="243" t="s">
        <v>707</v>
      </c>
      <c r="G39" s="243" t="s">
        <v>707</v>
      </c>
      <c r="H39" s="243" t="s">
        <v>707</v>
      </c>
      <c r="I39" s="243" t="s">
        <v>69</v>
      </c>
      <c r="J39" s="243">
        <v>5300</v>
      </c>
      <c r="K39" s="243">
        <v>52100</v>
      </c>
      <c r="L39" s="244">
        <v>10.1</v>
      </c>
      <c r="M39" s="244">
        <v>3</v>
      </c>
      <c r="N39" s="243">
        <v>4300</v>
      </c>
      <c r="O39" s="243">
        <v>50600</v>
      </c>
      <c r="P39" s="244">
        <v>8.5</v>
      </c>
      <c r="Q39" s="244">
        <v>3.2</v>
      </c>
    </row>
    <row r="40" spans="1:17">
      <c r="A40" s="231" t="s">
        <v>44</v>
      </c>
      <c r="B40" s="243" t="s">
        <v>707</v>
      </c>
      <c r="C40" s="243" t="s">
        <v>707</v>
      </c>
      <c r="D40" s="243" t="s">
        <v>707</v>
      </c>
      <c r="E40" s="243" t="s">
        <v>69</v>
      </c>
      <c r="F40" s="243" t="s">
        <v>707</v>
      </c>
      <c r="G40" s="243" t="s">
        <v>707</v>
      </c>
      <c r="H40" s="243" t="s">
        <v>707</v>
      </c>
      <c r="I40" s="243" t="s">
        <v>69</v>
      </c>
      <c r="J40" s="243">
        <v>9600</v>
      </c>
      <c r="K40" s="243">
        <v>106800</v>
      </c>
      <c r="L40" s="244">
        <v>9</v>
      </c>
      <c r="M40" s="244">
        <v>2.9</v>
      </c>
      <c r="N40" s="243">
        <v>13700</v>
      </c>
      <c r="O40" s="243">
        <v>112200</v>
      </c>
      <c r="P40" s="244">
        <v>12.2</v>
      </c>
      <c r="Q40" s="244">
        <v>3.9</v>
      </c>
    </row>
    <row r="41" spans="1:17">
      <c r="A41" s="231" t="s">
        <v>45</v>
      </c>
      <c r="B41" s="243" t="s">
        <v>707</v>
      </c>
      <c r="C41" s="243" t="s">
        <v>707</v>
      </c>
      <c r="D41" s="243" t="s">
        <v>707</v>
      </c>
      <c r="E41" s="243" t="s">
        <v>69</v>
      </c>
      <c r="F41" s="243" t="s">
        <v>707</v>
      </c>
      <c r="G41" s="243" t="s">
        <v>707</v>
      </c>
      <c r="H41" s="243" t="s">
        <v>707</v>
      </c>
      <c r="I41" s="243" t="s">
        <v>69</v>
      </c>
      <c r="J41" s="243">
        <v>262300</v>
      </c>
      <c r="K41" s="243">
        <v>3264800</v>
      </c>
      <c r="L41" s="244">
        <v>8</v>
      </c>
      <c r="M41" s="244">
        <v>0.5</v>
      </c>
      <c r="N41" s="243">
        <v>271400</v>
      </c>
      <c r="O41" s="243">
        <v>3326500</v>
      </c>
      <c r="P41" s="244">
        <v>8.1999999999999993</v>
      </c>
      <c r="Q41" s="244">
        <v>0.6</v>
      </c>
    </row>
    <row r="42" spans="1:17">
      <c r="A42" s="231" t="s">
        <v>46</v>
      </c>
      <c r="B42" s="243" t="s">
        <v>707</v>
      </c>
      <c r="C42" s="243" t="s">
        <v>707</v>
      </c>
      <c r="D42" s="243" t="s">
        <v>707</v>
      </c>
      <c r="E42" s="243" t="s">
        <v>69</v>
      </c>
      <c r="F42" s="243" t="s">
        <v>707</v>
      </c>
      <c r="G42" s="243" t="s">
        <v>707</v>
      </c>
      <c r="H42" s="243" t="s">
        <v>707</v>
      </c>
      <c r="I42" s="243" t="s">
        <v>69</v>
      </c>
      <c r="J42" s="243">
        <v>2777400</v>
      </c>
      <c r="K42" s="243">
        <v>39690400</v>
      </c>
      <c r="L42" s="244">
        <v>7</v>
      </c>
      <c r="M42" s="244">
        <v>0.2</v>
      </c>
      <c r="N42" s="243">
        <v>2697900</v>
      </c>
      <c r="O42" s="243">
        <v>40657400</v>
      </c>
      <c r="P42" s="244">
        <v>6.6</v>
      </c>
      <c r="Q42" s="244">
        <v>0.2</v>
      </c>
    </row>
    <row r="43" spans="1:17">
      <c r="A43" s="231" t="s">
        <v>47</v>
      </c>
      <c r="B43" s="243" t="s">
        <v>707</v>
      </c>
      <c r="C43" s="243" t="s">
        <v>707</v>
      </c>
      <c r="D43" s="243" t="s">
        <v>707</v>
      </c>
      <c r="E43" s="243" t="s">
        <v>69</v>
      </c>
      <c r="F43" s="243" t="s">
        <v>707</v>
      </c>
      <c r="G43" s="243" t="s">
        <v>707</v>
      </c>
      <c r="H43" s="243" t="s">
        <v>707</v>
      </c>
      <c r="I43" s="243" t="s">
        <v>69</v>
      </c>
      <c r="J43" s="243">
        <v>114400</v>
      </c>
      <c r="K43" s="243">
        <v>1120600</v>
      </c>
      <c r="L43" s="244">
        <v>10.199999999999999</v>
      </c>
      <c r="M43" s="244">
        <v>1.1000000000000001</v>
      </c>
      <c r="N43" s="243">
        <v>120300</v>
      </c>
      <c r="O43" s="243">
        <v>1119900</v>
      </c>
      <c r="P43" s="244">
        <v>10.7</v>
      </c>
      <c r="Q43" s="244">
        <v>1.3</v>
      </c>
    </row>
    <row r="44" spans="1:17">
      <c r="A44" s="6" t="s">
        <v>543</v>
      </c>
      <c r="B44" s="98" cm="1">
        <f t="array" ref="B44">SUM(SUMIFS(B$9:B$41,$A$9:$A$41,{"Na h-Eileanan Siar","Argyll and Bute","Shetland Islands","Highland","Orkney Islands","Scottish Borders","Dumfries and Galloway","Aberdeenshire"}))</f>
        <v>0</v>
      </c>
      <c r="C44" s="98">
        <f>SUM(SUMIFS(C$9:C$41,$A$9:$A$41,{"Na h-Eileanan Siar","Argyll and Bute","Shetland Islands","Highland","Orkney Islands","Scottish Borders","Dumfries and Galloway","Aberdeenshire"}))</f>
        <v>0</v>
      </c>
      <c r="D44" s="233" t="e">
        <f>SUM(B44/C44)*100</f>
        <v>#DIV/0!</v>
      </c>
      <c r="E44" s="9"/>
      <c r="F44" s="98">
        <f>SUM(SUMIFS(F$9:F$41,$A$9:$A$41,{"Na h-Eileanan Siar","Argyll and Bute","Shetland Islands","Highland","Orkney Islands","Scottish Borders","Dumfries and Galloway","Aberdeenshire"}))</f>
        <v>0</v>
      </c>
      <c r="G44" s="98">
        <f>SUM(SUMIFS(G$9:G$41,$A$9:$A$41,{"Na h-Eileanan Siar","Argyll and Bute","Shetland Islands","Highland","Orkney Islands","Scottish Borders","Dumfries and Galloway","Aberdeenshire"}))</f>
        <v>0</v>
      </c>
      <c r="H44" s="233" t="e">
        <f>SUM(F44/G44)*100</f>
        <v>#DIV/0!</v>
      </c>
      <c r="I44" s="9"/>
      <c r="J44" s="98">
        <f>SUM(SUMIFS(J$9:J$41,$A$9:$A$41,{"Na h-Eileanan Siar","Argyll and Bute","Shetland Islands","Highland","Orkney Islands","Scottish Borders","Dumfries and Galloway","Aberdeenshire"}))</f>
        <v>36900</v>
      </c>
      <c r="K44" s="98">
        <f>SUM(SUMIFS(K$9:K$41,$A$9:$A$41,{"Na h-Eileanan Siar","Argyll and Bute","Shetland Islands","Highland","Orkney Islands","Scottish Borders","Dumfries and Galloway","Aberdeenshire"}))</f>
        <v>519600</v>
      </c>
      <c r="L44" s="233">
        <f>SUM(J44/K44)*100</f>
        <v>7.1016166281755195</v>
      </c>
      <c r="M44" s="9"/>
      <c r="N44" s="98">
        <f>SUM(SUMIFS(N$9:N$41,$A$9:$A$41,{"Na h-Eileanan Siar","Argyll and Bute","Shetland Islands","Highland","Orkney Islands","Scottish Borders","Dumfries and Galloway","Aberdeenshire"}))</f>
        <v>35900</v>
      </c>
      <c r="O44" s="98">
        <f>SUM(SUMIFS(O$9:O$41,$A$9:$A$41,{"Na h-Eileanan Siar","Argyll and Bute","Shetland Islands","Highland","Orkney Islands","Scottish Borders","Dumfries and Galloway","Aberdeenshire"}))</f>
        <v>543600</v>
      </c>
      <c r="P44" s="233">
        <f>SUM(N44/O44)*100</f>
        <v>6.6041206769683587</v>
      </c>
      <c r="Q44" s="9"/>
    </row>
    <row r="45" spans="1:17">
      <c r="A45" s="6" t="s">
        <v>544</v>
      </c>
      <c r="B45" s="98">
        <f>SUM(SUMIFS(B$9:B$41,$A$9:$A$41,{"Perth and Kinross","Stirling","Moray","South Ayrshire","East Ayrshire","East Lothian","North Ayrshire","Fife"}))</f>
        <v>0</v>
      </c>
      <c r="C45" s="98">
        <f>SUM(SUMIFS(C$9:C$41,$A$9:$A$41,{"Perth and Kinross","Stirling","Moray","South Ayrshire","East Ayrshire","East Lothian","North Ayrshire","Fife"}))</f>
        <v>0</v>
      </c>
      <c r="D45" s="233" t="e">
        <f>SUM(B45/C45)*100</f>
        <v>#DIV/0!</v>
      </c>
      <c r="E45" s="9"/>
      <c r="F45" s="98">
        <f>SUM(SUMIFS(F$9:F$41,$A$9:$A$41,{"Perth and Kinross","Stirling","Moray","South Ayrshire","East Ayrshire","East Lothian","North Ayrshire","Fife"}))</f>
        <v>0</v>
      </c>
      <c r="G45" s="98">
        <f>SUM(SUMIFS(G$9:G$41,$A$9:$A$41,{"Perth and Kinross","Stirling","Moray","South Ayrshire","East Ayrshire","East Lothian","North Ayrshire","Fife"}))</f>
        <v>0</v>
      </c>
      <c r="H45" s="233" t="e">
        <f>SUM(F45/G45)*100</f>
        <v>#DIV/0!</v>
      </c>
      <c r="I45" s="9"/>
      <c r="J45" s="98">
        <f>SUM(SUMIFS(J$9:J$41,$A$9:$A$41,{"Perth and Kinross","Stirling","Moray","South Ayrshire","East Ayrshire","East Lothian","North Ayrshire","Fife"}))</f>
        <v>50500</v>
      </c>
      <c r="K45" s="98">
        <f>SUM(SUMIFS(K$9:K$41,$A$9:$A$41,{"Perth and Kinross","Stirling","Moray","South Ayrshire","East Ayrshire","East Lothian","North Ayrshire","Fife"}))</f>
        <v>681400</v>
      </c>
      <c r="L45" s="233">
        <f>SUM(J45/K45)*100</f>
        <v>7.4112122101555631</v>
      </c>
      <c r="M45" s="9"/>
      <c r="N45" s="98">
        <f>SUM(SUMIFS(N$9:N$41,$A$9:$A$41,{"Perth and Kinross","Stirling","Moray","South Ayrshire","East Ayrshire","East Lothian","North Ayrshire","Fife"}))</f>
        <v>52200</v>
      </c>
      <c r="O45" s="98">
        <f>SUM(SUMIFS(O$9:O$41,$A$9:$A$41,{"Perth and Kinross","Stirling","Moray","South Ayrshire","East Ayrshire","East Lothian","North Ayrshire","Fife"}))</f>
        <v>699000</v>
      </c>
      <c r="P45" s="233">
        <f>SUM(N45/O45)*100</f>
        <v>7.4678111587982832</v>
      </c>
      <c r="Q45" s="9"/>
    </row>
    <row r="46" spans="1:17">
      <c r="A46" s="6" t="s">
        <v>545</v>
      </c>
      <c r="B46" s="98">
        <f>SUM(SUMIFS(B$9:B$41,$A$9:$A$41,{"Angus","Clackmannanshire","Midlothian","South Lanarkshire","Inverclyde","Renfrewshire","West Lothian","East Renfrewshire"}))</f>
        <v>0</v>
      </c>
      <c r="C46" s="98">
        <f>SUM(SUMIFS(C$9:C$41,$A$9:$A$41,{"Angus","Clackmannanshire","Midlothian","South Lanarkshire","Inverclyde","Renfrewshire","West Lothian","East Renfrewshire"}))</f>
        <v>0</v>
      </c>
      <c r="D46" s="233" t="e">
        <f>SUM(B46/C46)*100</f>
        <v>#DIV/0!</v>
      </c>
      <c r="E46" s="9"/>
      <c r="F46" s="98">
        <f>SUM(SUMIFS(F$9:F$41,$A$9:$A$41,{"Angus","Clackmannanshire","Midlothian","South Lanarkshire","Inverclyde","Renfrewshire","West Lothian","East Renfrewshire"}))</f>
        <v>0</v>
      </c>
      <c r="G46" s="98">
        <f>SUM(SUMIFS(G$9:G$41,$A$9:$A$41,{"Angus","Clackmannanshire","Midlothian","South Lanarkshire","Inverclyde","Renfrewshire","West Lothian","East Renfrewshire"}))</f>
        <v>0</v>
      </c>
      <c r="H46" s="233" t="e">
        <f>SUM(F46/G46)*100</f>
        <v>#DIV/0!</v>
      </c>
      <c r="I46" s="9"/>
      <c r="J46" s="98">
        <f>SUM(SUMIFS(J$9:J$41,$A$9:$A$41,{"Angus","Clackmannanshire","Midlothian","South Lanarkshire","Inverclyde","Renfrewshire","West Lothian","East Renfrewshire"}))</f>
        <v>53100</v>
      </c>
      <c r="K46" s="98">
        <f>SUM(SUMIFS(K$9:K$41,$A$9:$A$41,{"Angus","Clackmannanshire","Midlothian","South Lanarkshire","Inverclyde","Renfrewshire","West Lothian","East Renfrewshire"}))</f>
        <v>651900</v>
      </c>
      <c r="L46" s="233">
        <f>SUM(J46/K46)*100</f>
        <v>8.1454210768522781</v>
      </c>
      <c r="M46" s="9"/>
      <c r="N46" s="98">
        <f>SUM(SUMIFS(N$9:N$41,$A$9:$A$41,{"Angus","Clackmannanshire","Midlothian","South Lanarkshire","Inverclyde","Renfrewshire","West Lothian","East Renfrewshire"}))</f>
        <v>58100</v>
      </c>
      <c r="O46" s="98">
        <f>SUM(SUMIFS(O$9:O$41,$A$9:$A$41,{"Angus","Clackmannanshire","Midlothian","South Lanarkshire","Inverclyde","Renfrewshire","West Lothian","East Renfrewshire"}))</f>
        <v>660100</v>
      </c>
      <c r="P46" s="233">
        <f>SUM(N46/O46)*100</f>
        <v>8.8016967126193002</v>
      </c>
      <c r="Q46" s="9"/>
    </row>
    <row r="47" spans="1:17">
      <c r="A47" s="6" t="s">
        <v>546</v>
      </c>
      <c r="B47" s="98">
        <f>SUM(SUMIFS(B$9:B$41,$A$9:$A$41,{"North Lanarkshire","Falkirk","East Dunbartonshire","Aberdeen City","Edinburgh, City of","West Dunbartonshire","Dundee City","Glasgow City"}))</f>
        <v>0</v>
      </c>
      <c r="C47" s="98">
        <f>SUM(SUMIFS(C$9:C$41,$A$9:$A$41,{"North Lanarkshire","Falkirk","East Dunbartonshire","Aberdeen City","Edinburgh, City of","West Dunbartonshire","Dundee City","Glasgow City"}))</f>
        <v>0</v>
      </c>
      <c r="D47" s="233" t="e">
        <f>SUM(B47/C47)*100</f>
        <v>#DIV/0!</v>
      </c>
      <c r="E47" s="9"/>
      <c r="F47" s="98">
        <f>SUM(SUMIFS(F$9:F$41,$A$9:$A$41,{"North Lanarkshire","Falkirk","East Dunbartonshire","Aberdeen City","Edinburgh, City of","West Dunbartonshire","Dundee City","Glasgow City"}))</f>
        <v>0</v>
      </c>
      <c r="G47" s="98">
        <f>SUM(SUMIFS(G$9:G$41,$A$9:$A$41,{"North Lanarkshire","Falkirk","East Dunbartonshire","Aberdeen City","Edinburgh, City of","West Dunbartonshire","Dundee City","Glasgow City"}))</f>
        <v>0</v>
      </c>
      <c r="H47" s="233" t="e">
        <f>SUM(F47/G47)*100</f>
        <v>#DIV/0!</v>
      </c>
      <c r="I47" s="9"/>
      <c r="J47" s="98">
        <f>SUM(SUMIFS(J$9:J$41,$A$9:$A$41,{"North Lanarkshire","Falkirk","East Dunbartonshire","Aberdeen City","Edinburgh, City of","West Dunbartonshire","Dundee City","Glasgow City"}))</f>
        <v>121700</v>
      </c>
      <c r="K47" s="98">
        <f>SUM(SUMIFS(K$9:K$41,$A$9:$A$41,{"North Lanarkshire","Falkirk","East Dunbartonshire","Aberdeen City","Edinburgh, City of","West Dunbartonshire","Dundee City","Glasgow City"}))</f>
        <v>1411900</v>
      </c>
      <c r="L47" s="233">
        <f>SUM(J47/K47)*100</f>
        <v>8.6195906225653367</v>
      </c>
      <c r="M47" s="9"/>
      <c r="N47" s="98">
        <f>SUM(SUMIFS(N$9:N$41,$A$9:$A$41,{"North Lanarkshire","Falkirk","East Dunbartonshire","Aberdeen City","Edinburgh, City of","West Dunbartonshire","Dundee City","Glasgow City"}))</f>
        <v>123900</v>
      </c>
      <c r="O47" s="98">
        <f>SUM(SUMIFS(O$9:O$41,$A$9:$A$41,{"North Lanarkshire","Falkirk","East Dunbartonshire","Aberdeen City","Edinburgh, City of","West Dunbartonshire","Dundee City","Glasgow City"}))</f>
        <v>1423900</v>
      </c>
      <c r="P47" s="233">
        <f>SUM(N47/O47)*100</f>
        <v>8.7014537537748424</v>
      </c>
      <c r="Q47" s="9"/>
    </row>
    <row r="49" spans="1:1">
      <c r="A49" s="230" t="s">
        <v>206</v>
      </c>
    </row>
    <row r="50" spans="1:1">
      <c r="A50" s="230" t="s">
        <v>11</v>
      </c>
    </row>
    <row r="51" spans="1:1">
      <c r="A51" s="230" t="s">
        <v>12</v>
      </c>
    </row>
    <row r="52" spans="1:1">
      <c r="A52" s="230" t="s">
        <v>13</v>
      </c>
    </row>
  </sheetData>
  <mergeCells count="4">
    <mergeCell ref="B7:E7"/>
    <mergeCell ref="F7:I7"/>
    <mergeCell ref="J7:M7"/>
    <mergeCell ref="N7:Q7"/>
  </mergeCells>
  <conditionalFormatting sqref="A1:XFD1048576">
    <cfRule type="expression" dxfId="48"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B2:L23"/>
  <sheetViews>
    <sheetView zoomScale="90" zoomScaleNormal="90" workbookViewId="0">
      <selection activeCell="D19" sqref="D19"/>
    </sheetView>
  </sheetViews>
  <sheetFormatPr defaultColWidth="9.1796875" defaultRowHeight="12"/>
  <cols>
    <col min="1" max="1" width="9.1796875" style="251"/>
    <col min="2" max="2" width="31.81640625" style="251" bestFit="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602</v>
      </c>
      <c r="E2" s="334"/>
      <c r="F2" s="595" t="s">
        <v>507</v>
      </c>
      <c r="G2" s="596"/>
    </row>
    <row r="3" spans="2:12" ht="13">
      <c r="B3" s="286" t="s">
        <v>49</v>
      </c>
      <c r="C3" s="288" t="s">
        <v>60</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356" t="s">
        <v>289</v>
      </c>
      <c r="E6" s="356" t="s">
        <v>604</v>
      </c>
      <c r="F6" s="356" t="s">
        <v>700</v>
      </c>
      <c r="G6" s="356" t="s">
        <v>752</v>
      </c>
      <c r="H6" s="356" t="s">
        <v>753</v>
      </c>
      <c r="I6" s="295" t="s">
        <v>53</v>
      </c>
      <c r="J6" s="295" t="s">
        <v>54</v>
      </c>
      <c r="K6" s="295" t="s">
        <v>56</v>
      </c>
      <c r="L6" s="295" t="s">
        <v>57</v>
      </c>
    </row>
    <row r="7" spans="2:12" ht="19.5" customHeight="1">
      <c r="B7" s="296" t="s">
        <v>249</v>
      </c>
      <c r="C7" s="296" t="s">
        <v>22</v>
      </c>
      <c r="D7" s="297">
        <f>VLOOKUP($C7,'Raw - Child Poverty'!$A:$Q,4,FALSE)</f>
        <v>16.3</v>
      </c>
      <c r="E7" s="297">
        <f>VLOOKUP($C7,'Raw - Child Poverty'!$A:$Q,8,FALSE)</f>
        <v>12.5</v>
      </c>
      <c r="F7" s="297">
        <f>VLOOKUP($C7,'Raw - Child Poverty'!$A:$Q,12,FALSE)</f>
        <v>14.899999999999999</v>
      </c>
      <c r="G7" s="297">
        <f>VLOOKUP($C7,'Raw - Child Poverty'!$A:$Q,16,FALSE)</f>
        <v>15.7</v>
      </c>
      <c r="H7" s="318">
        <f>VLOOKUP(C7,'Raw - Child Poverty'!A:Q,14,FALSE)</f>
        <v>3440</v>
      </c>
      <c r="I7" s="299">
        <f t="shared" ref="I7:I14" si="0">SUM(G7-D7)</f>
        <v>-0.60000000000000142</v>
      </c>
      <c r="J7" s="300">
        <f>SUM(VLOOKUP(C7,'Raw - Child Poverty'!A:Q,14,FALSE)-VLOOKUP(C7,'Raw - Child Poverty'!A:Q,2,FALSE))</f>
        <v>-344</v>
      </c>
      <c r="K7" s="301">
        <f t="shared" ref="K7:K14" si="1">IF(IF($K$5="Glasgow City Region",SUM(G$18-G7),IF($K$5="LGBF Family Group",SUM(G$17-G7),IF($K$5="Scotland",SUM(G$19-G7),IF($K$5="United Kingdom",SUM(G$20-G7),SUM(G$16-G7)))))&gt;=0,"",IF($K$5="Glasgow City Region",SUM(G$18-G7),IF($K$5="LGBF Family Group",SUM(G$17-G7),IF($K$5="Scotland",SUM(G$19-G7),IF($K$5="United Kingdom",SUM(G$20-G7),SUM(G$16-G7))))))</f>
        <v>-1.6999999999999975</v>
      </c>
      <c r="L7" s="302">
        <f>IF(K7=""," ",IF($K$5="LGBF Family Group",SUM(MROUND(SUM(SUM(VLOOKUP(C$17,'Raw - Child Poverty'!A:Q,16,FALSE)*VLOOKUP(C7,'Raw - Child Poverty'!A:Q,15,FALSE))/100),100)-MROUND(SUM(SUM(VLOOKUP(C7,'Raw - Child Poverty'!A:Q,16,FALSE)*VLOOKUP(C7,'Raw - Child Poverty'!A:Q,15,FALSE))/100),100)),IF($K$5="Glasgow City Region",SUM(MROUND(SUM(SUM(VLOOKUP(C$18,'Raw - Child Poverty'!A:Q,16,FALSE)*VLOOKUP(C7,'Raw - Child Poverty'!A:Q,15,FALSE))/100),100)-MROUND(SUM(SUM(VLOOKUP(C7,'Raw - Child Poverty'!A:Q,16,FALSE)*VLOOKUP(C7,'Raw - Child Poverty'!A:Q,15,FALSE))/100),100)),IF($K$5="Scotland",SUM(MROUND(SUM(SUM(VLOOKUP(C$19,'Raw - Child Poverty'!A:Q,16,FALSE)*VLOOKUP(C7,'Raw - Child Poverty'!A:Q,15,FALSE))/100),100)-MROUND(SUM(SUM(VLOOKUP(C7,'Raw - Child Poverty'!A:Q,16,FALSE)*VLOOKUP(C7,'Raw - Child Poverty'!A:Q,15,FALSE))/100),100)),IF($K$5="United Kingdom",SUM(MROUND(SUM(SUM(VLOOKUP(C$20,'Raw - Child Poverty'!A:Q,16,FALSE)*VLOOKUP(C7,'Raw - Child Poverty'!A:Q,15,FALSE))/100),100)-MROUND(SUM(SUM(VLOOKUP(C7,'Raw - Child Poverty'!A:Q,16,FALSE)*VLOOKUP(C7,'Raw - Child Poverty'!A:Q,15,FALSE))/100),100)),SUM(MROUND(SUM(SUM(VLOOKUP(C$16,'Raw - Child Poverty'!A:Q,16,FALSE)*VLOOKUP(C7,'Raw - Child Poverty'!A:Q,15,FALSE))/100),100)-MROUND(SUM(SUM(VLOOKUP(C7,'Raw - Child Poverty'!A:Q,16,FALSE)*VLOOKUP(C7,'Raw - Child Poverty'!A:Q,15,FALSE))/100),100)))))))</f>
        <v>-300</v>
      </c>
    </row>
    <row r="8" spans="2:12" ht="19.5" customHeight="1">
      <c r="B8" s="296" t="s">
        <v>249</v>
      </c>
      <c r="C8" s="296" t="s">
        <v>24</v>
      </c>
      <c r="D8" s="297">
        <f>VLOOKUP($C8,'Raw - Child Poverty'!$A:$Q,4,FALSE)</f>
        <v>15.8</v>
      </c>
      <c r="E8" s="297">
        <f>VLOOKUP($C8,'Raw - Child Poverty'!$A:$Q,8,FALSE)</f>
        <v>12.8</v>
      </c>
      <c r="F8" s="297">
        <f>VLOOKUP($C8,'Raw - Child Poverty'!$A:$Q,12,FALSE)</f>
        <v>14.399999999999999</v>
      </c>
      <c r="G8" s="297">
        <f>VLOOKUP($C8,'Raw - Child Poverty'!$A:$Q,16,FALSE)</f>
        <v>14.000000000000002</v>
      </c>
      <c r="H8" s="318">
        <f>VLOOKUP(C8,'Raw - Child Poverty'!A:Q,14,FALSE)</f>
        <v>3247</v>
      </c>
      <c r="I8" s="299">
        <f t="shared" si="0"/>
        <v>-1.7999999999999989</v>
      </c>
      <c r="J8" s="300">
        <f>SUM(VLOOKUP(C8,'Raw - Child Poverty'!A:Q,14,FALSE)-VLOOKUP(C8,'Raw - Child Poverty'!A:Q,2,FALSE))</f>
        <v>-402</v>
      </c>
      <c r="K8" s="301" t="str">
        <f t="shared" si="1"/>
        <v/>
      </c>
      <c r="L8" s="302" t="str">
        <f>IF(K8=""," ",IF($K$5="LGBF Family Group",SUM(MROUND(SUM(SUM(VLOOKUP(C$17,'Raw - Child Poverty'!A:Q,16,FALSE)*VLOOKUP(C8,'Raw - Child Poverty'!A:Q,15,FALSE))/100),100)-MROUND(SUM(SUM(VLOOKUP(C8,'Raw - Child Poverty'!A:Q,16,FALSE)*VLOOKUP(C8,'Raw - Child Poverty'!A:Q,15,FALSE))/100),100)),IF($K$5="Glasgow City Region",SUM(MROUND(SUM(SUM(VLOOKUP(C$18,'Raw - Child Poverty'!A:Q,16,FALSE)*VLOOKUP(C8,'Raw - Child Poverty'!A:Q,15,FALSE))/100),100)-MROUND(SUM(SUM(VLOOKUP(C8,'Raw - Child Poverty'!A:Q,16,FALSE)*VLOOKUP(C8,'Raw - Child Poverty'!A:Q,15,FALSE))/100),100)),IF($K$5="Scotland",SUM(MROUND(SUM(SUM(VLOOKUP(C$19,'Raw - Child Poverty'!A:Q,16,FALSE)*VLOOKUP(C8,'Raw - Child Poverty'!A:Q,15,FALSE))/100),100)-MROUND(SUM(SUM(VLOOKUP(C8,'Raw - Child Poverty'!A:Q,16,FALSE)*VLOOKUP(C8,'Raw - Child Poverty'!A:Q,15,FALSE))/100),100)),IF($K$5="United Kingdom",SUM(MROUND(SUM(SUM(VLOOKUP(C$20,'Raw - Child Poverty'!A:Q,16,FALSE)*VLOOKUP(C8,'Raw - Child Poverty'!A:Q,15,FALSE))/100),100)-MROUND(SUM(SUM(VLOOKUP(C8,'Raw - Child Poverty'!A:Q,16,FALSE)*VLOOKUP(C8,'Raw - Child Poverty'!A:Q,15,FALSE))/100),100)),SUM(MROUND(SUM(SUM(VLOOKUP(C$16,'Raw - Child Poverty'!A:Q,16,FALSE)*VLOOKUP(C8,'Raw - Child Poverty'!A:Q,15,FALSE))/100),100)-MROUND(SUM(SUM(VLOOKUP(C8,'Raw - Child Poverty'!A:Q,16,FALSE)*VLOOKUP(C8,'Raw - Child Poverty'!A:Q,15,FALSE))/100),100)))))))</f>
        <v xml:space="preserve"> </v>
      </c>
    </row>
    <row r="9" spans="2:12" ht="19.5" customHeight="1">
      <c r="B9" s="296" t="s">
        <v>249</v>
      </c>
      <c r="C9" s="296" t="s">
        <v>27</v>
      </c>
      <c r="D9" s="297">
        <f>VLOOKUP($C9,'Raw - Child Poverty'!$A:$Q,4,FALSE)</f>
        <v>32.200000000000003</v>
      </c>
      <c r="E9" s="297">
        <f>VLOOKUP($C9,'Raw - Child Poverty'!$A:$Q,8,FALSE)</f>
        <v>29.4</v>
      </c>
      <c r="F9" s="297">
        <f>VLOOKUP($C9,'Raw - Child Poverty'!$A:$Q,12,FALSE)</f>
        <v>32</v>
      </c>
      <c r="G9" s="297">
        <f>VLOOKUP($C9,'Raw - Child Poverty'!$A:$Q,16,FALSE)</f>
        <v>32.9</v>
      </c>
      <c r="H9" s="318">
        <f>VLOOKUP(C9,'Raw - Child Poverty'!A:Q,14,FALSE)</f>
        <v>36348</v>
      </c>
      <c r="I9" s="299">
        <f t="shared" si="0"/>
        <v>0.69999999999999574</v>
      </c>
      <c r="J9" s="300">
        <f>SUM(VLOOKUP(C9,'Raw - Child Poverty'!A:Q,14,FALSE)-VLOOKUP(C9,'Raw - Child Poverty'!A:Q,2,FALSE))</f>
        <v>2614</v>
      </c>
      <c r="K9" s="301">
        <f t="shared" si="1"/>
        <v>-18.899999999999999</v>
      </c>
      <c r="L9" s="302">
        <f>IF(K9=""," ",IF($K$5="LGBF Family Group",SUM(MROUND(SUM(SUM(VLOOKUP(C$17,'Raw - Child Poverty'!A:Q,16,FALSE)*VLOOKUP(C9,'Raw - Child Poverty'!A:Q,15,FALSE))/100),100)-MROUND(SUM(SUM(VLOOKUP(C9,'Raw - Child Poverty'!A:Q,16,FALSE)*VLOOKUP(C9,'Raw - Child Poverty'!A:Q,15,FALSE))/100),100)),IF($K$5="Glasgow City Region",SUM(MROUND(SUM(SUM(VLOOKUP(C$18,'Raw - Child Poverty'!A:Q,16,FALSE)*VLOOKUP(C9,'Raw - Child Poverty'!A:Q,15,FALSE))/100),100)-MROUND(SUM(SUM(VLOOKUP(C9,'Raw - Child Poverty'!A:Q,16,FALSE)*VLOOKUP(C9,'Raw - Child Poverty'!A:Q,15,FALSE))/100),100)),IF($K$5="Scotland",SUM(MROUND(SUM(SUM(VLOOKUP(C$19,'Raw - Child Poverty'!A:Q,16,FALSE)*VLOOKUP(C9,'Raw - Child Poverty'!A:Q,15,FALSE))/100),100)-MROUND(SUM(SUM(VLOOKUP(C9,'Raw - Child Poverty'!A:Q,16,FALSE)*VLOOKUP(C9,'Raw - Child Poverty'!A:Q,15,FALSE))/100),100)),IF($K$5="United Kingdom",SUM(MROUND(SUM(SUM(VLOOKUP(C$20,'Raw - Child Poverty'!A:Q,16,FALSE)*VLOOKUP(C9,'Raw - Child Poverty'!A:Q,15,FALSE))/100),100)-MROUND(SUM(SUM(VLOOKUP(C9,'Raw - Child Poverty'!A:Q,16,FALSE)*VLOOKUP(C9,'Raw - Child Poverty'!A:Q,15,FALSE))/100),100)),SUM(MROUND(SUM(SUM(VLOOKUP(C$16,'Raw - Child Poverty'!A:Q,16,FALSE)*VLOOKUP(C9,'Raw - Child Poverty'!A:Q,15,FALSE))/100),100)-MROUND(SUM(SUM(VLOOKUP(C9,'Raw - Child Poverty'!A:Q,16,FALSE)*VLOOKUP(C9,'Raw - Child Poverty'!A:Q,15,FALSE))/100),100)))))))</f>
        <v>-20800</v>
      </c>
    </row>
    <row r="10" spans="2:12" ht="19.5" customHeight="1">
      <c r="B10" s="296" t="s">
        <v>249</v>
      </c>
      <c r="C10" s="296" t="s">
        <v>29</v>
      </c>
      <c r="D10" s="297">
        <f>VLOOKUP($C10,'Raw - Child Poverty'!$A:$Q,4,FALSE)</f>
        <v>23.799999999999997</v>
      </c>
      <c r="E10" s="297">
        <f>VLOOKUP($C10,'Raw - Child Poverty'!$A:$Q,8,FALSE)</f>
        <v>18.2</v>
      </c>
      <c r="F10" s="297">
        <f>VLOOKUP($C10,'Raw - Child Poverty'!$A:$Q,12,FALSE)</f>
        <v>24.4</v>
      </c>
      <c r="G10" s="297">
        <f>VLOOKUP($C10,'Raw - Child Poverty'!$A:$Q,16,FALSE)</f>
        <v>26.1</v>
      </c>
      <c r="H10" s="318">
        <f>VLOOKUP(C10,'Raw - Child Poverty'!A:Q,14,FALSE)</f>
        <v>3600</v>
      </c>
      <c r="I10" s="299">
        <f t="shared" si="0"/>
        <v>2.3000000000000043</v>
      </c>
      <c r="J10" s="300">
        <f>SUM(VLOOKUP(C10,'Raw - Child Poverty'!A:Q,14,FALSE)-VLOOKUP(C10,'Raw - Child Poverty'!A:Q,2,FALSE))</f>
        <v>-342</v>
      </c>
      <c r="K10" s="301">
        <f t="shared" si="1"/>
        <v>-12.1</v>
      </c>
      <c r="L10" s="302">
        <f>IF(K10=""," ",IF($K$5="LGBF Family Group",SUM(MROUND(SUM(SUM(VLOOKUP(C$17,'Raw - Child Poverty'!A:Q,16,FALSE)*VLOOKUP(C10,'Raw - Child Poverty'!A:Q,15,FALSE))/100),100)-MROUND(SUM(SUM(VLOOKUP(C10,'Raw - Child Poverty'!A:Q,16,FALSE)*VLOOKUP(C10,'Raw - Child Poverty'!A:Q,15,FALSE))/100),100)),IF($K$5="Glasgow City Region",SUM(MROUND(SUM(SUM(VLOOKUP(C$18,'Raw - Child Poverty'!A:Q,16,FALSE)*VLOOKUP(C10,'Raw - Child Poverty'!A:Q,15,FALSE))/100),100)-MROUND(SUM(SUM(VLOOKUP(C10,'Raw - Child Poverty'!A:Q,16,FALSE)*VLOOKUP(C10,'Raw - Child Poverty'!A:Q,15,FALSE))/100),100)),IF($K$5="Scotland",SUM(MROUND(SUM(SUM(VLOOKUP(C$19,'Raw - Child Poverty'!A:Q,16,FALSE)*VLOOKUP(C10,'Raw - Child Poverty'!A:Q,15,FALSE))/100),100)-MROUND(SUM(SUM(VLOOKUP(C10,'Raw - Child Poverty'!A:Q,16,FALSE)*VLOOKUP(C10,'Raw - Child Poverty'!A:Q,15,FALSE))/100),100)),IF($K$5="United Kingdom",SUM(MROUND(SUM(SUM(VLOOKUP(C$20,'Raw - Child Poverty'!A:Q,16,FALSE)*VLOOKUP(C10,'Raw - Child Poverty'!A:Q,15,FALSE))/100),100)-MROUND(SUM(SUM(VLOOKUP(C10,'Raw - Child Poverty'!A:Q,16,FALSE)*VLOOKUP(C10,'Raw - Child Poverty'!A:Q,15,FALSE))/100),100)),SUM(MROUND(SUM(SUM(VLOOKUP(C$16,'Raw - Child Poverty'!A:Q,16,FALSE)*VLOOKUP(C10,'Raw - Child Poverty'!A:Q,15,FALSE))/100),100)-MROUND(SUM(SUM(VLOOKUP(C10,'Raw - Child Poverty'!A:Q,16,FALSE)*VLOOKUP(C10,'Raw - Child Poverty'!A:Q,15,FALSE))/100),100)))))))</f>
        <v>-1700</v>
      </c>
    </row>
    <row r="11" spans="2:12" ht="19.5" customHeight="1">
      <c r="B11" s="296" t="s">
        <v>249</v>
      </c>
      <c r="C11" s="296" t="s">
        <v>34</v>
      </c>
      <c r="D11" s="297">
        <f>VLOOKUP($C11,'Raw - Child Poverty'!$A:$Q,4,FALSE)</f>
        <v>26.5</v>
      </c>
      <c r="E11" s="297">
        <f>VLOOKUP($C11,'Raw - Child Poverty'!$A:$Q,8,FALSE)</f>
        <v>23.200000000000003</v>
      </c>
      <c r="F11" s="297">
        <f>VLOOKUP($C11,'Raw - Child Poverty'!$A:$Q,12,FALSE)</f>
        <v>26.6</v>
      </c>
      <c r="G11" s="297">
        <f>VLOOKUP($C11,'Raw - Child Poverty'!$A:$Q,16,FALSE)</f>
        <v>26.900000000000002</v>
      </c>
      <c r="H11" s="318">
        <f>VLOOKUP(C11,'Raw - Child Poverty'!A:Q,14,FALSE)</f>
        <v>18264</v>
      </c>
      <c r="I11" s="299">
        <f t="shared" si="0"/>
        <v>0.40000000000000213</v>
      </c>
      <c r="J11" s="300">
        <f>SUM(VLOOKUP(C11,'Raw - Child Poverty'!A:Q,14,FALSE)-VLOOKUP(C11,'Raw - Child Poverty'!A:Q,2,FALSE))</f>
        <v>-1108</v>
      </c>
      <c r="K11" s="301">
        <f t="shared" si="1"/>
        <v>-12.9</v>
      </c>
      <c r="L11" s="302">
        <f>IF(K11=""," ",IF($K$5="LGBF Family Group",SUM(MROUND(SUM(SUM(VLOOKUP(C$17,'Raw - Child Poverty'!A:Q,16,FALSE)*VLOOKUP(C11,'Raw - Child Poverty'!A:Q,15,FALSE))/100),100)-MROUND(SUM(SUM(VLOOKUP(C11,'Raw - Child Poverty'!A:Q,16,FALSE)*VLOOKUP(C11,'Raw - Child Poverty'!A:Q,15,FALSE))/100),100)),IF($K$5="Glasgow City Region",SUM(MROUND(SUM(SUM(VLOOKUP(C$18,'Raw - Child Poverty'!A:Q,16,FALSE)*VLOOKUP(C11,'Raw - Child Poverty'!A:Q,15,FALSE))/100),100)-MROUND(SUM(SUM(VLOOKUP(C11,'Raw - Child Poverty'!A:Q,16,FALSE)*VLOOKUP(C11,'Raw - Child Poverty'!A:Q,15,FALSE))/100),100)),IF($K$5="Scotland",SUM(MROUND(SUM(SUM(VLOOKUP(C$19,'Raw - Child Poverty'!A:Q,16,FALSE)*VLOOKUP(C11,'Raw - Child Poverty'!A:Q,15,FALSE))/100),100)-MROUND(SUM(SUM(VLOOKUP(C11,'Raw - Child Poverty'!A:Q,16,FALSE)*VLOOKUP(C11,'Raw - Child Poverty'!A:Q,15,FALSE))/100),100)),IF($K$5="United Kingdom",SUM(MROUND(SUM(SUM(VLOOKUP(C$20,'Raw - Child Poverty'!A:Q,16,FALSE)*VLOOKUP(C11,'Raw - Child Poverty'!A:Q,15,FALSE))/100),100)-MROUND(SUM(SUM(VLOOKUP(C11,'Raw - Child Poverty'!A:Q,16,FALSE)*VLOOKUP(C11,'Raw - Child Poverty'!A:Q,15,FALSE))/100),100)),SUM(MROUND(SUM(SUM(VLOOKUP(C$16,'Raw - Child Poverty'!A:Q,16,FALSE)*VLOOKUP(C11,'Raw - Child Poverty'!A:Q,15,FALSE))/100),100)-MROUND(SUM(SUM(VLOOKUP(C11,'Raw - Child Poverty'!A:Q,16,FALSE)*VLOOKUP(C11,'Raw - Child Poverty'!A:Q,15,FALSE))/100),100)))))))</f>
        <v>-8800</v>
      </c>
    </row>
    <row r="12" spans="2:12" ht="19.5" customHeight="1">
      <c r="B12" s="296" t="s">
        <v>249</v>
      </c>
      <c r="C12" s="296" t="s">
        <v>37</v>
      </c>
      <c r="D12" s="297">
        <f>VLOOKUP($C12,'Raw - Child Poverty'!$A:$Q,4,FALSE)</f>
        <v>23.1</v>
      </c>
      <c r="E12" s="297">
        <f>VLOOKUP($C12,'Raw - Child Poverty'!$A:$Q,8,FALSE)</f>
        <v>19.5</v>
      </c>
      <c r="F12" s="297">
        <f>VLOOKUP($C12,'Raw - Child Poverty'!$A:$Q,12,FALSE)</f>
        <v>23.3</v>
      </c>
      <c r="G12" s="297">
        <f>VLOOKUP($C12,'Raw - Child Poverty'!$A:$Q,16,FALSE)</f>
        <v>24</v>
      </c>
      <c r="H12" s="318">
        <f>VLOOKUP(C12,'Raw - Child Poverty'!A:Q,14,FALSE)</f>
        <v>7944</v>
      </c>
      <c r="I12" s="299">
        <f t="shared" si="0"/>
        <v>0.89999999999999858</v>
      </c>
      <c r="J12" s="300">
        <f>SUM(VLOOKUP(C12,'Raw - Child Poverty'!A:Q,14,FALSE)-VLOOKUP(C12,'Raw - Child Poverty'!A:Q,2,FALSE))</f>
        <v>906</v>
      </c>
      <c r="K12" s="301">
        <f t="shared" si="1"/>
        <v>-9.9999999999999982</v>
      </c>
      <c r="L12" s="302">
        <f>IF(K12=""," ",IF($K$5="LGBF Family Group",SUM(MROUND(SUM(SUM(VLOOKUP(C$17,'Raw - Child Poverty'!A:Q,16,FALSE)*VLOOKUP(C12,'Raw - Child Poverty'!A:Q,15,FALSE))/100),100)-MROUND(SUM(SUM(VLOOKUP(C12,'Raw - Child Poverty'!A:Q,16,FALSE)*VLOOKUP(C12,'Raw - Child Poverty'!A:Q,15,FALSE))/100),100)),IF($K$5="Glasgow City Region",SUM(MROUND(SUM(SUM(VLOOKUP(C$18,'Raw - Child Poverty'!A:Q,16,FALSE)*VLOOKUP(C12,'Raw - Child Poverty'!A:Q,15,FALSE))/100),100)-MROUND(SUM(SUM(VLOOKUP(C12,'Raw - Child Poverty'!A:Q,16,FALSE)*VLOOKUP(C12,'Raw - Child Poverty'!A:Q,15,FALSE))/100),100)),IF($K$5="Scotland",SUM(MROUND(SUM(SUM(VLOOKUP(C$19,'Raw - Child Poverty'!A:Q,16,FALSE)*VLOOKUP(C12,'Raw - Child Poverty'!A:Q,15,FALSE))/100),100)-MROUND(SUM(SUM(VLOOKUP(C12,'Raw - Child Poverty'!A:Q,16,FALSE)*VLOOKUP(C12,'Raw - Child Poverty'!A:Q,15,FALSE))/100),100)),IF($K$5="United Kingdom",SUM(MROUND(SUM(SUM(VLOOKUP(C$20,'Raw - Child Poverty'!A:Q,16,FALSE)*VLOOKUP(C12,'Raw - Child Poverty'!A:Q,15,FALSE))/100),100)-MROUND(SUM(SUM(VLOOKUP(C12,'Raw - Child Poverty'!A:Q,16,FALSE)*VLOOKUP(C12,'Raw - Child Poverty'!A:Q,15,FALSE))/100),100)),SUM(MROUND(SUM(SUM(VLOOKUP(C$16,'Raw - Child Poverty'!A:Q,16,FALSE)*VLOOKUP(C12,'Raw - Child Poverty'!A:Q,15,FALSE))/100),100)-MROUND(SUM(SUM(VLOOKUP(C12,'Raw - Child Poverty'!A:Q,16,FALSE)*VLOOKUP(C12,'Raw - Child Poverty'!A:Q,15,FALSE))/100),100)))))))</f>
        <v>-3300</v>
      </c>
    </row>
    <row r="13" spans="2:12" ht="19.5" customHeight="1">
      <c r="B13" s="296" t="s">
        <v>249</v>
      </c>
      <c r="C13" s="296" t="s">
        <v>41</v>
      </c>
      <c r="D13" s="297">
        <f>VLOOKUP($C13,'Raw - Child Poverty'!$A:$Q,4,FALSE)</f>
        <v>23.1</v>
      </c>
      <c r="E13" s="297">
        <f>VLOOKUP($C13,'Raw - Child Poverty'!$A:$Q,8,FALSE)</f>
        <v>19.600000000000001</v>
      </c>
      <c r="F13" s="297">
        <f>VLOOKUP($C13,'Raw - Child Poverty'!$A:$Q,12,FALSE)</f>
        <v>22.8</v>
      </c>
      <c r="G13" s="297">
        <f>VLOOKUP($C13,'Raw - Child Poverty'!$A:$Q,16,FALSE)</f>
        <v>23.599999999999998</v>
      </c>
      <c r="H13" s="318">
        <f>VLOOKUP(C13,'Raw - Child Poverty'!A:Q,14,FALSE)</f>
        <v>14641</v>
      </c>
      <c r="I13" s="299">
        <f t="shared" si="0"/>
        <v>0.49999999999999645</v>
      </c>
      <c r="J13" s="300">
        <f>SUM(VLOOKUP(C13,'Raw - Child Poverty'!A:Q,14,FALSE)-VLOOKUP(C13,'Raw - Child Poverty'!A:Q,2,FALSE))</f>
        <v>-82</v>
      </c>
      <c r="K13" s="301">
        <f t="shared" si="1"/>
        <v>-9.5999999999999961</v>
      </c>
      <c r="L13" s="302">
        <f>IF(K13=""," ",IF($K$5="LGBF Family Group",SUM(MROUND(SUM(SUM(VLOOKUP(C$17,'Raw - Child Poverty'!A:Q,16,FALSE)*VLOOKUP(C13,'Raw - Child Poverty'!A:Q,15,FALSE))/100),100)-MROUND(SUM(SUM(VLOOKUP(C13,'Raw - Child Poverty'!A:Q,16,FALSE)*VLOOKUP(C13,'Raw - Child Poverty'!A:Q,15,FALSE))/100),100)),IF($K$5="Glasgow City Region",SUM(MROUND(SUM(SUM(VLOOKUP(C$18,'Raw - Child Poverty'!A:Q,16,FALSE)*VLOOKUP(C13,'Raw - Child Poverty'!A:Q,15,FALSE))/100),100)-MROUND(SUM(SUM(VLOOKUP(C13,'Raw - Child Poverty'!A:Q,16,FALSE)*VLOOKUP(C13,'Raw - Child Poverty'!A:Q,15,FALSE))/100),100)),IF($K$5="Scotland",SUM(MROUND(SUM(SUM(VLOOKUP(C$19,'Raw - Child Poverty'!A:Q,16,FALSE)*VLOOKUP(C13,'Raw - Child Poverty'!A:Q,15,FALSE))/100),100)-MROUND(SUM(SUM(VLOOKUP(C13,'Raw - Child Poverty'!A:Q,16,FALSE)*VLOOKUP(C13,'Raw - Child Poverty'!A:Q,15,FALSE))/100),100)),IF($K$5="United Kingdom",SUM(MROUND(SUM(SUM(VLOOKUP(C$20,'Raw - Child Poverty'!A:Q,16,FALSE)*VLOOKUP(C13,'Raw - Child Poverty'!A:Q,15,FALSE))/100),100)-MROUND(SUM(SUM(VLOOKUP(C13,'Raw - Child Poverty'!A:Q,16,FALSE)*VLOOKUP(C13,'Raw - Child Poverty'!A:Q,15,FALSE))/100),100)),SUM(MROUND(SUM(SUM(VLOOKUP(C$16,'Raw - Child Poverty'!A:Q,16,FALSE)*VLOOKUP(C13,'Raw - Child Poverty'!A:Q,15,FALSE))/100),100)-MROUND(SUM(SUM(VLOOKUP(C13,'Raw - Child Poverty'!A:Q,16,FALSE)*VLOOKUP(C13,'Raw - Child Poverty'!A:Q,15,FALSE))/100),100)))))))</f>
        <v>-5900</v>
      </c>
    </row>
    <row r="14" spans="2:12" ht="19.5" customHeight="1">
      <c r="B14" s="296" t="s">
        <v>249</v>
      </c>
      <c r="C14" s="296" t="s">
        <v>43</v>
      </c>
      <c r="D14" s="297">
        <f>VLOOKUP($C14,'Raw - Child Poverty'!$A:$Q,4,FALSE)</f>
        <v>26.8</v>
      </c>
      <c r="E14" s="297">
        <f>VLOOKUP($C14,'Raw - Child Poverty'!$A:$Q,8,FALSE)</f>
        <v>23.400000000000002</v>
      </c>
      <c r="F14" s="297">
        <f>VLOOKUP($C14,'Raw - Child Poverty'!$A:$Q,12,FALSE)</f>
        <v>27.6</v>
      </c>
      <c r="G14" s="297">
        <f>VLOOKUP($C14,'Raw - Child Poverty'!$A:$Q,16,FALSE)</f>
        <v>28.000000000000004</v>
      </c>
      <c r="H14" s="318">
        <f>VLOOKUP(C14,'Raw - Child Poverty'!A:Q,14,FALSE)</f>
        <v>4728</v>
      </c>
      <c r="I14" s="299">
        <f t="shared" si="0"/>
        <v>1.2000000000000028</v>
      </c>
      <c r="J14" s="300">
        <f>SUM(VLOOKUP(C14,'Raw - Child Poverty'!A:Q,14,FALSE)-VLOOKUP(C14,'Raw - Child Poverty'!A:Q,2,FALSE))</f>
        <v>354</v>
      </c>
      <c r="K14" s="301">
        <f t="shared" si="1"/>
        <v>-14.000000000000002</v>
      </c>
      <c r="L14" s="302">
        <f>IF(K14=""," ",IF($K$5="LGBF Family Group",SUM(MROUND(SUM(SUM(VLOOKUP(C$17,'Raw - Child Poverty'!A:Q,16,FALSE)*VLOOKUP(C14,'Raw - Child Poverty'!A:Q,15,FALSE))/100),100)-MROUND(SUM(SUM(VLOOKUP(C14,'Raw - Child Poverty'!A:Q,16,FALSE)*VLOOKUP(C14,'Raw - Child Poverty'!A:Q,15,FALSE))/100),100)),IF($K$5="Glasgow City Region",SUM(MROUND(SUM(SUM(VLOOKUP(C$18,'Raw - Child Poverty'!A:Q,16,FALSE)*VLOOKUP(C14,'Raw - Child Poverty'!A:Q,15,FALSE))/100),100)-MROUND(SUM(SUM(VLOOKUP(C14,'Raw - Child Poverty'!A:Q,16,FALSE)*VLOOKUP(C14,'Raw - Child Poverty'!A:Q,15,FALSE))/100),100)),IF($K$5="Scotland",SUM(MROUND(SUM(SUM(VLOOKUP(C$19,'Raw - Child Poverty'!A:Q,16,FALSE)*VLOOKUP(C14,'Raw - Child Poverty'!A:Q,15,FALSE))/100),100)-MROUND(SUM(SUM(VLOOKUP(C14,'Raw - Child Poverty'!A:Q,16,FALSE)*VLOOKUP(C14,'Raw - Child Poverty'!A:Q,15,FALSE))/100),100)),IF($K$5="United Kingdom",SUM(MROUND(SUM(SUM(VLOOKUP(C$20,'Raw - Child Poverty'!A:Q,16,FALSE)*VLOOKUP(C14,'Raw - Child Poverty'!A:Q,15,FALSE))/100),100)-MROUND(SUM(SUM(VLOOKUP(C14,'Raw - Child Poverty'!A:Q,16,FALSE)*VLOOKUP(C14,'Raw - Child Poverty'!A:Q,15,FALSE))/100),100)),SUM(MROUND(SUM(SUM(VLOOKUP(C$16,'Raw - Child Poverty'!A:Q,16,FALSE)*VLOOKUP(C14,'Raw - Child Poverty'!A:Q,15,FALSE))/100),100)-MROUND(SUM(SUM(VLOOKUP(C14,'Raw - Child Poverty'!A:Q,16,FALSE)*VLOOKUP(C14,'Raw - Child Poverty'!A:Q,15,FALSE))/100),100)))))))</f>
        <v>-2300</v>
      </c>
    </row>
    <row r="15" spans="2:12" ht="19.5" customHeight="1">
      <c r="B15" s="303"/>
      <c r="C15" s="303"/>
      <c r="D15" s="304"/>
      <c r="E15" s="304"/>
      <c r="F15" s="304"/>
      <c r="G15" s="304"/>
      <c r="H15" s="304"/>
      <c r="I15" s="306"/>
      <c r="J15" s="306"/>
      <c r="K15" s="306"/>
      <c r="L15" s="306"/>
    </row>
    <row r="16" spans="2:12" ht="19.5" customHeight="1">
      <c r="B16" s="307" t="s">
        <v>51</v>
      </c>
      <c r="C16" s="296" t="str">
        <f>INDEX('Raw - Child Poverty'!$A$9:$A$40,MATCH(MIN('Raw - Child Poverty'!P9:P40),'Raw - Child Poverty'!P9:P40,0))</f>
        <v>East Renfrewshire</v>
      </c>
      <c r="D16" s="297">
        <f>VLOOKUP($C16,'Raw - Child Poverty'!$A:$Q,4,FALSE)</f>
        <v>15.8</v>
      </c>
      <c r="E16" s="297">
        <f>VLOOKUP($C16,'Raw - Child Poverty'!$A:$Q,8,FALSE)</f>
        <v>12.8</v>
      </c>
      <c r="F16" s="297">
        <f>VLOOKUP($C16,'Raw - Child Poverty'!$A:$Q,12,FALSE)</f>
        <v>14.399999999999999</v>
      </c>
      <c r="G16" s="297">
        <f>VLOOKUP($C16,'Raw - Child Poverty'!$A:$Q,16,FALSE)</f>
        <v>14.000000000000002</v>
      </c>
      <c r="H16" s="318">
        <f>VLOOKUP(C16,'Raw - Child Poverty'!A:Q,14,FALSE)</f>
        <v>3247</v>
      </c>
      <c r="I16" s="299">
        <f>SUM(G16-D16)</f>
        <v>-1.7999999999999989</v>
      </c>
      <c r="J16" s="300">
        <f>SUM(VLOOKUP(C16,'Raw - Child Poverty'!A:Q,14,FALSE)-VLOOKUP(C16,'Raw - Child Poverty'!A:Q,2,FALSE))</f>
        <v>-402</v>
      </c>
    </row>
    <row r="17" spans="2:12" ht="19.5" customHeight="1">
      <c r="B17" s="307" t="s">
        <v>542</v>
      </c>
      <c r="C17" s="308" t="s">
        <v>546</v>
      </c>
      <c r="D17" s="297">
        <f>VLOOKUP($C17,'Raw - Child Poverty'!$A:$Q,4,FALSE)</f>
        <v>28.513711855091877</v>
      </c>
      <c r="E17" s="297">
        <f>VLOOKUP($C17,'Raw - Child Poverty'!$A:$Q,8,FALSE)</f>
        <v>25.352756191489394</v>
      </c>
      <c r="F17" s="297">
        <f>VLOOKUP($C17,'Raw - Child Poverty'!$A:$Q,12,FALSE)</f>
        <v>28.823395320432766</v>
      </c>
      <c r="G17" s="297">
        <f>VLOOKUP($C17,'Raw - Child Poverty'!$A:$Q,16,FALSE)</f>
        <v>29.492771052195422</v>
      </c>
      <c r="H17" s="318">
        <f>VLOOKUP(C17,'Raw - Child Poverty'!A:Q,14,FALSE)</f>
        <v>84714</v>
      </c>
      <c r="I17" s="299">
        <f>SUM(G17-D17)</f>
        <v>0.97905919710354539</v>
      </c>
      <c r="J17" s="300">
        <f>SUM(VLOOKUP(C17,'Raw - Child Poverty'!A:Q,14,FALSE)-VLOOKUP(C17,'Raw - Child Poverty'!A:Q,2,FALSE))</f>
        <v>1553</v>
      </c>
    </row>
    <row r="18" spans="2:12" ht="19.5" customHeight="1">
      <c r="B18" s="307" t="s">
        <v>250</v>
      </c>
      <c r="C18" s="296" t="s">
        <v>47</v>
      </c>
      <c r="D18" s="297">
        <f>VLOOKUP($C18,'Raw - Child Poverty'!$A:$Q,4,FALSE)</f>
        <v>25.79720155994384</v>
      </c>
      <c r="E18" s="297">
        <f>VLOOKUP($C18,'Raw - Child Poverty'!$A:$Q,8,FALSE)</f>
        <v>22.635939697467709</v>
      </c>
      <c r="F18" s="297">
        <f>VLOOKUP($C18,'Raw - Child Poverty'!$A:$Q,12,FALSE)</f>
        <v>25.750397936534032</v>
      </c>
      <c r="G18" s="297">
        <f>VLOOKUP($C18,'Raw - Child Poverty'!$A:$Q,16,FALSE)</f>
        <v>26.399326302588388</v>
      </c>
      <c r="H18" s="318">
        <f>VLOOKUP(C18,'Raw - Child Poverty'!A:Q,14,FALSE)</f>
        <v>92212</v>
      </c>
      <c r="I18" s="299">
        <f t="shared" ref="I18:I20" si="2">SUM(G18-D18)</f>
        <v>0.60212474264454841</v>
      </c>
      <c r="J18" s="300">
        <f>SUM(VLOOKUP(C18,'Raw - Child Poverty'!A:Q,14,FALSE)-VLOOKUP(C18,'Raw - Child Poverty'!A:Q,2,FALSE))</f>
        <v>1596</v>
      </c>
    </row>
    <row r="19" spans="2:12" ht="19.5" customHeight="1">
      <c r="B19" s="307" t="s">
        <v>251</v>
      </c>
      <c r="C19" s="296" t="s">
        <v>45</v>
      </c>
      <c r="D19" s="297">
        <f>VLOOKUP($C19,'Raw - Child Poverty'!$A:$Q,4,FALSE)</f>
        <v>24.218714363786482</v>
      </c>
      <c r="E19" s="297">
        <f>VLOOKUP($C19,'Raw - Child Poverty'!$A:$Q,8,FALSE)</f>
        <v>20.842242022710909</v>
      </c>
      <c r="F19" s="297">
        <f>VLOOKUP($C19,'Raw - Child Poverty'!$A:$Q,12,FALSE)</f>
        <v>23.845449269808054</v>
      </c>
      <c r="G19" s="297">
        <f>VLOOKUP($C19,'Raw - Child Poverty'!$A:$Q,16,FALSE)</f>
        <v>24.473927977812586</v>
      </c>
      <c r="H19" s="318">
        <f>VLOOKUP(C19,'Raw - Child Poverty'!A:Q,14,FALSE)</f>
        <v>247144</v>
      </c>
      <c r="I19" s="299">
        <f t="shared" si="2"/>
        <v>0.2552136140261041</v>
      </c>
      <c r="J19" s="300">
        <f>SUM(VLOOKUP(C19,'Raw - Child Poverty'!A:Q,14,FALSE)-VLOOKUP(C19,'Raw - Child Poverty'!A:Q,2,FALSE))</f>
        <v>-1056</v>
      </c>
    </row>
    <row r="20" spans="2:12" ht="19.5" customHeight="1">
      <c r="B20" s="307" t="s">
        <v>251</v>
      </c>
      <c r="C20" s="296" t="s">
        <v>46</v>
      </c>
      <c r="D20" s="297">
        <f>VLOOKUP($C20,'Raw - Child Poverty'!$A:$Q,4,FALSE)</f>
        <v>28.902955927391528</v>
      </c>
      <c r="E20" s="297">
        <f>VLOOKUP($C20,'Raw - Child Poverty'!$A:$Q,8,FALSE)</f>
        <v>27.915604459181441</v>
      </c>
      <c r="F20" s="297">
        <f>VLOOKUP($C20,'Raw - Child Poverty'!$A:$Q,12,FALSE)</f>
        <v>28.356740271072585</v>
      </c>
      <c r="G20" s="297">
        <f>VLOOKUP($C20,'Raw - Child Poverty'!$A:$Q,16,FALSE)</f>
        <v>28.936021126269207</v>
      </c>
      <c r="H20" s="318">
        <f>VLOOKUP(C20,'Raw - Child Poverty'!A:Q,14,FALSE)</f>
        <v>3072241</v>
      </c>
      <c r="I20" s="299">
        <f t="shared" si="2"/>
        <v>3.3065198877679336E-2</v>
      </c>
      <c r="J20" s="300">
        <f>SUM(VLOOKUP(C20,'Raw - Child Poverty'!A:Q,14,FALSE)-VLOOKUP(C20,'Raw - Child Poverty'!A:Q,2,FALSE))</f>
        <v>12459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c r="I22" s="325"/>
    </row>
    <row r="23" spans="2:12">
      <c r="B23" s="313" t="s">
        <v>467</v>
      </c>
    </row>
  </sheetData>
  <sheetProtection algorithmName="SHA-512" hashValue="mXQWJTwhCgveGS11AoUdjQ7ZE+3xfydz0ORkFBMcaStxlaOEVsSamKlcf9rJ/HC0cJRUGrwR7qQtSVZkj4RmHA==" saltValue="WM8wr+NHK83tKvhHfpn09Q==" spinCount="100000" sheet="1" objects="1" scenarios="1"/>
  <autoFilter ref="C6:L14" xr:uid="{00000000-0009-0000-0000-000004000000}">
    <sortState xmlns:xlrd2="http://schemas.microsoft.com/office/spreadsheetml/2017/richdata2" ref="C7:L14">
      <sortCondition ref="C6:C14"/>
    </sortState>
  </autoFilter>
  <mergeCells count="4">
    <mergeCell ref="K4:L4"/>
    <mergeCell ref="I5:J5"/>
    <mergeCell ref="K5:L5"/>
    <mergeCell ref="F2:G2"/>
  </mergeCells>
  <dataValidations disablePrompts="1" count="1">
    <dataValidation type="list" allowBlank="1" showInputMessage="1" showErrorMessage="1" sqref="C17" xr:uid="{00000000-0002-0000-0400-000000000000}">
      <formula1>IF(B17="LGBF Family Group 1",LGBF_1,IF(B17="LGBF Family Group 3",LGBF_3,IF(B17="LGBF Family Group 4",LGBF_4,LGBF_2)))</formula1>
    </dataValidation>
  </dataValidations>
  <hyperlinks>
    <hyperlink ref="C3" r:id="rId1" xr:uid="{00000000-0004-0000-0400-000000000000}"/>
    <hyperlink ref="F2:G2" location="'Index RAG'!A1" display="Return to Index RAG" xr:uid="{00000000-0004-0000-04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400-000001000000}">
          <x14:formula1>
            <xm:f>Lookups!$B$3:$B$7</xm:f>
          </x14:formula1>
          <xm:sqref>K5:L5</xm:sqref>
        </x14:dataValidation>
        <x14:dataValidation type="list" allowBlank="1" showInputMessage="1" showErrorMessage="1" xr:uid="{00000000-0002-0000-0400-000002000000}">
          <x14:formula1>
            <xm:f>Lookups!$L$8:$O$8</xm:f>
          </x14:formula1>
          <xm:sqref>B17</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autoPageBreaks="0" fitToPage="1"/>
  </sheetPr>
  <dimension ref="A1:S96"/>
  <sheetViews>
    <sheetView zoomScale="68" zoomScaleNormal="90" workbookViewId="0">
      <selection activeCell="B95" sqref="B95"/>
    </sheetView>
  </sheetViews>
  <sheetFormatPr defaultColWidth="8.7265625" defaultRowHeight="12.5"/>
  <cols>
    <col min="1" max="1" width="17.7265625" style="526" customWidth="1"/>
    <col min="2" max="2" width="10.7265625" style="526" customWidth="1"/>
    <col min="3" max="3" width="15.81640625" style="526" customWidth="1"/>
    <col min="4" max="15" width="13.26953125" style="526" customWidth="1"/>
    <col min="16" max="16" width="11.1796875" style="526" customWidth="1"/>
    <col min="17" max="16384" width="8.7265625" style="526"/>
  </cols>
  <sheetData>
    <row r="1" spans="1:19" s="521" customFormat="1" ht="15.5">
      <c r="A1" s="520"/>
      <c r="C1" s="522"/>
      <c r="D1" s="522"/>
      <c r="G1" s="522"/>
      <c r="H1" s="522"/>
      <c r="K1" s="522"/>
      <c r="L1" s="522"/>
      <c r="O1" s="522"/>
      <c r="P1" s="522"/>
    </row>
    <row r="2" spans="1:19" s="521" customFormat="1" ht="15.5">
      <c r="A2" s="520"/>
    </row>
    <row r="3" spans="1:19" s="521" customFormat="1" ht="15.5">
      <c r="A3" s="520"/>
    </row>
    <row r="4" spans="1:19" s="521" customFormat="1" ht="15.5">
      <c r="A4" s="520"/>
    </row>
    <row r="5" spans="1:19" s="521" customFormat="1" ht="15.5">
      <c r="A5" s="520"/>
    </row>
    <row r="6" spans="1:19" ht="54" customHeight="1">
      <c r="A6" s="523"/>
      <c r="B6" s="524"/>
      <c r="C6" s="525" t="s">
        <v>771</v>
      </c>
      <c r="D6" s="525">
        <f>YEAR(C6)</f>
        <v>2021</v>
      </c>
      <c r="E6" s="525"/>
      <c r="F6" s="524"/>
      <c r="G6" s="525" t="s">
        <v>772</v>
      </c>
      <c r="H6" s="525">
        <f>YEAR(G6)</f>
        <v>2022</v>
      </c>
      <c r="I6" s="525"/>
      <c r="J6" s="524"/>
      <c r="K6" s="525" t="s">
        <v>773</v>
      </c>
      <c r="L6" s="525">
        <f>YEAR(K6)</f>
        <v>2023</v>
      </c>
      <c r="M6" s="525"/>
      <c r="N6" s="524"/>
      <c r="O6" s="525" t="s">
        <v>774</v>
      </c>
      <c r="P6" s="525">
        <f>YEAR(O6)</f>
        <v>2024</v>
      </c>
    </row>
    <row r="7" spans="1:19" ht="40.5" customHeight="1">
      <c r="A7" s="527"/>
      <c r="B7" s="528"/>
      <c r="C7" s="529"/>
      <c r="D7" s="530"/>
      <c r="E7" s="529"/>
      <c r="F7" s="528"/>
      <c r="G7" s="530"/>
      <c r="H7" s="530"/>
      <c r="I7" s="529"/>
      <c r="J7" s="528"/>
      <c r="K7" s="529"/>
      <c r="L7" s="530"/>
      <c r="M7" s="529"/>
      <c r="N7" s="528"/>
      <c r="O7" s="529"/>
      <c r="P7" s="530"/>
    </row>
    <row r="8" spans="1:19" ht="16.5" customHeight="1">
      <c r="B8" s="531" t="s">
        <v>695</v>
      </c>
      <c r="C8" s="526" t="s">
        <v>696</v>
      </c>
      <c r="D8" s="532"/>
      <c r="E8" s="532"/>
      <c r="F8" s="531" t="s">
        <v>695</v>
      </c>
      <c r="G8" s="526" t="s">
        <v>696</v>
      </c>
      <c r="H8" s="532"/>
      <c r="I8" s="532"/>
      <c r="J8" s="531" t="s">
        <v>695</v>
      </c>
      <c r="K8" s="526" t="s">
        <v>696</v>
      </c>
      <c r="L8" s="532"/>
      <c r="M8" s="532"/>
      <c r="N8" s="531" t="s">
        <v>695</v>
      </c>
      <c r="O8" s="526" t="s">
        <v>696</v>
      </c>
      <c r="P8" s="532"/>
    </row>
    <row r="9" spans="1:19" ht="16.5" customHeight="1">
      <c r="A9" s="526" t="s">
        <v>14</v>
      </c>
      <c r="B9" s="533">
        <f t="shared" ref="B9:B40" si="0">INDEX($I$62:$L$95,MATCH($A9,$H$62:$H$95,0),MATCH(C$6,$I$61:$L$61,0))</f>
        <v>7230</v>
      </c>
      <c r="C9" s="533">
        <f t="shared" ref="C9:C43" si="1">SUM(INDEX($B$61:$E$95,MATCH($A9,$A$61:$A$95,0),MATCH(D$6,$B$60:$E$60,0))/1000)</f>
        <v>154.22900000000001</v>
      </c>
      <c r="D9" s="534">
        <f>B9/C9</f>
        <v>46.878343242840188</v>
      </c>
      <c r="E9" s="533"/>
      <c r="F9" s="533">
        <f t="shared" ref="F9:F40" si="2">INDEX($I$62:$L$95,MATCH($A9,$H$62:$H$95,0),MATCH(G$6,$I$61:$L$61,0))</f>
        <v>6759</v>
      </c>
      <c r="G9" s="533">
        <f t="shared" ref="G9:G43" si="3">SUM(INDEX($B$61:$E$95,MATCH($A9,$A$61:$A$95,0),MATCH(H$6,$B$60:$E$60,0))/1000)</f>
        <v>150.298</v>
      </c>
      <c r="H9" s="534">
        <f>F9/G9</f>
        <v>44.970658292192844</v>
      </c>
      <c r="I9" s="533"/>
      <c r="J9" s="533">
        <f t="shared" ref="J9:J40" si="4">INDEX($I$62:$L$95,MATCH($A9,$H$62:$H$95,0),MATCH(K$6,$I$61:$L$61,0))</f>
        <v>6282</v>
      </c>
      <c r="K9" s="533">
        <f t="shared" ref="K9:K43" si="5">SUM(INDEX($B$61:$E$95,MATCH($A9,$A$61:$A$95,0),MATCH(L$6,$B$60:$E$60,0))/1000)</f>
        <v>151.691</v>
      </c>
      <c r="L9" s="534">
        <f>J9/K9</f>
        <v>41.413135914457676</v>
      </c>
      <c r="M9" s="533"/>
      <c r="N9" s="533">
        <f t="shared" ref="N9:N40" si="6">INDEX($I$62:$L$95,MATCH($A9,$H$62:$H$95,0),MATCH(O$6,$I$61:$L$61,0))</f>
        <v>5778</v>
      </c>
      <c r="O9" s="533">
        <f t="shared" ref="O9:O43" si="7">SUM(INDEX($B$61:$E$95,MATCH($A9,$A$61:$A$95,0),MATCH(L$6,$B$60:$E$60,0))/1000)</f>
        <v>151.691</v>
      </c>
      <c r="P9" s="534">
        <f>N9/O9</f>
        <v>38.090592058856494</v>
      </c>
      <c r="S9" s="535"/>
    </row>
    <row r="10" spans="1:19" ht="16.5" customHeight="1">
      <c r="A10" s="526" t="s">
        <v>15</v>
      </c>
      <c r="B10" s="533">
        <f t="shared" si="0"/>
        <v>5780</v>
      </c>
      <c r="C10" s="533">
        <f t="shared" si="1"/>
        <v>160.495</v>
      </c>
      <c r="D10" s="534">
        <f t="shared" ref="D10:D43" si="8">B10/C10</f>
        <v>36.013582977662857</v>
      </c>
      <c r="E10" s="533"/>
      <c r="F10" s="533">
        <f t="shared" si="2"/>
        <v>5458</v>
      </c>
      <c r="G10" s="533">
        <f t="shared" si="3"/>
        <v>159.26300000000001</v>
      </c>
      <c r="H10" s="534">
        <f t="shared" ref="H10:H43" si="9">F10/G10</f>
        <v>34.270357835781063</v>
      </c>
      <c r="I10" s="533"/>
      <c r="J10" s="533">
        <f t="shared" si="4"/>
        <v>5265</v>
      </c>
      <c r="K10" s="533">
        <f t="shared" si="5"/>
        <v>158.82300000000001</v>
      </c>
      <c r="L10" s="534">
        <f t="shared" ref="L10:L43" si="10">J10/K10</f>
        <v>33.150110500368335</v>
      </c>
      <c r="M10" s="533"/>
      <c r="N10" s="533">
        <f t="shared" si="6"/>
        <v>4974</v>
      </c>
      <c r="O10" s="533">
        <f t="shared" si="7"/>
        <v>158.82300000000001</v>
      </c>
      <c r="P10" s="534">
        <f t="shared" ref="P10:P43" si="11">N10/O10</f>
        <v>31.317882170718345</v>
      </c>
      <c r="S10" s="535"/>
    </row>
    <row r="11" spans="1:19" ht="16.5" customHeight="1">
      <c r="A11" s="526" t="s">
        <v>16</v>
      </c>
      <c r="B11" s="533">
        <f t="shared" si="0"/>
        <v>3685</v>
      </c>
      <c r="C11" s="533">
        <f t="shared" si="1"/>
        <v>69.016999999999996</v>
      </c>
      <c r="D11" s="534">
        <f t="shared" si="8"/>
        <v>53.392642392454036</v>
      </c>
      <c r="E11" s="533"/>
      <c r="F11" s="533">
        <f t="shared" si="2"/>
        <v>3471</v>
      </c>
      <c r="G11" s="533">
        <f t="shared" si="3"/>
        <v>67.593000000000004</v>
      </c>
      <c r="H11" s="534">
        <f t="shared" si="9"/>
        <v>51.351471306200345</v>
      </c>
      <c r="I11" s="533"/>
      <c r="J11" s="533">
        <f t="shared" si="4"/>
        <v>3310</v>
      </c>
      <c r="K11" s="533">
        <f t="shared" si="5"/>
        <v>67.488</v>
      </c>
      <c r="L11" s="534">
        <f t="shared" si="10"/>
        <v>49.04575628259839</v>
      </c>
      <c r="M11" s="533"/>
      <c r="N11" s="533">
        <f t="shared" si="6"/>
        <v>3124</v>
      </c>
      <c r="O11" s="533">
        <f t="shared" si="7"/>
        <v>67.488</v>
      </c>
      <c r="P11" s="534">
        <f t="shared" si="11"/>
        <v>46.289710763394972</v>
      </c>
      <c r="S11" s="535"/>
    </row>
    <row r="12" spans="1:19" ht="16.5" customHeight="1">
      <c r="A12" s="526" t="s">
        <v>17</v>
      </c>
      <c r="B12" s="533">
        <f t="shared" si="0"/>
        <v>2908</v>
      </c>
      <c r="C12" s="533">
        <f t="shared" si="1"/>
        <v>51.002000000000002</v>
      </c>
      <c r="D12" s="534">
        <f t="shared" si="8"/>
        <v>57.017371867769889</v>
      </c>
      <c r="E12" s="533"/>
      <c r="F12" s="533">
        <f t="shared" si="2"/>
        <v>2728</v>
      </c>
      <c r="G12" s="533">
        <f t="shared" si="3"/>
        <v>51.868000000000002</v>
      </c>
      <c r="H12" s="534">
        <f t="shared" si="9"/>
        <v>52.59504897046348</v>
      </c>
      <c r="I12" s="533"/>
      <c r="J12" s="533">
        <f t="shared" si="4"/>
        <v>2526</v>
      </c>
      <c r="K12" s="533">
        <f t="shared" si="5"/>
        <v>51.515999999999998</v>
      </c>
      <c r="L12" s="534">
        <f t="shared" si="10"/>
        <v>49.03331003959935</v>
      </c>
      <c r="M12" s="533"/>
      <c r="N12" s="533">
        <f t="shared" si="6"/>
        <v>2385</v>
      </c>
      <c r="O12" s="533">
        <f t="shared" si="7"/>
        <v>51.515999999999998</v>
      </c>
      <c r="P12" s="534">
        <f t="shared" si="11"/>
        <v>46.296296296296298</v>
      </c>
      <c r="S12" s="535"/>
    </row>
    <row r="13" spans="1:19" ht="16.5" customHeight="1">
      <c r="A13" s="526" t="s">
        <v>18</v>
      </c>
      <c r="B13" s="533">
        <f t="shared" si="0"/>
        <v>2134</v>
      </c>
      <c r="C13" s="533">
        <f t="shared" si="1"/>
        <v>31.945</v>
      </c>
      <c r="D13" s="534">
        <f t="shared" si="8"/>
        <v>66.802316481452493</v>
      </c>
      <c r="E13" s="533"/>
      <c r="F13" s="533">
        <f t="shared" si="2"/>
        <v>2022</v>
      </c>
      <c r="G13" s="533">
        <f t="shared" si="3"/>
        <v>32.189</v>
      </c>
      <c r="H13" s="534">
        <f t="shared" si="9"/>
        <v>62.816490105315481</v>
      </c>
      <c r="I13" s="533"/>
      <c r="J13" s="533">
        <f t="shared" si="4"/>
        <v>1921</v>
      </c>
      <c r="K13" s="533">
        <f t="shared" si="5"/>
        <v>32.274000000000001</v>
      </c>
      <c r="L13" s="534">
        <f t="shared" si="10"/>
        <v>59.521596331412283</v>
      </c>
      <c r="M13" s="533"/>
      <c r="N13" s="533">
        <f t="shared" si="6"/>
        <v>1837</v>
      </c>
      <c r="O13" s="533">
        <f t="shared" si="7"/>
        <v>32.274000000000001</v>
      </c>
      <c r="P13" s="534">
        <f t="shared" si="11"/>
        <v>56.918882072256302</v>
      </c>
      <c r="S13" s="535"/>
    </row>
    <row r="14" spans="1:19" ht="16.5" customHeight="1">
      <c r="A14" s="526" t="s">
        <v>19</v>
      </c>
      <c r="B14" s="533">
        <f t="shared" si="0"/>
        <v>5665</v>
      </c>
      <c r="C14" s="533">
        <f t="shared" si="1"/>
        <v>86.346000000000004</v>
      </c>
      <c r="D14" s="534">
        <f t="shared" si="8"/>
        <v>65.608134713825763</v>
      </c>
      <c r="E14" s="533"/>
      <c r="F14" s="533">
        <f t="shared" si="2"/>
        <v>5329</v>
      </c>
      <c r="G14" s="533">
        <f t="shared" si="3"/>
        <v>83.896000000000001</v>
      </c>
      <c r="H14" s="534">
        <f t="shared" si="9"/>
        <v>63.519118909125581</v>
      </c>
      <c r="I14" s="533"/>
      <c r="J14" s="533">
        <f t="shared" si="4"/>
        <v>5130</v>
      </c>
      <c r="K14" s="533">
        <f t="shared" si="5"/>
        <v>83.536000000000001</v>
      </c>
      <c r="L14" s="534">
        <f t="shared" si="10"/>
        <v>61.410649300900211</v>
      </c>
      <c r="M14" s="533"/>
      <c r="N14" s="533">
        <f t="shared" si="6"/>
        <v>4824</v>
      </c>
      <c r="O14" s="533">
        <f t="shared" si="7"/>
        <v>83.536000000000001</v>
      </c>
      <c r="P14" s="534">
        <f t="shared" si="11"/>
        <v>57.747557939092125</v>
      </c>
      <c r="S14" s="535"/>
    </row>
    <row r="15" spans="1:19" ht="16.5" customHeight="1">
      <c r="A15" s="526" t="s">
        <v>20</v>
      </c>
      <c r="B15" s="533">
        <f t="shared" si="0"/>
        <v>7201</v>
      </c>
      <c r="C15" s="533">
        <f t="shared" si="1"/>
        <v>97.772999999999996</v>
      </c>
      <c r="D15" s="534">
        <f t="shared" si="8"/>
        <v>73.650189725179757</v>
      </c>
      <c r="E15" s="533"/>
      <c r="F15" s="533">
        <f t="shared" si="2"/>
        <v>6600</v>
      </c>
      <c r="G15" s="533">
        <f t="shared" si="3"/>
        <v>97.905000000000001</v>
      </c>
      <c r="H15" s="534">
        <f t="shared" si="9"/>
        <v>67.412287421480002</v>
      </c>
      <c r="I15" s="533"/>
      <c r="J15" s="533">
        <f t="shared" si="4"/>
        <v>6159</v>
      </c>
      <c r="K15" s="533">
        <f t="shared" si="5"/>
        <v>99.253</v>
      </c>
      <c r="L15" s="534">
        <f t="shared" si="10"/>
        <v>62.053539943377025</v>
      </c>
      <c r="M15" s="533"/>
      <c r="N15" s="533">
        <f t="shared" si="6"/>
        <v>5755</v>
      </c>
      <c r="O15" s="533">
        <f t="shared" si="7"/>
        <v>99.253</v>
      </c>
      <c r="P15" s="534">
        <f t="shared" si="11"/>
        <v>57.983134011062639</v>
      </c>
      <c r="S15" s="535"/>
    </row>
    <row r="16" spans="1:19" ht="16.5" customHeight="1">
      <c r="A16" s="526" t="s">
        <v>21</v>
      </c>
      <c r="B16" s="533">
        <f t="shared" si="0"/>
        <v>5130</v>
      </c>
      <c r="C16" s="533">
        <f t="shared" si="1"/>
        <v>75.653999999999996</v>
      </c>
      <c r="D16" s="534">
        <f t="shared" si="8"/>
        <v>67.808708065667389</v>
      </c>
      <c r="E16" s="533"/>
      <c r="F16" s="533">
        <f t="shared" si="2"/>
        <v>4749</v>
      </c>
      <c r="G16" s="533">
        <f t="shared" si="3"/>
        <v>74.067999999999998</v>
      </c>
      <c r="H16" s="534">
        <f t="shared" si="9"/>
        <v>64.116757574121081</v>
      </c>
      <c r="I16" s="533"/>
      <c r="J16" s="533">
        <f t="shared" si="4"/>
        <v>4489</v>
      </c>
      <c r="K16" s="533">
        <f t="shared" si="5"/>
        <v>74.131</v>
      </c>
      <c r="L16" s="534">
        <f t="shared" si="10"/>
        <v>60.554963510542152</v>
      </c>
      <c r="M16" s="533"/>
      <c r="N16" s="533">
        <f t="shared" si="6"/>
        <v>4191</v>
      </c>
      <c r="O16" s="533">
        <f t="shared" si="7"/>
        <v>74.131</v>
      </c>
      <c r="P16" s="534">
        <f t="shared" si="11"/>
        <v>56.535052811914042</v>
      </c>
      <c r="S16" s="535"/>
    </row>
    <row r="17" spans="1:19" ht="16.5" customHeight="1">
      <c r="A17" s="526" t="s">
        <v>22</v>
      </c>
      <c r="B17" s="533">
        <f t="shared" si="0"/>
        <v>2679</v>
      </c>
      <c r="C17" s="533">
        <f t="shared" si="1"/>
        <v>64.307000000000002</v>
      </c>
      <c r="D17" s="534">
        <f t="shared" si="8"/>
        <v>41.659539396955232</v>
      </c>
      <c r="E17" s="533"/>
      <c r="F17" s="533">
        <f t="shared" si="2"/>
        <v>2544</v>
      </c>
      <c r="G17" s="533">
        <f t="shared" si="3"/>
        <v>63.284999999999997</v>
      </c>
      <c r="H17" s="534">
        <f t="shared" si="9"/>
        <v>40.199099312633329</v>
      </c>
      <c r="I17" s="533"/>
      <c r="J17" s="533">
        <f t="shared" si="4"/>
        <v>2455</v>
      </c>
      <c r="K17" s="533">
        <f t="shared" si="5"/>
        <v>63.073</v>
      </c>
      <c r="L17" s="534">
        <f t="shared" si="10"/>
        <v>38.92315253753587</v>
      </c>
      <c r="M17" s="533"/>
      <c r="N17" s="533">
        <f t="shared" si="6"/>
        <v>2355</v>
      </c>
      <c r="O17" s="533">
        <f t="shared" si="7"/>
        <v>63.073</v>
      </c>
      <c r="P17" s="534">
        <f t="shared" si="11"/>
        <v>37.337688075721779</v>
      </c>
      <c r="S17" s="535"/>
    </row>
    <row r="18" spans="1:19" ht="16.5" customHeight="1">
      <c r="A18" s="526" t="s">
        <v>23</v>
      </c>
      <c r="B18" s="533">
        <f t="shared" si="0"/>
        <v>2664</v>
      </c>
      <c r="C18" s="533">
        <f t="shared" si="1"/>
        <v>66.893000000000001</v>
      </c>
      <c r="D18" s="534">
        <f t="shared" si="8"/>
        <v>39.824794821580731</v>
      </c>
      <c r="E18" s="533"/>
      <c r="F18" s="533">
        <f t="shared" si="2"/>
        <v>2536</v>
      </c>
      <c r="G18" s="533">
        <f t="shared" si="3"/>
        <v>68.402000000000001</v>
      </c>
      <c r="H18" s="534">
        <f t="shared" si="9"/>
        <v>37.074939329259379</v>
      </c>
      <c r="I18" s="533"/>
      <c r="J18" s="533">
        <f t="shared" si="4"/>
        <v>2436</v>
      </c>
      <c r="K18" s="533">
        <f t="shared" si="5"/>
        <v>69.075999999999993</v>
      </c>
      <c r="L18" s="534">
        <f t="shared" si="10"/>
        <v>35.265504661532226</v>
      </c>
      <c r="M18" s="533"/>
      <c r="N18" s="533">
        <f t="shared" si="6"/>
        <v>2304</v>
      </c>
      <c r="O18" s="533">
        <f t="shared" si="7"/>
        <v>69.075999999999993</v>
      </c>
      <c r="P18" s="534">
        <f t="shared" si="11"/>
        <v>33.354565985291565</v>
      </c>
      <c r="S18" s="535"/>
    </row>
    <row r="19" spans="1:19" ht="16.5" customHeight="1">
      <c r="A19" s="526" t="s">
        <v>24</v>
      </c>
      <c r="B19" s="533">
        <f t="shared" si="0"/>
        <v>2440</v>
      </c>
      <c r="C19" s="533">
        <f t="shared" si="1"/>
        <v>57.033000000000001</v>
      </c>
      <c r="D19" s="534">
        <f t="shared" si="8"/>
        <v>42.782248873459224</v>
      </c>
      <c r="E19" s="533"/>
      <c r="F19" s="533">
        <f t="shared" si="2"/>
        <v>2280</v>
      </c>
      <c r="G19" s="533">
        <f t="shared" si="3"/>
        <v>56.600999999999999</v>
      </c>
      <c r="H19" s="534">
        <f t="shared" si="9"/>
        <v>40.28197381671702</v>
      </c>
      <c r="I19" s="533"/>
      <c r="J19" s="533">
        <f t="shared" si="4"/>
        <v>2188</v>
      </c>
      <c r="K19" s="533">
        <f t="shared" si="5"/>
        <v>57.3</v>
      </c>
      <c r="L19" s="534">
        <f t="shared" si="10"/>
        <v>38.184991273996509</v>
      </c>
      <c r="M19" s="533"/>
      <c r="N19" s="533">
        <f t="shared" si="6"/>
        <v>2103</v>
      </c>
      <c r="O19" s="533">
        <f t="shared" si="7"/>
        <v>57.3</v>
      </c>
      <c r="P19" s="534">
        <f t="shared" si="11"/>
        <v>36.701570680628272</v>
      </c>
      <c r="S19" s="535"/>
    </row>
    <row r="20" spans="1:19" ht="16.5" customHeight="1">
      <c r="A20" s="526" t="s">
        <v>189</v>
      </c>
      <c r="B20" s="533">
        <f t="shared" si="0"/>
        <v>16771</v>
      </c>
      <c r="C20" s="533">
        <f t="shared" si="1"/>
        <v>366.36700000000002</v>
      </c>
      <c r="D20" s="534">
        <f t="shared" si="8"/>
        <v>45.776502796376306</v>
      </c>
      <c r="E20" s="533"/>
      <c r="F20" s="533">
        <f t="shared" si="2"/>
        <v>15670</v>
      </c>
      <c r="G20" s="533">
        <f t="shared" si="3"/>
        <v>357.14100000000002</v>
      </c>
      <c r="H20" s="534">
        <f t="shared" si="9"/>
        <v>43.876228156386411</v>
      </c>
      <c r="I20" s="533"/>
      <c r="J20" s="533">
        <f t="shared" si="4"/>
        <v>14702</v>
      </c>
      <c r="K20" s="533">
        <f t="shared" si="5"/>
        <v>363.78699999999998</v>
      </c>
      <c r="L20" s="534">
        <f t="shared" si="10"/>
        <v>40.413758600499747</v>
      </c>
      <c r="M20" s="533"/>
      <c r="N20" s="533">
        <f t="shared" si="6"/>
        <v>13651</v>
      </c>
      <c r="O20" s="533">
        <f t="shared" si="7"/>
        <v>363.78699999999998</v>
      </c>
      <c r="P20" s="534">
        <f t="shared" si="11"/>
        <v>37.524705390791866</v>
      </c>
      <c r="S20" s="535"/>
    </row>
    <row r="21" spans="1:19" ht="16.5" customHeight="1">
      <c r="A21" s="526" t="s">
        <v>32</v>
      </c>
      <c r="B21" s="533">
        <f t="shared" si="0"/>
        <v>865</v>
      </c>
      <c r="C21" s="533">
        <f t="shared" si="1"/>
        <v>15.507999999999999</v>
      </c>
      <c r="D21" s="534">
        <f t="shared" si="8"/>
        <v>55.777663141604336</v>
      </c>
      <c r="E21" s="533"/>
      <c r="F21" s="533">
        <f t="shared" si="2"/>
        <v>805</v>
      </c>
      <c r="G21" s="533">
        <f t="shared" si="3"/>
        <v>15.176</v>
      </c>
      <c r="H21" s="534">
        <f t="shared" si="9"/>
        <v>53.044280442804428</v>
      </c>
      <c r="I21" s="533"/>
      <c r="J21" s="533">
        <f t="shared" si="4"/>
        <v>749</v>
      </c>
      <c r="K21" s="533">
        <f t="shared" si="5"/>
        <v>15.125999999999999</v>
      </c>
      <c r="L21" s="534">
        <f t="shared" si="10"/>
        <v>49.517387280179825</v>
      </c>
      <c r="M21" s="533"/>
      <c r="N21" s="533">
        <f t="shared" si="6"/>
        <v>723</v>
      </c>
      <c r="O21" s="533">
        <f t="shared" si="7"/>
        <v>15.125999999999999</v>
      </c>
      <c r="P21" s="534">
        <f t="shared" si="11"/>
        <v>47.798492661642207</v>
      </c>
      <c r="S21" s="535"/>
    </row>
    <row r="22" spans="1:19" ht="16.5" customHeight="1">
      <c r="A22" s="526" t="s">
        <v>25</v>
      </c>
      <c r="B22" s="533">
        <f t="shared" si="0"/>
        <v>6005</v>
      </c>
      <c r="C22" s="533">
        <f t="shared" si="1"/>
        <v>102.021</v>
      </c>
      <c r="D22" s="534">
        <f t="shared" si="8"/>
        <v>58.860430695641092</v>
      </c>
      <c r="E22" s="533"/>
      <c r="F22" s="533">
        <f t="shared" si="2"/>
        <v>5652</v>
      </c>
      <c r="G22" s="533">
        <f t="shared" si="3"/>
        <v>100.328</v>
      </c>
      <c r="H22" s="534">
        <f t="shared" si="9"/>
        <v>56.335220476835978</v>
      </c>
      <c r="I22" s="533"/>
      <c r="J22" s="533">
        <f t="shared" si="4"/>
        <v>5385</v>
      </c>
      <c r="K22" s="533">
        <f t="shared" si="5"/>
        <v>100.274</v>
      </c>
      <c r="L22" s="534">
        <f t="shared" si="10"/>
        <v>53.702854179548041</v>
      </c>
      <c r="M22" s="533"/>
      <c r="N22" s="533">
        <f t="shared" si="6"/>
        <v>5117</v>
      </c>
      <c r="O22" s="533">
        <f t="shared" si="7"/>
        <v>100.274</v>
      </c>
      <c r="P22" s="534">
        <f t="shared" si="11"/>
        <v>51.030177314159204</v>
      </c>
      <c r="S22" s="535"/>
    </row>
    <row r="23" spans="1:19" ht="16.5" customHeight="1">
      <c r="A23" s="526" t="s">
        <v>26</v>
      </c>
      <c r="B23" s="533">
        <f t="shared" si="0"/>
        <v>13170</v>
      </c>
      <c r="C23" s="533">
        <f t="shared" si="1"/>
        <v>231.63499999999999</v>
      </c>
      <c r="D23" s="534">
        <f t="shared" si="8"/>
        <v>56.856692641440198</v>
      </c>
      <c r="E23" s="533"/>
      <c r="F23" s="533">
        <f t="shared" si="2"/>
        <v>12449</v>
      </c>
      <c r="G23" s="533">
        <f t="shared" si="3"/>
        <v>229.22499999999999</v>
      </c>
      <c r="H23" s="534">
        <f t="shared" si="9"/>
        <v>54.309084960191953</v>
      </c>
      <c r="I23" s="533"/>
      <c r="J23" s="533">
        <f t="shared" si="4"/>
        <v>11816</v>
      </c>
      <c r="K23" s="533">
        <f t="shared" si="5"/>
        <v>230.154</v>
      </c>
      <c r="L23" s="534">
        <f t="shared" si="10"/>
        <v>51.339537874640456</v>
      </c>
      <c r="M23" s="533"/>
      <c r="N23" s="533">
        <f t="shared" si="6"/>
        <v>11216</v>
      </c>
      <c r="O23" s="533">
        <f t="shared" si="7"/>
        <v>230.154</v>
      </c>
      <c r="P23" s="534">
        <f t="shared" si="11"/>
        <v>48.732587745596426</v>
      </c>
      <c r="S23" s="535"/>
    </row>
    <row r="24" spans="1:19" ht="16.5" customHeight="1">
      <c r="A24" s="526" t="s">
        <v>27</v>
      </c>
      <c r="B24" s="533">
        <f t="shared" si="0"/>
        <v>40015</v>
      </c>
      <c r="C24" s="533">
        <f t="shared" si="1"/>
        <v>448.64499999999998</v>
      </c>
      <c r="D24" s="534">
        <f t="shared" si="8"/>
        <v>89.190785587714117</v>
      </c>
      <c r="E24" s="533"/>
      <c r="F24" s="533">
        <f t="shared" si="2"/>
        <v>37106</v>
      </c>
      <c r="G24" s="533">
        <f t="shared" si="3"/>
        <v>439.15800000000002</v>
      </c>
      <c r="H24" s="534">
        <f t="shared" si="9"/>
        <v>84.49350803127804</v>
      </c>
      <c r="I24" s="533"/>
      <c r="J24" s="533">
        <f t="shared" si="4"/>
        <v>34514</v>
      </c>
      <c r="K24" s="533">
        <f t="shared" si="5"/>
        <v>445.74299999999999</v>
      </c>
      <c r="L24" s="534">
        <f t="shared" si="10"/>
        <v>77.430268114137519</v>
      </c>
      <c r="M24" s="533"/>
      <c r="N24" s="533">
        <f t="shared" si="6"/>
        <v>32007</v>
      </c>
      <c r="O24" s="533">
        <f t="shared" si="7"/>
        <v>445.74299999999999</v>
      </c>
      <c r="P24" s="534">
        <f t="shared" si="11"/>
        <v>71.805950962774517</v>
      </c>
      <c r="S24" s="535"/>
    </row>
    <row r="25" spans="1:19" ht="16.5" customHeight="1">
      <c r="A25" s="526" t="s">
        <v>28</v>
      </c>
      <c r="B25" s="533">
        <f t="shared" si="0"/>
        <v>6494</v>
      </c>
      <c r="C25" s="533">
        <f t="shared" si="1"/>
        <v>144.70599999999999</v>
      </c>
      <c r="D25" s="534">
        <f t="shared" si="8"/>
        <v>44.87719928682985</v>
      </c>
      <c r="E25" s="533"/>
      <c r="F25" s="533">
        <f t="shared" si="2"/>
        <v>6094</v>
      </c>
      <c r="G25" s="533">
        <f t="shared" si="3"/>
        <v>142.30699999999999</v>
      </c>
      <c r="H25" s="534">
        <f t="shared" si="9"/>
        <v>42.822911030377988</v>
      </c>
      <c r="I25" s="533"/>
      <c r="J25" s="533">
        <f t="shared" si="4"/>
        <v>5828</v>
      </c>
      <c r="K25" s="533">
        <f t="shared" si="5"/>
        <v>142.15899999999999</v>
      </c>
      <c r="L25" s="534">
        <f t="shared" si="10"/>
        <v>40.996349158336791</v>
      </c>
      <c r="M25" s="533"/>
      <c r="N25" s="533">
        <f t="shared" si="6"/>
        <v>5500</v>
      </c>
      <c r="O25" s="533">
        <f t="shared" si="7"/>
        <v>142.15899999999999</v>
      </c>
      <c r="P25" s="534">
        <f t="shared" si="11"/>
        <v>38.689073502205282</v>
      </c>
      <c r="S25" s="535"/>
    </row>
    <row r="26" spans="1:19" ht="16.5" customHeight="1">
      <c r="A26" s="526" t="s">
        <v>29</v>
      </c>
      <c r="B26" s="533">
        <f t="shared" si="0"/>
        <v>3978</v>
      </c>
      <c r="C26" s="533">
        <f t="shared" si="1"/>
        <v>47.781999999999996</v>
      </c>
      <c r="D26" s="534">
        <f t="shared" si="8"/>
        <v>83.25310786488636</v>
      </c>
      <c r="E26" s="533"/>
      <c r="F26" s="533">
        <f t="shared" si="2"/>
        <v>3749</v>
      </c>
      <c r="G26" s="533">
        <f t="shared" si="3"/>
        <v>48.719000000000001</v>
      </c>
      <c r="H26" s="534">
        <f t="shared" si="9"/>
        <v>76.951497362425329</v>
      </c>
      <c r="I26" s="533"/>
      <c r="J26" s="533">
        <f t="shared" si="4"/>
        <v>3524</v>
      </c>
      <c r="K26" s="533">
        <f t="shared" si="5"/>
        <v>48.402000000000001</v>
      </c>
      <c r="L26" s="534">
        <f t="shared" si="10"/>
        <v>72.806908805421259</v>
      </c>
      <c r="M26" s="533"/>
      <c r="N26" s="533">
        <f t="shared" si="6"/>
        <v>3400</v>
      </c>
      <c r="O26" s="533">
        <f t="shared" si="7"/>
        <v>48.402000000000001</v>
      </c>
      <c r="P26" s="534">
        <f t="shared" si="11"/>
        <v>70.245031197057969</v>
      </c>
      <c r="S26" s="535"/>
    </row>
    <row r="27" spans="1:19" ht="16.5" customHeight="1">
      <c r="A27" s="526" t="s">
        <v>30</v>
      </c>
      <c r="B27" s="533">
        <f t="shared" si="0"/>
        <v>2793</v>
      </c>
      <c r="C27" s="533">
        <f t="shared" si="1"/>
        <v>58.531999999999996</v>
      </c>
      <c r="D27" s="534">
        <f t="shared" si="8"/>
        <v>47.717487869883144</v>
      </c>
      <c r="E27" s="533"/>
      <c r="F27" s="533">
        <f t="shared" si="2"/>
        <v>2615</v>
      </c>
      <c r="G27" s="533">
        <f t="shared" si="3"/>
        <v>60.292999999999999</v>
      </c>
      <c r="H27" s="534">
        <f t="shared" si="9"/>
        <v>43.37153566749042</v>
      </c>
      <c r="I27" s="533"/>
      <c r="J27" s="533">
        <f t="shared" si="4"/>
        <v>2542</v>
      </c>
      <c r="K27" s="533">
        <f t="shared" si="5"/>
        <v>60.930999999999997</v>
      </c>
      <c r="L27" s="534">
        <f t="shared" si="10"/>
        <v>41.719321855869758</v>
      </c>
      <c r="M27" s="533"/>
      <c r="N27" s="533">
        <f t="shared" si="6"/>
        <v>2408</v>
      </c>
      <c r="O27" s="533">
        <f t="shared" si="7"/>
        <v>60.930999999999997</v>
      </c>
      <c r="P27" s="534">
        <f t="shared" si="11"/>
        <v>39.520112914608326</v>
      </c>
      <c r="S27" s="535"/>
    </row>
    <row r="28" spans="1:19" ht="16.5" customHeight="1">
      <c r="A28" s="526" t="s">
        <v>31</v>
      </c>
      <c r="B28" s="533">
        <f t="shared" si="0"/>
        <v>2702</v>
      </c>
      <c r="C28" s="533">
        <f t="shared" si="1"/>
        <v>58.935000000000002</v>
      </c>
      <c r="D28" s="534">
        <f t="shared" si="8"/>
        <v>45.847119708153045</v>
      </c>
      <c r="E28" s="533"/>
      <c r="F28" s="533">
        <f t="shared" si="2"/>
        <v>2539</v>
      </c>
      <c r="G28" s="533">
        <f t="shared" si="3"/>
        <v>57.098999999999997</v>
      </c>
      <c r="H28" s="534">
        <f t="shared" si="9"/>
        <v>44.466628137095221</v>
      </c>
      <c r="I28" s="533"/>
      <c r="J28" s="533">
        <f t="shared" si="4"/>
        <v>2413</v>
      </c>
      <c r="K28" s="533">
        <f t="shared" si="5"/>
        <v>57.256999999999998</v>
      </c>
      <c r="L28" s="534">
        <f t="shared" si="10"/>
        <v>42.143318720855092</v>
      </c>
      <c r="M28" s="533"/>
      <c r="N28" s="533">
        <f t="shared" si="6"/>
        <v>2281</v>
      </c>
      <c r="O28" s="533">
        <f t="shared" si="7"/>
        <v>57.256999999999998</v>
      </c>
      <c r="P28" s="534">
        <f t="shared" si="11"/>
        <v>39.83792374731474</v>
      </c>
      <c r="S28" s="535"/>
    </row>
    <row r="29" spans="1:19" ht="16.5" customHeight="1">
      <c r="A29" s="526" t="s">
        <v>33</v>
      </c>
      <c r="B29" s="533">
        <f t="shared" si="0"/>
        <v>6442</v>
      </c>
      <c r="C29" s="533">
        <f t="shared" si="1"/>
        <v>81.034999999999997</v>
      </c>
      <c r="D29" s="534">
        <f t="shared" si="8"/>
        <v>79.496513852039243</v>
      </c>
      <c r="E29" s="533"/>
      <c r="F29" s="533">
        <f t="shared" si="2"/>
        <v>6068</v>
      </c>
      <c r="G29" s="533">
        <f t="shared" si="3"/>
        <v>80.451999999999998</v>
      </c>
      <c r="H29" s="534">
        <f t="shared" si="9"/>
        <v>75.423855218018204</v>
      </c>
      <c r="I29" s="533"/>
      <c r="J29" s="533">
        <f t="shared" si="4"/>
        <v>5764</v>
      </c>
      <c r="K29" s="533">
        <f t="shared" si="5"/>
        <v>80.167000000000002</v>
      </c>
      <c r="L29" s="534">
        <f t="shared" si="10"/>
        <v>71.89990894008757</v>
      </c>
      <c r="M29" s="533"/>
      <c r="N29" s="533">
        <f t="shared" si="6"/>
        <v>5456</v>
      </c>
      <c r="O29" s="533">
        <f t="shared" si="7"/>
        <v>80.167000000000002</v>
      </c>
      <c r="P29" s="534">
        <f t="shared" si="11"/>
        <v>68.057929073059981</v>
      </c>
      <c r="S29" s="535"/>
    </row>
    <row r="30" spans="1:19" ht="16.5" customHeight="1">
      <c r="A30" s="526" t="s">
        <v>34</v>
      </c>
      <c r="B30" s="533">
        <f t="shared" si="0"/>
        <v>16592</v>
      </c>
      <c r="C30" s="533">
        <f t="shared" si="1"/>
        <v>219.178</v>
      </c>
      <c r="D30" s="534">
        <f t="shared" si="8"/>
        <v>75.701028387885643</v>
      </c>
      <c r="E30" s="533"/>
      <c r="F30" s="533">
        <f t="shared" si="2"/>
        <v>15512</v>
      </c>
      <c r="G30" s="533">
        <f t="shared" si="3"/>
        <v>219.482</v>
      </c>
      <c r="H30" s="534">
        <f t="shared" si="9"/>
        <v>70.675499585387414</v>
      </c>
      <c r="I30" s="533"/>
      <c r="J30" s="533">
        <f t="shared" si="4"/>
        <v>14809</v>
      </c>
      <c r="K30" s="533">
        <f t="shared" si="5"/>
        <v>219.47800000000001</v>
      </c>
      <c r="L30" s="534">
        <f t="shared" si="10"/>
        <v>67.473733130427647</v>
      </c>
      <c r="M30" s="533"/>
      <c r="N30" s="533">
        <f t="shared" si="6"/>
        <v>14003</v>
      </c>
      <c r="O30" s="533">
        <f t="shared" si="7"/>
        <v>219.47800000000001</v>
      </c>
      <c r="P30" s="534">
        <f t="shared" si="11"/>
        <v>63.801383282151285</v>
      </c>
      <c r="S30" s="535"/>
    </row>
    <row r="31" spans="1:19" ht="16.5" customHeight="1">
      <c r="A31" s="526" t="s">
        <v>35</v>
      </c>
      <c r="B31" s="533">
        <f t="shared" si="0"/>
        <v>611</v>
      </c>
      <c r="C31" s="533">
        <f t="shared" si="1"/>
        <v>13.446999999999999</v>
      </c>
      <c r="D31" s="534">
        <f t="shared" si="8"/>
        <v>45.437644084182345</v>
      </c>
      <c r="E31" s="533"/>
      <c r="F31" s="533">
        <f t="shared" si="2"/>
        <v>570</v>
      </c>
      <c r="G31" s="533">
        <f t="shared" si="3"/>
        <v>13.02</v>
      </c>
      <c r="H31" s="534">
        <f t="shared" si="9"/>
        <v>43.778801843317972</v>
      </c>
      <c r="I31" s="533"/>
      <c r="J31" s="533">
        <f t="shared" si="4"/>
        <v>545</v>
      </c>
      <c r="K31" s="533">
        <f t="shared" si="5"/>
        <v>12.952999999999999</v>
      </c>
      <c r="L31" s="534">
        <f t="shared" si="10"/>
        <v>42.075194935536175</v>
      </c>
      <c r="M31" s="533"/>
      <c r="N31" s="533">
        <f t="shared" si="6"/>
        <v>530</v>
      </c>
      <c r="O31" s="533">
        <f t="shared" si="7"/>
        <v>12.952999999999999</v>
      </c>
      <c r="P31" s="534">
        <f t="shared" si="11"/>
        <v>40.917162047402151</v>
      </c>
      <c r="S31" s="535"/>
    </row>
    <row r="32" spans="1:19" ht="16.5" customHeight="1">
      <c r="A32" s="526" t="s">
        <v>36</v>
      </c>
      <c r="B32" s="533">
        <f t="shared" si="0"/>
        <v>4340</v>
      </c>
      <c r="C32" s="533">
        <f t="shared" si="1"/>
        <v>92.593999999999994</v>
      </c>
      <c r="D32" s="534">
        <f t="shared" si="8"/>
        <v>46.871287556429145</v>
      </c>
      <c r="E32" s="533"/>
      <c r="F32" s="533">
        <f t="shared" si="2"/>
        <v>4044</v>
      </c>
      <c r="G32" s="533">
        <f t="shared" si="3"/>
        <v>89.72</v>
      </c>
      <c r="H32" s="534">
        <f t="shared" si="9"/>
        <v>45.073562193490858</v>
      </c>
      <c r="I32" s="533"/>
      <c r="J32" s="533">
        <f t="shared" si="4"/>
        <v>3857</v>
      </c>
      <c r="K32" s="533">
        <f t="shared" si="5"/>
        <v>90.436999999999998</v>
      </c>
      <c r="L32" s="534">
        <f t="shared" si="10"/>
        <v>42.648473523004967</v>
      </c>
      <c r="M32" s="533"/>
      <c r="N32" s="533">
        <f t="shared" si="6"/>
        <v>3644</v>
      </c>
      <c r="O32" s="533">
        <f t="shared" si="7"/>
        <v>90.436999999999998</v>
      </c>
      <c r="P32" s="534">
        <f t="shared" si="11"/>
        <v>40.293242809911874</v>
      </c>
      <c r="S32" s="535"/>
    </row>
    <row r="33" spans="1:19" ht="16.5" customHeight="1">
      <c r="A33" s="526" t="s">
        <v>37</v>
      </c>
      <c r="B33" s="533">
        <f t="shared" si="0"/>
        <v>8209</v>
      </c>
      <c r="C33" s="533">
        <f t="shared" si="1"/>
        <v>115.571</v>
      </c>
      <c r="D33" s="534">
        <f t="shared" si="8"/>
        <v>71.029929653632834</v>
      </c>
      <c r="E33" s="533"/>
      <c r="F33" s="533">
        <f t="shared" si="2"/>
        <v>7780</v>
      </c>
      <c r="G33" s="533">
        <f t="shared" si="3"/>
        <v>118.453</v>
      </c>
      <c r="H33" s="534">
        <f t="shared" si="9"/>
        <v>65.680058757481873</v>
      </c>
      <c r="I33" s="533"/>
      <c r="J33" s="533">
        <f t="shared" si="4"/>
        <v>7343</v>
      </c>
      <c r="K33" s="533">
        <f t="shared" si="5"/>
        <v>119.319</v>
      </c>
      <c r="L33" s="534">
        <f t="shared" si="10"/>
        <v>61.540911338512728</v>
      </c>
      <c r="M33" s="533"/>
      <c r="N33" s="533">
        <f t="shared" si="6"/>
        <v>6919</v>
      </c>
      <c r="O33" s="533">
        <f t="shared" si="7"/>
        <v>119.319</v>
      </c>
      <c r="P33" s="534">
        <f t="shared" si="11"/>
        <v>57.987411895842236</v>
      </c>
      <c r="S33" s="535"/>
    </row>
    <row r="34" spans="1:19" ht="16.5" customHeight="1">
      <c r="A34" s="526" t="s">
        <v>38</v>
      </c>
      <c r="B34" s="533">
        <f t="shared" si="0"/>
        <v>3579</v>
      </c>
      <c r="C34" s="533">
        <f t="shared" si="1"/>
        <v>67.641999999999996</v>
      </c>
      <c r="D34" s="534">
        <f t="shared" si="8"/>
        <v>52.910913337867008</v>
      </c>
      <c r="E34" s="533"/>
      <c r="F34" s="533">
        <f t="shared" si="2"/>
        <v>3324</v>
      </c>
      <c r="G34" s="533">
        <f t="shared" si="3"/>
        <v>67.8</v>
      </c>
      <c r="H34" s="534">
        <f t="shared" si="9"/>
        <v>49.026548672566371</v>
      </c>
      <c r="I34" s="533"/>
      <c r="J34" s="533">
        <f t="shared" si="4"/>
        <v>3141</v>
      </c>
      <c r="K34" s="533">
        <f t="shared" si="5"/>
        <v>67.271000000000001</v>
      </c>
      <c r="L34" s="534">
        <f t="shared" si="10"/>
        <v>46.691739382497659</v>
      </c>
      <c r="M34" s="533"/>
      <c r="N34" s="533">
        <f t="shared" si="6"/>
        <v>2961</v>
      </c>
      <c r="O34" s="533">
        <f t="shared" si="7"/>
        <v>67.271000000000001</v>
      </c>
      <c r="P34" s="534">
        <f t="shared" si="11"/>
        <v>44.015995005277162</v>
      </c>
      <c r="S34" s="535"/>
    </row>
    <row r="35" spans="1:19" ht="16.5" customHeight="1">
      <c r="A35" s="526" t="s">
        <v>39</v>
      </c>
      <c r="B35" s="533">
        <f t="shared" si="0"/>
        <v>584</v>
      </c>
      <c r="C35" s="533">
        <f t="shared" si="1"/>
        <v>13.912000000000001</v>
      </c>
      <c r="D35" s="534">
        <f t="shared" si="8"/>
        <v>41.978148361127083</v>
      </c>
      <c r="E35" s="533"/>
      <c r="F35" s="533">
        <f t="shared" si="2"/>
        <v>547</v>
      </c>
      <c r="G35" s="533">
        <f t="shared" si="3"/>
        <v>13.827</v>
      </c>
      <c r="H35" s="534">
        <f t="shared" si="9"/>
        <v>39.560280610399943</v>
      </c>
      <c r="I35" s="533"/>
      <c r="J35" s="533">
        <f t="shared" si="4"/>
        <v>535</v>
      </c>
      <c r="K35" s="533">
        <f t="shared" si="5"/>
        <v>13.85</v>
      </c>
      <c r="L35" s="534">
        <f t="shared" si="10"/>
        <v>38.628158844765345</v>
      </c>
      <c r="M35" s="533"/>
      <c r="N35" s="533">
        <f t="shared" si="6"/>
        <v>508</v>
      </c>
      <c r="O35" s="533">
        <f t="shared" si="7"/>
        <v>13.85</v>
      </c>
      <c r="P35" s="534">
        <f t="shared" si="11"/>
        <v>36.678700361010833</v>
      </c>
      <c r="S35" s="535"/>
    </row>
    <row r="36" spans="1:19" ht="16.5" customHeight="1">
      <c r="A36" s="526" t="s">
        <v>40</v>
      </c>
      <c r="B36" s="533">
        <f t="shared" si="0"/>
        <v>4354</v>
      </c>
      <c r="C36" s="533">
        <f t="shared" si="1"/>
        <v>65.843999999999994</v>
      </c>
      <c r="D36" s="534">
        <f t="shared" si="8"/>
        <v>66.125994775530046</v>
      </c>
      <c r="E36" s="533"/>
      <c r="F36" s="533">
        <f t="shared" si="2"/>
        <v>4138</v>
      </c>
      <c r="G36" s="533">
        <f t="shared" si="3"/>
        <v>64.930000000000007</v>
      </c>
      <c r="H36" s="534">
        <f t="shared" si="9"/>
        <v>63.730170953334351</v>
      </c>
      <c r="I36" s="533"/>
      <c r="J36" s="533">
        <f t="shared" si="4"/>
        <v>3892</v>
      </c>
      <c r="K36" s="533">
        <f t="shared" si="5"/>
        <v>64.805999999999997</v>
      </c>
      <c r="L36" s="534">
        <f t="shared" si="10"/>
        <v>60.056167638798883</v>
      </c>
      <c r="M36" s="533"/>
      <c r="N36" s="533">
        <f t="shared" si="6"/>
        <v>3637</v>
      </c>
      <c r="O36" s="533">
        <f t="shared" si="7"/>
        <v>64.805999999999997</v>
      </c>
      <c r="P36" s="534">
        <f t="shared" si="11"/>
        <v>56.121346788877574</v>
      </c>
      <c r="S36" s="535"/>
    </row>
    <row r="37" spans="1:19" ht="16.5" customHeight="1">
      <c r="A37" s="526" t="s">
        <v>41</v>
      </c>
      <c r="B37" s="533">
        <f t="shared" si="0"/>
        <v>12874</v>
      </c>
      <c r="C37" s="533">
        <f t="shared" si="1"/>
        <v>202.43</v>
      </c>
      <c r="D37" s="534">
        <f t="shared" si="8"/>
        <v>63.597292891369854</v>
      </c>
      <c r="E37" s="533"/>
      <c r="F37" s="533">
        <f t="shared" si="2"/>
        <v>12139</v>
      </c>
      <c r="G37" s="533">
        <f t="shared" si="3"/>
        <v>205.49</v>
      </c>
      <c r="H37" s="534">
        <f t="shared" si="9"/>
        <v>59.073434230376172</v>
      </c>
      <c r="I37" s="533"/>
      <c r="J37" s="533">
        <f t="shared" si="4"/>
        <v>11551</v>
      </c>
      <c r="K37" s="533">
        <f t="shared" si="5"/>
        <v>206.46</v>
      </c>
      <c r="L37" s="534">
        <f t="shared" si="10"/>
        <v>55.947883367238205</v>
      </c>
      <c r="M37" s="533"/>
      <c r="N37" s="533">
        <f t="shared" si="6"/>
        <v>11002</v>
      </c>
      <c r="O37" s="533">
        <f t="shared" si="7"/>
        <v>206.46</v>
      </c>
      <c r="P37" s="534">
        <f t="shared" si="11"/>
        <v>53.288772643611352</v>
      </c>
      <c r="S37" s="535"/>
    </row>
    <row r="38" spans="1:19" ht="16.5" customHeight="1">
      <c r="A38" s="526" t="s">
        <v>42</v>
      </c>
      <c r="B38" s="533">
        <f t="shared" si="0"/>
        <v>2596</v>
      </c>
      <c r="C38" s="533">
        <f t="shared" si="1"/>
        <v>59.731000000000002</v>
      </c>
      <c r="D38" s="534">
        <f t="shared" si="8"/>
        <v>43.461519144162999</v>
      </c>
      <c r="E38" s="533"/>
      <c r="F38" s="533">
        <f t="shared" si="2"/>
        <v>2457</v>
      </c>
      <c r="G38" s="533">
        <f t="shared" si="3"/>
        <v>58.746000000000002</v>
      </c>
      <c r="H38" s="534">
        <f t="shared" si="9"/>
        <v>41.824124195689919</v>
      </c>
      <c r="I38" s="533"/>
      <c r="J38" s="533">
        <f t="shared" si="4"/>
        <v>2351</v>
      </c>
      <c r="K38" s="533">
        <f t="shared" si="5"/>
        <v>59.542000000000002</v>
      </c>
      <c r="L38" s="534">
        <f t="shared" si="10"/>
        <v>39.484733465452955</v>
      </c>
      <c r="M38" s="533"/>
      <c r="N38" s="533">
        <f t="shared" si="6"/>
        <v>2198</v>
      </c>
      <c r="O38" s="533">
        <f t="shared" si="7"/>
        <v>59.542000000000002</v>
      </c>
      <c r="P38" s="534">
        <f t="shared" si="11"/>
        <v>36.915118739713144</v>
      </c>
      <c r="S38" s="535"/>
    </row>
    <row r="39" spans="1:19" ht="16.5" customHeight="1">
      <c r="A39" s="526" t="s">
        <v>43</v>
      </c>
      <c r="B39" s="533">
        <f t="shared" si="0"/>
        <v>5076</v>
      </c>
      <c r="C39" s="533">
        <f t="shared" si="1"/>
        <v>55.414000000000001</v>
      </c>
      <c r="D39" s="534">
        <f t="shared" si="8"/>
        <v>91.601400368138016</v>
      </c>
      <c r="E39" s="533"/>
      <c r="F39" s="533">
        <f t="shared" si="2"/>
        <v>4770</v>
      </c>
      <c r="G39" s="533">
        <f t="shared" si="3"/>
        <v>55.508000000000003</v>
      </c>
      <c r="H39" s="534">
        <f t="shared" si="9"/>
        <v>85.93355912661238</v>
      </c>
      <c r="I39" s="533"/>
      <c r="J39" s="533">
        <f t="shared" si="4"/>
        <v>4494</v>
      </c>
      <c r="K39" s="533">
        <f t="shared" si="5"/>
        <v>55.600999999999999</v>
      </c>
      <c r="L39" s="534">
        <f t="shared" si="10"/>
        <v>80.825884426539091</v>
      </c>
      <c r="M39" s="533"/>
      <c r="N39" s="533">
        <f t="shared" si="6"/>
        <v>4151</v>
      </c>
      <c r="O39" s="533">
        <f t="shared" si="7"/>
        <v>55.600999999999999</v>
      </c>
      <c r="P39" s="534">
        <f t="shared" si="11"/>
        <v>74.656930630744057</v>
      </c>
      <c r="S39" s="535"/>
    </row>
    <row r="40" spans="1:19" ht="16.5" customHeight="1">
      <c r="A40" s="526" t="s">
        <v>44</v>
      </c>
      <c r="B40" s="533">
        <f t="shared" si="0"/>
        <v>7412</v>
      </c>
      <c r="C40" s="533">
        <f t="shared" si="1"/>
        <v>118.89400000000001</v>
      </c>
      <c r="D40" s="534">
        <f t="shared" si="8"/>
        <v>62.341245142732177</v>
      </c>
      <c r="E40" s="533"/>
      <c r="F40" s="533">
        <f t="shared" si="2"/>
        <v>6954</v>
      </c>
      <c r="G40" s="533">
        <f t="shared" si="3"/>
        <v>116.17100000000001</v>
      </c>
      <c r="H40" s="534">
        <f t="shared" si="9"/>
        <v>59.860033915521079</v>
      </c>
      <c r="I40" s="533"/>
      <c r="J40" s="533">
        <f t="shared" si="4"/>
        <v>6559</v>
      </c>
      <c r="K40" s="533">
        <f t="shared" si="5"/>
        <v>117.166</v>
      </c>
      <c r="L40" s="534">
        <f t="shared" si="10"/>
        <v>55.980403871430283</v>
      </c>
      <c r="M40" s="533"/>
      <c r="N40" s="533">
        <f t="shared" si="6"/>
        <v>6245</v>
      </c>
      <c r="O40" s="533">
        <f t="shared" si="7"/>
        <v>117.166</v>
      </c>
      <c r="P40" s="534">
        <f t="shared" si="11"/>
        <v>53.300445521738389</v>
      </c>
      <c r="S40" s="535"/>
    </row>
    <row r="41" spans="1:19" ht="16.5" customHeight="1">
      <c r="A41" s="526" t="s">
        <v>47</v>
      </c>
      <c r="B41" s="533" cm="1">
        <f t="array" ref="B41">SUM(SUMIFS($B$9:$B$40,$A$9:$A$40,{"Inverclyde","Glasgow City","South Lanarkshire","North Lanarkshire","East Dunbartonshire","West Dunbartonshire","East Renfrewshire","Renfrewshire"}))</f>
        <v>91863</v>
      </c>
      <c r="C41" s="533">
        <f t="shared" si="1"/>
        <v>1153.327</v>
      </c>
      <c r="D41" s="534">
        <f t="shared" si="8"/>
        <v>79.650437386794906</v>
      </c>
      <c r="E41" s="536"/>
      <c r="F41" s="533" cm="1">
        <f t="array" ref="F41">SUM(SUMIFS($B$9:$B$40,$A$9:$A$40,{"Inverclyde","Glasgow City","South Lanarkshire","North Lanarkshire","East Dunbartonshire","West Dunbartonshire","East Renfrewshire","Renfrewshire"}))</f>
        <v>91863</v>
      </c>
      <c r="G41" s="533">
        <f t="shared" si="3"/>
        <v>1150.095</v>
      </c>
      <c r="H41" s="534">
        <f t="shared" si="9"/>
        <v>79.874271255852776</v>
      </c>
      <c r="I41" s="536"/>
      <c r="J41" s="533" cm="1">
        <f t="array" ref="J41">SUM(SUMIFS($B$9:$B$40,$A$9:$A$40,{"Inverclyde","Glasgow City","South Lanarkshire","North Lanarkshire","East Dunbartonshire","West Dunbartonshire","East Renfrewshire","Renfrewshire"}))</f>
        <v>91863</v>
      </c>
      <c r="K41" s="533">
        <f t="shared" si="5"/>
        <v>1158.076</v>
      </c>
      <c r="L41" s="534">
        <f t="shared" si="10"/>
        <v>79.323809490914243</v>
      </c>
      <c r="M41" s="536"/>
      <c r="N41" s="533" cm="1">
        <f t="array" ref="N41">SUM(SUMIFS($B$9:$B$40,$A$9:$A$40,{"Inverclyde","Glasgow City","South Lanarkshire","North Lanarkshire","East Dunbartonshire","West Dunbartonshire","East Renfrewshire","Renfrewshire"}))</f>
        <v>91863</v>
      </c>
      <c r="O41" s="533">
        <f t="shared" si="7"/>
        <v>1158.076</v>
      </c>
      <c r="P41" s="534">
        <f t="shared" si="11"/>
        <v>79.323809490914243</v>
      </c>
    </row>
    <row r="42" spans="1:19" ht="16.5" customHeight="1">
      <c r="A42" s="526" t="s">
        <v>279</v>
      </c>
      <c r="B42" s="533">
        <f>INDEX($I$62:$L$95,MATCH($A42,$H$62:$H$95,0),MATCH(C$6,$I$61:$L$61,0))</f>
        <v>1873924</v>
      </c>
      <c r="C42" s="533">
        <f t="shared" si="1"/>
        <v>40951.186000000002</v>
      </c>
      <c r="D42" s="534">
        <f t="shared" si="8"/>
        <v>45.75994453493972</v>
      </c>
      <c r="E42" s="536"/>
      <c r="F42" s="533">
        <f>INDEX($I$62:$L$95,MATCH($A42,$H$62:$H$95,0),MATCH(G$6,$I$61:$L$61,0))</f>
        <v>1749030</v>
      </c>
      <c r="G42" s="533">
        <f t="shared" si="3"/>
        <v>41283.834000000003</v>
      </c>
      <c r="H42" s="534">
        <f t="shared" si="9"/>
        <v>42.365977927340758</v>
      </c>
      <c r="I42" s="536"/>
      <c r="J42" s="533">
        <f>INDEX($I$62:$L$95,MATCH($A42,$H$62:$H$95,0),MATCH(K$6,$I$61:$L$61,0))</f>
        <v>1648738</v>
      </c>
      <c r="K42" s="533">
        <f t="shared" si="5"/>
        <v>41283.834000000003</v>
      </c>
      <c r="L42" s="534">
        <f t="shared" si="10"/>
        <v>39.93664929473362</v>
      </c>
      <c r="M42" s="536"/>
      <c r="N42" s="533">
        <f>INDEX($I$62:$L$95,MATCH($A42,$H$62:$H$95,0),MATCH(O$6,$I$61:$L$61,0))</f>
        <v>1543988</v>
      </c>
      <c r="O42" s="533">
        <f t="shared" si="7"/>
        <v>41283.834000000003</v>
      </c>
      <c r="P42" s="534">
        <f t="shared" si="11"/>
        <v>37.399336505422433</v>
      </c>
    </row>
    <row r="43" spans="1:19" ht="16.5" customHeight="1">
      <c r="A43" s="527" t="s">
        <v>45</v>
      </c>
      <c r="B43" s="533">
        <f>INDEX($I$62:$L$95,MATCH($A43,$H$62:$H$95,0),MATCH(C$6,$I$61:$L$61,0))</f>
        <v>212977</v>
      </c>
      <c r="C43" s="533">
        <f t="shared" si="1"/>
        <v>3494.5169999999998</v>
      </c>
      <c r="D43" s="534">
        <f t="shared" si="8"/>
        <v>60.946047765685506</v>
      </c>
      <c r="E43" s="536"/>
      <c r="F43" s="533">
        <f>INDEX($I$62:$L$95,MATCH($A43,$H$62:$H$95,0),MATCH(G$6,$I$61:$L$61,0))</f>
        <v>199441</v>
      </c>
      <c r="G43" s="533">
        <f t="shared" si="3"/>
        <v>3458.413</v>
      </c>
      <c r="H43" s="534">
        <f t="shared" si="9"/>
        <v>57.668358290348785</v>
      </c>
      <c r="I43" s="536"/>
      <c r="J43" s="533">
        <f>INDEX($I$62:$L$95,MATCH($A43,$H$62:$H$95,0),MATCH(K$6,$I$61:$L$61,0))</f>
        <v>188484</v>
      </c>
      <c r="K43" s="533">
        <f t="shared" si="5"/>
        <v>3479.0439999999999</v>
      </c>
      <c r="L43" s="534">
        <f t="shared" si="10"/>
        <v>54.176952059243867</v>
      </c>
      <c r="M43" s="536"/>
      <c r="N43" s="533">
        <f>INDEX($I$62:$L$95,MATCH($A43,$H$62:$H$95,0),MATCH(O$6,$I$61:$L$61,0))</f>
        <v>177203</v>
      </c>
      <c r="O43" s="533">
        <f t="shared" si="7"/>
        <v>3479.0439999999999</v>
      </c>
      <c r="P43" s="534">
        <f t="shared" si="11"/>
        <v>50.934394621051069</v>
      </c>
      <c r="S43" s="537"/>
    </row>
    <row r="44" spans="1:19" s="538" customFormat="1" ht="14.5">
      <c r="A44" s="6" t="s">
        <v>238</v>
      </c>
      <c r="B44" s="10" cm="1">
        <f t="array" ref="B44">SUM(SUMIFS(B$9:B$41,$A$9:$A$41,{"Aberdeen City","Aberdeenshire"}))</f>
        <v>13010</v>
      </c>
      <c r="C44" s="10" cm="1">
        <f t="array" ref="C44">SUM(SUMIFS(C$9:C$41,$A$9:$A$41,{"Aberdeen City","Aberdeenshire"}))</f>
        <v>314.72400000000005</v>
      </c>
      <c r="D44" s="9">
        <f>SUM(B44/C44)</f>
        <v>41.337807094470072</v>
      </c>
      <c r="E44" s="10"/>
      <c r="F44" s="10" cm="1">
        <f t="array" ref="F44">SUM(SUMIFS(F$9:F$41,$A$9:$A$41,{"Aberdeen City","Aberdeenshire"}))</f>
        <v>12217</v>
      </c>
      <c r="G44" s="10" cm="1">
        <f t="array" ref="G44">SUM(SUMIFS(G$9:G$41,$A$9:$A$41,{"Aberdeen City","Aberdeenshire"}))</f>
        <v>309.56100000000004</v>
      </c>
      <c r="H44" s="9">
        <f>SUM(F44/G44)</f>
        <v>39.465565752791854</v>
      </c>
      <c r="I44" s="10"/>
      <c r="J44" s="10" cm="1">
        <f t="array" ref="J44">SUM(SUMIFS(J$9:J$41,$A$9:$A$41,{"Aberdeen City","Aberdeenshire"}))</f>
        <v>11547</v>
      </c>
      <c r="K44" s="10" cm="1">
        <f t="array" ref="K44">SUM(SUMIFS(K$9:K$41,$A$9:$A$41,{"Aberdeen City","Aberdeenshire"}))</f>
        <v>310.51400000000001</v>
      </c>
      <c r="L44" s="9">
        <f>SUM(J44/K44)</f>
        <v>37.186729100781285</v>
      </c>
      <c r="M44" s="10"/>
      <c r="N44" s="10" cm="1">
        <f t="array" ref="N44">SUM(SUMIFS(N$9:N$41,$A$9:$A$41,{"Aberdeen City","Aberdeenshire"}))</f>
        <v>10752</v>
      </c>
      <c r="O44" s="10" cm="1">
        <f t="array" ref="O44">SUM(SUMIFS(O$9:O$41,$A$9:$A$41,{"Aberdeen City","Aberdeenshire"}))</f>
        <v>310.51400000000001</v>
      </c>
      <c r="P44" s="9">
        <f>SUM(N44/O44)</f>
        <v>34.626458066302966</v>
      </c>
      <c r="Q44" s="10"/>
    </row>
    <row r="45" spans="1:19" s="538" customFormat="1" ht="14.5">
      <c r="A45" s="6" t="s">
        <v>711</v>
      </c>
      <c r="B45" s="370" cm="1">
        <f t="array" ref="B45">SUM(SUMIFS(B$9:B$41,$A$9:$A$41,{"Falkirk","Stirling","Clackmannanshire"}))</f>
        <v>10735</v>
      </c>
      <c r="C45" s="370" cm="1">
        <f t="array" ref="C45">SUM(SUMIFS(C$9:C$41,$A$9:$A$41,{"Falkirk","Stirling","Clackmannanshire"}))</f>
        <v>193.697</v>
      </c>
      <c r="D45" s="9">
        <f t="shared" ref="D45:D50" si="12">SUM(B45/C45)</f>
        <v>55.421612105504991</v>
      </c>
      <c r="E45" s="9"/>
      <c r="F45" s="370" cm="1">
        <f t="array" ref="F45">SUM(SUMIFS(F$9:F$41,$A$9:$A$41,{"Falkirk","Stirling","Clackmannanshire"}))</f>
        <v>10131</v>
      </c>
      <c r="G45" s="370" cm="1">
        <f t="array" ref="G45">SUM(SUMIFS(G$9:G$41,$A$9:$A$41,{"Falkirk","Stirling","Clackmannanshire"}))</f>
        <v>191.26300000000001</v>
      </c>
      <c r="H45" s="9">
        <f t="shared" ref="H45:H50" si="13">SUM(F45/G45)</f>
        <v>52.968948515917873</v>
      </c>
      <c r="I45" s="9"/>
      <c r="J45" s="370" cm="1">
        <f t="array" ref="J45">SUM(SUMIFS(J$9:J$41,$A$9:$A$41,{"Falkirk","Stirling","Clackmannanshire"}))</f>
        <v>9657</v>
      </c>
      <c r="K45" s="370" cm="1">
        <f t="array" ref="K45">SUM(SUMIFS(K$9:K$41,$A$9:$A$41,{"Falkirk","Stirling","Clackmannanshire"}))</f>
        <v>192.09</v>
      </c>
      <c r="L45" s="9">
        <f t="shared" ref="L45:L50" si="14">SUM(J45/K45)</f>
        <v>50.273309386225208</v>
      </c>
      <c r="M45" s="9"/>
      <c r="N45" s="370" cm="1">
        <f t="array" ref="N45">SUM(SUMIFS(N$9:N$41,$A$9:$A$41,{"Falkirk","Stirling","Clackmannanshire"}))</f>
        <v>9152</v>
      </c>
      <c r="O45" s="370" cm="1">
        <f t="array" ref="O45">SUM(SUMIFS(O$9:O$41,$A$9:$A$41,{"Falkirk","Stirling","Clackmannanshire"}))</f>
        <v>192.09</v>
      </c>
      <c r="P45" s="9">
        <f t="shared" ref="P45:P50" si="15">SUM(N45/O45)</f>
        <v>47.644333385392265</v>
      </c>
      <c r="Q45" s="9"/>
    </row>
    <row r="46" spans="1:19" s="538" customFormat="1" ht="14.5">
      <c r="A46" s="6" t="s">
        <v>712</v>
      </c>
      <c r="B46" s="370" cm="1">
        <f t="array" ref="B46">SUM(SUMIFS(B$9:B$41,$A$9:$A$41,{"East Lothian","Edinburgh, City of","Fife","Midlothian","Scottish Borders","West Lothian"}))</f>
        <v>46389</v>
      </c>
      <c r="C46" s="370" cm="1">
        <f t="array" ref="C46">SUM(SUMIFS(C$9:C$41,$A$9:$A$41,{"East Lothian","Edinburgh, City of","Fife","Midlothian","Scottish Borders","West Lothian"}))</f>
        <v>909.96299999999997</v>
      </c>
      <c r="D46" s="9">
        <f t="shared" si="12"/>
        <v>50.978995849281787</v>
      </c>
      <c r="E46" s="10"/>
      <c r="F46" s="370" cm="1">
        <f t="array" ref="F46">SUM(SUMIFS(F$9:F$41,$A$9:$A$41,{"East Lothian","Edinburgh, City of","Fife","Midlothian","Scottish Borders","West Lothian"}))</f>
        <v>43548</v>
      </c>
      <c r="G46" s="370" cm="1">
        <f t="array" ref="G46">SUM(SUMIFS(G$9:G$41,$A$9:$A$41,{"East Lothian","Edinburgh, City of","Fife","Midlothian","Scottish Borders","West Lothian"}))</f>
        <v>899.03200000000004</v>
      </c>
      <c r="H46" s="9">
        <f t="shared" si="13"/>
        <v>48.438765249735269</v>
      </c>
      <c r="I46" s="10"/>
      <c r="J46" s="370" cm="1">
        <f t="array" ref="J46">SUM(SUMIFS(J$9:J$41,$A$9:$A$41,{"East Lothian","Edinburgh, City of","Fife","Midlothian","Scottish Borders","West Lothian"}))</f>
        <v>41196</v>
      </c>
      <c r="K46" s="370" cm="1">
        <f t="array" ref="K46">SUM(SUMIFS(K$9:K$41,$A$9:$A$41,{"East Lothian","Edinburgh, City of","Fife","Midlothian","Scottish Borders","West Lothian"}))</f>
        <v>908.38499999999999</v>
      </c>
      <c r="L46" s="9">
        <f t="shared" si="14"/>
        <v>45.350814907775892</v>
      </c>
      <c r="M46" s="10"/>
      <c r="N46" s="370" cm="1">
        <f t="array" ref="N46">SUM(SUMIFS(N$9:N$41,$A$9:$A$41,{"East Lothian","Edinburgh, City of","Fife","Midlothian","Scottish Borders","West Lothian"}))</f>
        <v>38785</v>
      </c>
      <c r="O46" s="370" cm="1">
        <f t="array" ref="O46">SUM(SUMIFS(O$9:O$41,$A$9:$A$41,{"East Lothian","Edinburgh, City of","Fife","Midlothian","Scottish Borders","West Lothian"}))</f>
        <v>908.38499999999999</v>
      </c>
      <c r="P46" s="9">
        <f t="shared" si="15"/>
        <v>42.696653951793571</v>
      </c>
      <c r="Q46" s="10"/>
    </row>
    <row r="47" spans="1:19" s="538" customFormat="1" ht="14.5">
      <c r="A47" s="6" t="s">
        <v>239</v>
      </c>
      <c r="B47" s="370" cm="1">
        <f t="array" ref="B47">SUM(SUMIFS(B$9:B$41,$A$9:$A$41,{"Angus","Dundee City","Fife","Perth and Kinross"}))</f>
        <v>28396</v>
      </c>
      <c r="C47" s="370" cm="1">
        <f t="array" ref="C47">SUM(SUMIFS(C$9:C$41,$A$9:$A$41,{"Angus","Dundee City","Fife","Perth and Kinross"}))</f>
        <v>491.01899999999995</v>
      </c>
      <c r="D47" s="9">
        <f t="shared" si="12"/>
        <v>57.830756039990312</v>
      </c>
      <c r="E47" s="10"/>
      <c r="F47" s="370" cm="1">
        <f t="array" ref="F47">SUM(SUMIFS(F$9:F$41,$A$9:$A$41,{"Angus","Dundee City","Fife","Perth and Kinross"}))</f>
        <v>26564</v>
      </c>
      <c r="G47" s="370" cm="1">
        <f t="array" ref="G47">SUM(SUMIFS(G$9:G$41,$A$9:$A$41,{"Angus","Dundee City","Fife","Perth and Kinross"}))</f>
        <v>484.44299999999998</v>
      </c>
      <c r="H47" s="9">
        <f t="shared" si="13"/>
        <v>54.834108450323363</v>
      </c>
      <c r="I47" s="10"/>
      <c r="J47" s="370" cm="1">
        <f t="array" ref="J47">SUM(SUMIFS(J$9:J$41,$A$9:$A$41,{"Angus","Dundee City","Fife","Perth and Kinross"}))</f>
        <v>25142</v>
      </c>
      <c r="K47" s="370" cm="1">
        <f t="array" ref="K47">SUM(SUMIFS(K$9:K$41,$A$9:$A$41,{"Angus","Dundee City","Fife","Perth and Kinross"}))</f>
        <v>487.33199999999999</v>
      </c>
      <c r="L47" s="9">
        <f t="shared" si="14"/>
        <v>51.5911124243842</v>
      </c>
      <c r="M47" s="10"/>
      <c r="N47" s="370" cm="1">
        <f t="array" ref="N47">SUM(SUMIFS(N$9:N$41,$A$9:$A$41,{"Angus","Dundee City","Fife","Perth and Kinross"}))</f>
        <v>23739</v>
      </c>
      <c r="O47" s="370" cm="1">
        <f t="array" ref="O47">SUM(SUMIFS(O$9:O$41,$A$9:$A$41,{"Angus","Dundee City","Fife","Perth and Kinross"}))</f>
        <v>487.33199999999999</v>
      </c>
      <c r="P47" s="9">
        <f t="shared" si="15"/>
        <v>48.712171579128807</v>
      </c>
      <c r="Q47" s="10"/>
    </row>
    <row r="48" spans="1:19" s="538" customFormat="1" ht="14.5">
      <c r="A48" s="6" t="s">
        <v>543</v>
      </c>
      <c r="B48" s="370" cm="1">
        <f t="array" ref="B48">SUM(SUMIFS(B$9:B$41,$A$9:$A$41,{"Na h-Eileanan Siar","Argyll and Bute","Shetland Islands","Highland","Orkney Islands","Scottish Borders","Dumfries and Galloway","Aberdeenshire"}))</f>
        <v>26486</v>
      </c>
      <c r="C48" s="370" cm="1">
        <f t="array" ref="C48">SUM(SUMIFS(C$9:C$41,$A$9:$A$41,{"Na h-Eileanan Siar","Argyll and Bute","Shetland Islands","Highland","Orkney Islands","Scottish Borders","Dumfries and Galloway","Aberdeenshire"}))</f>
        <v>553.05799999999999</v>
      </c>
      <c r="D48" s="9">
        <f t="shared" si="12"/>
        <v>47.890094709777273</v>
      </c>
      <c r="E48" s="9"/>
      <c r="F48" s="370" cm="1">
        <f t="array" ref="F48">SUM(SUMIFS(F$9:F$41,$A$9:$A$41,{"Na h-Eileanan Siar","Argyll and Bute","Shetland Islands","Highland","Orkney Islands","Scottish Borders","Dumfries and Galloway","Aberdeenshire"}))</f>
        <v>24855</v>
      </c>
      <c r="G48" s="370" cm="1">
        <f t="array" ref="G48">SUM(SUMIFS(G$9:G$41,$A$9:$A$41,{"Na h-Eileanan Siar","Argyll and Bute","Shetland Islands","Highland","Orkney Islands","Scottish Borders","Dumfries and Galloway","Aberdeenshire"}))</f>
        <v>547.15700000000004</v>
      </c>
      <c r="H48" s="9">
        <f t="shared" si="13"/>
        <v>45.425718760794432</v>
      </c>
      <c r="I48" s="9"/>
      <c r="J48" s="370" cm="1">
        <f t="array" ref="J48">SUM(SUMIFS(J$9:J$41,$A$9:$A$41,{"Na h-Eileanan Siar","Argyll and Bute","Shetland Islands","Highland","Orkney Islands","Scottish Borders","Dumfries and Galloway","Aberdeenshire"}))</f>
        <v>23719</v>
      </c>
      <c r="K48" s="370" cm="1">
        <f t="array" ref="K48">SUM(SUMIFS(K$9:K$41,$A$9:$A$41,{"Na h-Eileanan Siar","Argyll and Bute","Shetland Islands","Highland","Orkney Islands","Scottish Borders","Dumfries and Galloway","Aberdeenshire"}))</f>
        <v>545.23400000000004</v>
      </c>
      <c r="L48" s="9">
        <f t="shared" si="14"/>
        <v>43.50242281295737</v>
      </c>
      <c r="M48" s="9"/>
      <c r="N48" s="370" cm="1">
        <f t="array" ref="N48">SUM(SUMIFS(N$9:N$41,$A$9:$A$41,{"Na h-Eileanan Siar","Argyll and Bute","Shetland Islands","Highland","Orkney Islands","Scottish Borders","Dumfries and Galloway","Aberdeenshire"}))</f>
        <v>22405</v>
      </c>
      <c r="O48" s="370" cm="1">
        <f t="array" ref="O48">SUM(SUMIFS(O$9:O$41,$A$9:$A$41,{"Na h-Eileanan Siar","Argyll and Bute","Shetland Islands","Highland","Orkney Islands","Scottish Borders","Dumfries and Galloway","Aberdeenshire"}))</f>
        <v>545.23400000000004</v>
      </c>
      <c r="P48" s="9">
        <f t="shared" si="15"/>
        <v>41.092448379961631</v>
      </c>
      <c r="Q48" s="9"/>
    </row>
    <row r="49" spans="1:17" s="538" customFormat="1" ht="14.5">
      <c r="A49" s="6" t="s">
        <v>544</v>
      </c>
      <c r="B49" s="370">
        <f>SUM(SUMIFS(B$9:B$41,$A$9:$A$41,{"Perth and Kinross","Stirling","Moray","South Ayrshire","East Ayrshire","East Lothian","North Ayrshire","Fife"}))</f>
        <v>41398</v>
      </c>
      <c r="C49" s="370">
        <f>SUM(SUMIFS(C$9:C$41,$A$9:$A$41,{"Perth and Kinross","Stirling","Moray","South Ayrshire","East Ayrshire","East Lothian","North Ayrshire","Fife"}))</f>
        <v>732.32099999999991</v>
      </c>
      <c r="D49" s="9">
        <f t="shared" si="12"/>
        <v>56.529855077213412</v>
      </c>
      <c r="E49" s="9"/>
      <c r="F49" s="370">
        <f>SUM(SUMIFS(F$9:F$41,$A$9:$A$41,{"Perth and Kinross","Stirling","Moray","South Ayrshire","East Ayrshire","East Lothian","North Ayrshire","Fife"}))</f>
        <v>38980</v>
      </c>
      <c r="G49" s="370">
        <f>SUM(SUMIFS(G$9:G$41,$A$9:$A$41,{"Perth and Kinross","Stirling","Moray","South Ayrshire","East Ayrshire","East Lothian","North Ayrshire","Fife"}))</f>
        <v>722.64199999999994</v>
      </c>
      <c r="H49" s="9">
        <f t="shared" si="13"/>
        <v>53.940955549220782</v>
      </c>
      <c r="I49" s="9"/>
      <c r="J49" s="370">
        <f>SUM(SUMIFS(J$9:J$41,$A$9:$A$41,{"Perth and Kinross","Stirling","Moray","South Ayrshire","East Ayrshire","East Lothian","North Ayrshire","Fife"}))</f>
        <v>37018</v>
      </c>
      <c r="K49" s="370">
        <f>SUM(SUMIFS(K$9:K$41,$A$9:$A$41,{"Perth and Kinross","Stirling","Moray","South Ayrshire","East Ayrshire","East Lothian","North Ayrshire","Fife"}))</f>
        <v>725.57</v>
      </c>
      <c r="L49" s="9">
        <f t="shared" si="14"/>
        <v>51.019198698953922</v>
      </c>
      <c r="M49" s="9"/>
      <c r="N49" s="370">
        <f>SUM(SUMIFS(N$9:N$41,$A$9:$A$41,{"Perth and Kinross","Stirling","Moray","South Ayrshire","East Ayrshire","East Lothian","North Ayrshire","Fife"}))</f>
        <v>34927</v>
      </c>
      <c r="O49" s="370" cm="1">
        <f t="array" ref="O49">SUM(SUMIFS(O$9:O$41,$A$9:$A$41,{"Perth and Kinross","Stirling","Moray","South Ayrshire","East Ayrshire","East Lothian","North Ayrshire","Fife"}))</f>
        <v>725.57</v>
      </c>
      <c r="P49" s="9">
        <f t="shared" si="15"/>
        <v>48.137326515704892</v>
      </c>
      <c r="Q49" s="9"/>
    </row>
    <row r="50" spans="1:17" s="538" customFormat="1" ht="14.5">
      <c r="A50" s="6" t="s">
        <v>545</v>
      </c>
      <c r="B50" s="370">
        <f>SUM(SUMIFS(B$9:B$41,$A$9:$A$41,{"Angus","Clackmannanshire","Midlothian","South Lanarkshire","Inverclyde","Renfrewshire","West Lothian","East Renfrewshire"}))</f>
        <v>43525</v>
      </c>
      <c r="C50" s="370">
        <f>SUM(SUMIFS(C$9:C$41,$A$9:$A$41,{"Angus","Clackmannanshire","Midlothian","South Lanarkshire","Inverclyde","Renfrewshire","West Lothian","East Renfrewshire"}))</f>
        <v>701.20399999999995</v>
      </c>
      <c r="D50" s="9">
        <f t="shared" si="12"/>
        <v>62.071807918950839</v>
      </c>
      <c r="E50" s="9"/>
      <c r="F50" s="370">
        <f>SUM(SUMIFS(F$9:F$41,$A$9:$A$41,{"Angus","Clackmannanshire","Midlothian","South Lanarkshire","Inverclyde","Renfrewshire","West Lothian","East Renfrewshire"}))</f>
        <v>41010</v>
      </c>
      <c r="G50" s="370">
        <f>SUM(SUMIFS(G$9:G$41,$A$9:$A$41,{"Angus","Clackmannanshire","Midlothian","South Lanarkshire","Inverclyde","Renfrewshire","West Lothian","East Renfrewshire"}))</f>
        <v>705.50900000000013</v>
      </c>
      <c r="H50" s="9">
        <f t="shared" si="13"/>
        <v>58.128244997583295</v>
      </c>
      <c r="I50" s="9"/>
      <c r="J50" s="370">
        <f>SUM(SUMIFS(J$9:J$41,$A$9:$A$41,{"Angus","Clackmannanshire","Midlothian","South Lanarkshire","Inverclyde","Renfrewshire","West Lothian","East Renfrewshire"}))</f>
        <v>38938</v>
      </c>
      <c r="K50" s="370">
        <f>SUM(SUMIFS(K$9:K$41,$A$9:$A$41,{"Angus","Clackmannanshire","Midlothian","South Lanarkshire","Inverclyde","Renfrewshire","West Lothian","East Renfrewshire"}))</f>
        <v>709.33999999999992</v>
      </c>
      <c r="L50" s="9">
        <f t="shared" si="14"/>
        <v>54.89328107818536</v>
      </c>
      <c r="M50" s="9"/>
      <c r="N50" s="370">
        <f>SUM(SUMIFS(N$9:N$41,$A$9:$A$41,{"Angus","Clackmannanshire","Midlothian","South Lanarkshire","Inverclyde","Renfrewshire","West Lothian","East Renfrewshire"}))</f>
        <v>37038</v>
      </c>
      <c r="O50" s="370">
        <f>SUM(SUMIFS(O$9:O$41,$A$9:$A$41,{"Angus","Clackmannanshire","Midlothian","South Lanarkshire","Inverclyde","Renfrewshire","West Lothian","East Renfrewshire"}))</f>
        <v>709.33999999999992</v>
      </c>
      <c r="P50" s="9">
        <f t="shared" si="15"/>
        <v>52.214734823920836</v>
      </c>
      <c r="Q50" s="9"/>
    </row>
    <row r="51" spans="1:17" s="538" customFormat="1" ht="14.5">
      <c r="A51" s="6" t="s">
        <v>546</v>
      </c>
      <c r="B51" s="370">
        <f>SUM(SUMIFS(B$9:B$41,$A$9:$A$41,{"North Lanarkshire","Falkirk","East Dunbartonshire","Aberdeen City","Edinburgh, City of","West Dunbartonshire","Dundee City","Glasgow City"}))</f>
        <v>101569</v>
      </c>
      <c r="C51" s="370">
        <f>SUM(SUMIFS(C$9:C$41,$A$9:$A$41,{"North Lanarkshire","Falkirk","East Dunbartonshire","Aberdeen City","Edinburgh, City of","West Dunbartonshire","Dundee City","Glasgow City"}))</f>
        <v>1507.934</v>
      </c>
      <c r="D51" s="9">
        <f>SUM(B51/C51)</f>
        <v>67.356396234848475</v>
      </c>
      <c r="E51" s="9"/>
      <c r="F51" s="370">
        <f>SUM(SUMIFS(F$9:F$41,$A$9:$A$41,{"North Lanarkshire","Falkirk","East Dunbartonshire","Aberdeen City","Edinburgh, City of","West Dunbartonshire","Dundee City","Glasgow City"}))</f>
        <v>94613</v>
      </c>
      <c r="G51" s="370">
        <f>SUM(SUMIFS(G$9:G$41,$A$9:$A$41,{"North Lanarkshire","Falkirk","East Dunbartonshire","Aberdeen City","Edinburgh, City of","West Dunbartonshire","Dundee City","Glasgow City"}))</f>
        <v>1483.105</v>
      </c>
      <c r="H51" s="9">
        <f>SUM(F51/G51)</f>
        <v>63.79386489830457</v>
      </c>
      <c r="I51" s="9"/>
      <c r="J51" s="370">
        <f>SUM(SUMIFS(J$9:J$41,$A$9:$A$41,{"North Lanarkshire","Falkirk","East Dunbartonshire","Aberdeen City","Edinburgh, City of","West Dunbartonshire","Dundee City","Glasgow City"}))</f>
        <v>88800</v>
      </c>
      <c r="K51" s="370">
        <f>SUM(SUMIFS(K$9:K$41,$A$9:$A$41,{"North Lanarkshire","Falkirk","East Dunbartonshire","Aberdeen City","Edinburgh, City of","West Dunbartonshire","Dundee City","Glasgow City"}))</f>
        <v>1498.8999999999999</v>
      </c>
      <c r="L51" s="9">
        <f>SUM(J51/K51)</f>
        <v>59.243445193141646</v>
      </c>
      <c r="M51" s="9"/>
      <c r="N51" s="370">
        <f>SUM(SUMIFS(N$9:N$41,$A$9:$A$41,{"North Lanarkshire","Falkirk","East Dunbartonshire","Aberdeen City","Edinburgh, City of","West Dunbartonshire","Dundee City","Glasgow City"}))</f>
        <v>82817</v>
      </c>
      <c r="O51" s="370">
        <f>SUM(SUMIFS(O$9:O$41,$A$9:$A$41,{"North Lanarkshire","Falkirk","East Dunbartonshire","Aberdeen City","Edinburgh, City of","West Dunbartonshire","Dundee City","Glasgow City"}))</f>
        <v>1498.8999999999999</v>
      </c>
      <c r="P51" s="9">
        <f>SUM(N51/O51)</f>
        <v>55.251851357662289</v>
      </c>
      <c r="Q51" s="9"/>
    </row>
    <row r="52" spans="1:17">
      <c r="B52" s="539"/>
    </row>
    <row r="53" spans="1:17" ht="13" thickBot="1"/>
    <row r="54" spans="1:17" ht="16" thickBot="1">
      <c r="A54" s="1" t="s">
        <v>216</v>
      </c>
      <c r="B54"/>
      <c r="C54"/>
      <c r="D54"/>
      <c r="E54"/>
      <c r="G54" s="540" t="s">
        <v>689</v>
      </c>
      <c r="H54" s="541"/>
      <c r="I54" s="541"/>
      <c r="J54" s="541"/>
      <c r="K54" s="541"/>
      <c r="L54" s="541"/>
      <c r="M54" s="541"/>
      <c r="N54" s="541"/>
      <c r="O54" s="541"/>
      <c r="P54" s="541"/>
    </row>
    <row r="55" spans="1:17" ht="15" thickBot="1">
      <c r="A55" s="2" t="s">
        <v>715</v>
      </c>
      <c r="B55"/>
      <c r="C55"/>
      <c r="D55"/>
      <c r="E55"/>
      <c r="G55" s="540" t="s">
        <v>713</v>
      </c>
      <c r="H55" s="541"/>
      <c r="I55" s="541"/>
      <c r="J55" s="541"/>
      <c r="K55" s="541"/>
      <c r="L55" s="541"/>
      <c r="M55" s="541"/>
      <c r="N55" s="541"/>
      <c r="O55" s="541"/>
      <c r="P55" s="541"/>
    </row>
    <row r="56" spans="1:17" ht="15" thickBot="1">
      <c r="A56"/>
      <c r="B56"/>
      <c r="C56"/>
      <c r="D56"/>
      <c r="E56"/>
      <c r="G56" s="540" t="s">
        <v>690</v>
      </c>
      <c r="H56" s="541"/>
      <c r="I56" s="541"/>
      <c r="J56" s="541"/>
      <c r="K56" s="541"/>
      <c r="L56" s="541"/>
      <c r="M56" s="541"/>
      <c r="N56" s="541"/>
      <c r="O56" s="541"/>
      <c r="P56" s="541"/>
    </row>
    <row r="57" spans="1:17" ht="15" thickBot="1">
      <c r="A57" s="242" t="s">
        <v>150</v>
      </c>
      <c r="B57" s="242" t="s">
        <v>82</v>
      </c>
      <c r="C57"/>
      <c r="D57"/>
      <c r="E57"/>
      <c r="G57" s="541"/>
      <c r="H57" s="541"/>
      <c r="I57" s="541"/>
      <c r="J57" s="541"/>
      <c r="K57" s="541"/>
      <c r="L57" s="541"/>
      <c r="M57" s="541"/>
      <c r="N57" s="541"/>
      <c r="O57" s="541"/>
      <c r="P57" s="541"/>
    </row>
    <row r="58" spans="1:17" ht="15" thickBot="1">
      <c r="A58" s="242" t="s">
        <v>149</v>
      </c>
      <c r="B58" s="242" t="s">
        <v>215</v>
      </c>
      <c r="C58"/>
      <c r="D58"/>
      <c r="E58"/>
      <c r="G58" s="540" t="s">
        <v>691</v>
      </c>
      <c r="H58" s="541"/>
      <c r="I58" s="541"/>
      <c r="J58" s="541"/>
      <c r="K58" s="541"/>
      <c r="L58" s="541"/>
      <c r="M58" s="541"/>
      <c r="N58" s="541"/>
      <c r="O58" s="541"/>
      <c r="P58" s="541"/>
    </row>
    <row r="59" spans="1:17" ht="15" thickBot="1">
      <c r="A59"/>
      <c r="B59"/>
      <c r="C59"/>
      <c r="D59"/>
      <c r="E59"/>
      <c r="G59" s="542" t="s">
        <v>692</v>
      </c>
      <c r="H59" s="543" t="s">
        <v>693</v>
      </c>
      <c r="I59" s="541"/>
      <c r="J59" s="541"/>
      <c r="K59" s="541"/>
      <c r="L59" s="541"/>
      <c r="M59" s="541"/>
      <c r="N59" s="541"/>
      <c r="O59" s="541"/>
      <c r="P59" s="541"/>
    </row>
    <row r="60" spans="1:17" ht="14.5">
      <c r="A60" s="12" t="s">
        <v>5</v>
      </c>
      <c r="B60" s="65">
        <v>2020</v>
      </c>
      <c r="C60" s="65">
        <v>2021</v>
      </c>
      <c r="D60" s="65">
        <v>2022</v>
      </c>
      <c r="E60" s="65">
        <v>2023</v>
      </c>
      <c r="G60" s="541"/>
      <c r="H60" s="541"/>
      <c r="I60" s="541"/>
      <c r="J60" s="541"/>
      <c r="K60" s="541"/>
      <c r="L60" s="541"/>
      <c r="M60" s="541"/>
      <c r="N60" s="541"/>
      <c r="O60" s="541"/>
      <c r="P60" s="541"/>
    </row>
    <row r="61" spans="1:17" ht="13" thickBot="1">
      <c r="A61" s="242" t="s">
        <v>14</v>
      </c>
      <c r="B61" s="243">
        <v>156660</v>
      </c>
      <c r="C61" s="243">
        <v>154229</v>
      </c>
      <c r="D61" s="243">
        <v>150298</v>
      </c>
      <c r="E61" s="243">
        <v>151691</v>
      </c>
      <c r="G61" s="605" t="s">
        <v>694</v>
      </c>
      <c r="H61" s="606"/>
      <c r="I61" s="544" t="s">
        <v>771</v>
      </c>
      <c r="J61" s="544" t="s">
        <v>772</v>
      </c>
      <c r="K61" s="544" t="s">
        <v>773</v>
      </c>
      <c r="L61" s="544" t="s">
        <v>774</v>
      </c>
    </row>
    <row r="62" spans="1:17" ht="15" thickBot="1">
      <c r="A62" s="242" t="s">
        <v>15</v>
      </c>
      <c r="B62" s="243">
        <v>160000</v>
      </c>
      <c r="C62" s="243">
        <v>160495</v>
      </c>
      <c r="D62" s="243">
        <v>159263</v>
      </c>
      <c r="E62" s="243">
        <v>158823</v>
      </c>
      <c r="G62" s="541"/>
      <c r="H62" s="545" t="s">
        <v>45</v>
      </c>
      <c r="I62" s="546">
        <v>212977</v>
      </c>
      <c r="J62" s="546">
        <v>199441</v>
      </c>
      <c r="K62" s="546">
        <v>188484</v>
      </c>
      <c r="L62" s="546">
        <v>177203</v>
      </c>
    </row>
    <row r="63" spans="1:17" ht="15" thickBot="1">
      <c r="A63" s="242" t="s">
        <v>16</v>
      </c>
      <c r="B63" s="243">
        <v>68871</v>
      </c>
      <c r="C63" s="243">
        <v>69017</v>
      </c>
      <c r="D63" s="243">
        <v>67593</v>
      </c>
      <c r="E63" s="243">
        <v>67488</v>
      </c>
      <c r="G63" s="541"/>
      <c r="H63" s="545" t="s">
        <v>279</v>
      </c>
      <c r="I63" s="546">
        <v>1873924</v>
      </c>
      <c r="J63" s="546">
        <v>1749030</v>
      </c>
      <c r="K63" s="546">
        <v>1648738</v>
      </c>
      <c r="L63" s="546">
        <v>1543988</v>
      </c>
    </row>
    <row r="64" spans="1:17" ht="15" thickBot="1">
      <c r="A64" s="242" t="s">
        <v>17</v>
      </c>
      <c r="B64" s="243">
        <v>50511</v>
      </c>
      <c r="C64" s="243">
        <v>51002</v>
      </c>
      <c r="D64" s="243">
        <v>51868</v>
      </c>
      <c r="E64" s="243">
        <v>51516</v>
      </c>
      <c r="G64" s="541"/>
      <c r="H64" s="545" t="s">
        <v>14</v>
      </c>
      <c r="I64" s="546">
        <v>7230</v>
      </c>
      <c r="J64" s="546">
        <v>6759</v>
      </c>
      <c r="K64" s="546">
        <v>6282</v>
      </c>
      <c r="L64" s="546">
        <v>5778</v>
      </c>
    </row>
    <row r="65" spans="1:12" ht="15" thickBot="1">
      <c r="A65" s="242" t="s">
        <v>189</v>
      </c>
      <c r="B65" s="243">
        <v>368491</v>
      </c>
      <c r="C65" s="243">
        <v>366367</v>
      </c>
      <c r="D65" s="243">
        <v>357141</v>
      </c>
      <c r="E65" s="243">
        <v>363787</v>
      </c>
      <c r="G65" s="541"/>
      <c r="H65" s="545" t="s">
        <v>15</v>
      </c>
      <c r="I65" s="546">
        <v>5780</v>
      </c>
      <c r="J65" s="546">
        <v>5458</v>
      </c>
      <c r="K65" s="546">
        <v>5265</v>
      </c>
      <c r="L65" s="546">
        <v>4974</v>
      </c>
    </row>
    <row r="66" spans="1:12" ht="15" thickBot="1">
      <c r="A66" s="242" t="s">
        <v>18</v>
      </c>
      <c r="B66" s="243">
        <v>31817</v>
      </c>
      <c r="C66" s="243">
        <v>31945</v>
      </c>
      <c r="D66" s="243">
        <v>32189</v>
      </c>
      <c r="E66" s="243">
        <v>32274</v>
      </c>
      <c r="G66" s="541"/>
      <c r="H66" s="545" t="s">
        <v>16</v>
      </c>
      <c r="I66" s="546">
        <v>3685</v>
      </c>
      <c r="J66" s="546">
        <v>3471</v>
      </c>
      <c r="K66" s="546">
        <v>3310</v>
      </c>
      <c r="L66" s="546">
        <v>3124</v>
      </c>
    </row>
    <row r="67" spans="1:12" ht="15" thickBot="1">
      <c r="A67" s="242" t="s">
        <v>19</v>
      </c>
      <c r="B67" s="243">
        <v>86182</v>
      </c>
      <c r="C67" s="243">
        <v>86346</v>
      </c>
      <c r="D67" s="243">
        <v>83896</v>
      </c>
      <c r="E67" s="243">
        <v>83536</v>
      </c>
      <c r="G67" s="541"/>
      <c r="H67" s="545" t="s">
        <v>17</v>
      </c>
      <c r="I67" s="546">
        <v>2908</v>
      </c>
      <c r="J67" s="546">
        <v>2728</v>
      </c>
      <c r="K67" s="546">
        <v>2526</v>
      </c>
      <c r="L67" s="546">
        <v>2385</v>
      </c>
    </row>
    <row r="68" spans="1:12" ht="23.5" thickBot="1">
      <c r="A68" s="242" t="s">
        <v>20</v>
      </c>
      <c r="B68" s="243">
        <v>98822</v>
      </c>
      <c r="C68" s="243">
        <v>97773</v>
      </c>
      <c r="D68" s="243">
        <v>97905</v>
      </c>
      <c r="E68" s="243">
        <v>99253</v>
      </c>
      <c r="G68" s="541"/>
      <c r="H68" s="545" t="s">
        <v>189</v>
      </c>
      <c r="I68" s="546">
        <v>16771</v>
      </c>
      <c r="J68" s="546">
        <v>15670</v>
      </c>
      <c r="K68" s="546">
        <v>14702</v>
      </c>
      <c r="L68" s="546">
        <v>13651</v>
      </c>
    </row>
    <row r="69" spans="1:12" ht="23.5" thickBot="1">
      <c r="A69" s="242" t="s">
        <v>21</v>
      </c>
      <c r="B69" s="243">
        <v>75511</v>
      </c>
      <c r="C69" s="243">
        <v>75654</v>
      </c>
      <c r="D69" s="243">
        <v>74068</v>
      </c>
      <c r="E69" s="243">
        <v>74131</v>
      </c>
      <c r="G69" s="541"/>
      <c r="H69" s="545" t="s">
        <v>18</v>
      </c>
      <c r="I69" s="546">
        <v>2134</v>
      </c>
      <c r="J69" s="546">
        <v>2022</v>
      </c>
      <c r="K69" s="546">
        <v>1921</v>
      </c>
      <c r="L69" s="546">
        <v>1837</v>
      </c>
    </row>
    <row r="70" spans="1:12" ht="23.5" thickBot="1">
      <c r="A70" s="242" t="s">
        <v>22</v>
      </c>
      <c r="B70" s="243">
        <v>64517</v>
      </c>
      <c r="C70" s="243">
        <v>64307</v>
      </c>
      <c r="D70" s="243">
        <v>63285</v>
      </c>
      <c r="E70" s="243">
        <v>63073</v>
      </c>
      <c r="G70" s="541"/>
      <c r="H70" s="545" t="s">
        <v>19</v>
      </c>
      <c r="I70" s="546">
        <v>5665</v>
      </c>
      <c r="J70" s="546">
        <v>5329</v>
      </c>
      <c r="K70" s="546">
        <v>5130</v>
      </c>
      <c r="L70" s="546">
        <v>4824</v>
      </c>
    </row>
    <row r="71" spans="1:12" ht="15" thickBot="1">
      <c r="A71" s="242" t="s">
        <v>23</v>
      </c>
      <c r="B71" s="243">
        <v>66007</v>
      </c>
      <c r="C71" s="243">
        <v>66893</v>
      </c>
      <c r="D71" s="243">
        <v>68402</v>
      </c>
      <c r="E71" s="243">
        <v>69076</v>
      </c>
      <c r="G71" s="541"/>
      <c r="H71" s="545" t="s">
        <v>20</v>
      </c>
      <c r="I71" s="546">
        <v>7201</v>
      </c>
      <c r="J71" s="546">
        <v>6600</v>
      </c>
      <c r="K71" s="546">
        <v>6159</v>
      </c>
      <c r="L71" s="546">
        <v>5755</v>
      </c>
    </row>
    <row r="72" spans="1:12" ht="15" thickBot="1">
      <c r="A72" s="242" t="s">
        <v>24</v>
      </c>
      <c r="B72" s="243">
        <v>56973</v>
      </c>
      <c r="C72" s="243">
        <v>57033</v>
      </c>
      <c r="D72" s="243">
        <v>56601</v>
      </c>
      <c r="E72" s="243">
        <v>57300</v>
      </c>
      <c r="G72" s="541"/>
      <c r="H72" s="545" t="s">
        <v>21</v>
      </c>
      <c r="I72" s="546">
        <v>5130</v>
      </c>
      <c r="J72" s="546">
        <v>4749</v>
      </c>
      <c r="K72" s="546">
        <v>4489</v>
      </c>
      <c r="L72" s="546">
        <v>4191</v>
      </c>
    </row>
    <row r="73" spans="1:12" ht="23.5" thickBot="1">
      <c r="A73" s="242" t="s">
        <v>25</v>
      </c>
      <c r="B73" s="243">
        <v>102019</v>
      </c>
      <c r="C73" s="243">
        <v>102021</v>
      </c>
      <c r="D73" s="243">
        <v>100328</v>
      </c>
      <c r="E73" s="243">
        <v>100274</v>
      </c>
      <c r="G73" s="541"/>
      <c r="H73" s="545" t="s">
        <v>22</v>
      </c>
      <c r="I73" s="546">
        <v>2679</v>
      </c>
      <c r="J73" s="546">
        <v>2544</v>
      </c>
      <c r="K73" s="546">
        <v>2455</v>
      </c>
      <c r="L73" s="546">
        <v>2355</v>
      </c>
    </row>
    <row r="74" spans="1:12" ht="15" thickBot="1">
      <c r="A74" s="242" t="s">
        <v>26</v>
      </c>
      <c r="B74" s="243">
        <v>231809</v>
      </c>
      <c r="C74" s="243">
        <v>231635</v>
      </c>
      <c r="D74" s="243">
        <v>229225</v>
      </c>
      <c r="E74" s="243">
        <v>230154</v>
      </c>
      <c r="G74" s="541"/>
      <c r="H74" s="545" t="s">
        <v>23</v>
      </c>
      <c r="I74" s="546">
        <v>2664</v>
      </c>
      <c r="J74" s="546">
        <v>2536</v>
      </c>
      <c r="K74" s="546">
        <v>2436</v>
      </c>
      <c r="L74" s="546">
        <v>2304</v>
      </c>
    </row>
    <row r="75" spans="1:12" ht="23.5" thickBot="1">
      <c r="A75" s="526" t="s">
        <v>27</v>
      </c>
      <c r="B75" s="243">
        <v>449539</v>
      </c>
      <c r="C75" s="243">
        <v>448645</v>
      </c>
      <c r="D75" s="243">
        <v>439158</v>
      </c>
      <c r="E75" s="243">
        <v>445743</v>
      </c>
      <c r="G75" s="541"/>
      <c r="H75" s="545" t="s">
        <v>24</v>
      </c>
      <c r="I75" s="546">
        <v>2440</v>
      </c>
      <c r="J75" s="546">
        <v>2280</v>
      </c>
      <c r="K75" s="546">
        <v>2188</v>
      </c>
      <c r="L75" s="546">
        <v>2103</v>
      </c>
    </row>
    <row r="76" spans="1:12" ht="15" thickBot="1">
      <c r="A76" s="242" t="s">
        <v>28</v>
      </c>
      <c r="B76" s="243">
        <v>142939</v>
      </c>
      <c r="C76" s="243">
        <v>144706</v>
      </c>
      <c r="D76" s="243">
        <v>142307</v>
      </c>
      <c r="E76" s="243">
        <v>142159</v>
      </c>
      <c r="G76" s="541"/>
      <c r="H76" s="545" t="s">
        <v>25</v>
      </c>
      <c r="I76" s="546">
        <v>6005</v>
      </c>
      <c r="J76" s="546">
        <v>5652</v>
      </c>
      <c r="K76" s="546">
        <v>5385</v>
      </c>
      <c r="L76" s="546">
        <v>5117</v>
      </c>
    </row>
    <row r="77" spans="1:12" ht="15" thickBot="1">
      <c r="A77" s="242" t="s">
        <v>29</v>
      </c>
      <c r="B77" s="243">
        <v>48152</v>
      </c>
      <c r="C77" s="243">
        <v>47782</v>
      </c>
      <c r="D77" s="243">
        <v>48719</v>
      </c>
      <c r="E77" s="243">
        <v>48402</v>
      </c>
      <c r="G77" s="541"/>
      <c r="H77" s="545" t="s">
        <v>26</v>
      </c>
      <c r="I77" s="546">
        <v>13170</v>
      </c>
      <c r="J77" s="546">
        <v>12449</v>
      </c>
      <c r="K77" s="546">
        <v>11816</v>
      </c>
      <c r="L77" s="546">
        <v>11216</v>
      </c>
    </row>
    <row r="78" spans="1:12" ht="15" thickBot="1">
      <c r="A78" s="242" t="s">
        <v>30</v>
      </c>
      <c r="B78" s="243">
        <v>57491</v>
      </c>
      <c r="C78" s="243">
        <v>58532</v>
      </c>
      <c r="D78" s="243">
        <v>60293</v>
      </c>
      <c r="E78" s="243">
        <v>60931</v>
      </c>
      <c r="G78" s="541"/>
      <c r="H78" s="545" t="s">
        <v>27</v>
      </c>
      <c r="I78" s="546">
        <v>40015</v>
      </c>
      <c r="J78" s="546">
        <v>37106</v>
      </c>
      <c r="K78" s="546">
        <v>34514</v>
      </c>
      <c r="L78" s="546">
        <v>32007</v>
      </c>
    </row>
    <row r="79" spans="1:12" ht="15" thickBot="1">
      <c r="A79" s="242" t="s">
        <v>31</v>
      </c>
      <c r="B79" s="243">
        <v>58602</v>
      </c>
      <c r="C79" s="243">
        <v>58935</v>
      </c>
      <c r="D79" s="243">
        <v>57099</v>
      </c>
      <c r="E79" s="243">
        <v>57257</v>
      </c>
      <c r="G79" s="541"/>
      <c r="H79" s="545" t="s">
        <v>28</v>
      </c>
      <c r="I79" s="546">
        <v>6494</v>
      </c>
      <c r="J79" s="546">
        <v>6094</v>
      </c>
      <c r="K79" s="546">
        <v>5828</v>
      </c>
      <c r="L79" s="546">
        <v>5500</v>
      </c>
    </row>
    <row r="80" spans="1:12" ht="15" thickBot="1">
      <c r="A80" s="242" t="s">
        <v>32</v>
      </c>
      <c r="B80" s="243">
        <v>15392</v>
      </c>
      <c r="C80" s="243">
        <v>15508</v>
      </c>
      <c r="D80" s="243">
        <v>15176</v>
      </c>
      <c r="E80" s="243">
        <v>15126</v>
      </c>
      <c r="G80" s="541"/>
      <c r="H80" s="545" t="s">
        <v>29</v>
      </c>
      <c r="I80" s="546">
        <v>3978</v>
      </c>
      <c r="J80" s="546">
        <v>3749</v>
      </c>
      <c r="K80" s="546">
        <v>3524</v>
      </c>
      <c r="L80" s="546">
        <v>3400</v>
      </c>
    </row>
    <row r="81" spans="1:12" ht="15" thickBot="1">
      <c r="A81" s="242" t="s">
        <v>33</v>
      </c>
      <c r="B81" s="243">
        <v>81123</v>
      </c>
      <c r="C81" s="243">
        <v>81035</v>
      </c>
      <c r="D81" s="243">
        <v>80452</v>
      </c>
      <c r="E81" s="243">
        <v>80167</v>
      </c>
      <c r="G81" s="541"/>
      <c r="H81" s="545" t="s">
        <v>30</v>
      </c>
      <c r="I81" s="546">
        <v>2793</v>
      </c>
      <c r="J81" s="546">
        <v>2615</v>
      </c>
      <c r="K81" s="546">
        <v>2542</v>
      </c>
      <c r="L81" s="546">
        <v>2408</v>
      </c>
    </row>
    <row r="82" spans="1:12" ht="15" thickBot="1">
      <c r="A82" s="242" t="s">
        <v>34</v>
      </c>
      <c r="B82" s="243">
        <v>219051</v>
      </c>
      <c r="C82" s="243">
        <v>219178</v>
      </c>
      <c r="D82" s="243">
        <v>219482</v>
      </c>
      <c r="E82" s="243">
        <v>219478</v>
      </c>
      <c r="G82" s="541"/>
      <c r="H82" s="545" t="s">
        <v>31</v>
      </c>
      <c r="I82" s="546">
        <v>2702</v>
      </c>
      <c r="J82" s="546">
        <v>2539</v>
      </c>
      <c r="K82" s="546">
        <v>2413</v>
      </c>
      <c r="L82" s="546">
        <v>2281</v>
      </c>
    </row>
    <row r="83" spans="1:12" ht="23.5" thickBot="1">
      <c r="A83" s="242" t="s">
        <v>35</v>
      </c>
      <c r="B83" s="243">
        <v>13386</v>
      </c>
      <c r="C83" s="243">
        <v>13447</v>
      </c>
      <c r="D83" s="243">
        <v>13020</v>
      </c>
      <c r="E83" s="243">
        <v>12953</v>
      </c>
      <c r="G83" s="541"/>
      <c r="H83" s="545" t="s">
        <v>32</v>
      </c>
      <c r="I83" s="546">
        <v>865</v>
      </c>
      <c r="J83" s="546">
        <v>805</v>
      </c>
      <c r="K83" s="546">
        <v>749</v>
      </c>
      <c r="L83" s="546">
        <v>723</v>
      </c>
    </row>
    <row r="84" spans="1:12" ht="15" thickBot="1">
      <c r="A84" s="242" t="s">
        <v>36</v>
      </c>
      <c r="B84" s="243">
        <v>91349</v>
      </c>
      <c r="C84" s="243">
        <v>92594</v>
      </c>
      <c r="D84" s="243">
        <v>89720</v>
      </c>
      <c r="E84" s="243">
        <v>90437</v>
      </c>
      <c r="G84" s="541"/>
      <c r="H84" s="545" t="s">
        <v>33</v>
      </c>
      <c r="I84" s="546">
        <v>6442</v>
      </c>
      <c r="J84" s="546">
        <v>6068</v>
      </c>
      <c r="K84" s="546">
        <v>5764</v>
      </c>
      <c r="L84" s="546">
        <v>5456</v>
      </c>
    </row>
    <row r="85" spans="1:12" ht="23.5" thickBot="1">
      <c r="A85" s="242" t="s">
        <v>37</v>
      </c>
      <c r="B85" s="243">
        <v>115055</v>
      </c>
      <c r="C85" s="243">
        <v>115571</v>
      </c>
      <c r="D85" s="243">
        <v>118453</v>
      </c>
      <c r="E85" s="243">
        <v>119319</v>
      </c>
      <c r="G85" s="541"/>
      <c r="H85" s="545" t="s">
        <v>34</v>
      </c>
      <c r="I85" s="546">
        <v>16592</v>
      </c>
      <c r="J85" s="546">
        <v>15512</v>
      </c>
      <c r="K85" s="546">
        <v>14809</v>
      </c>
      <c r="L85" s="546">
        <v>14003</v>
      </c>
    </row>
    <row r="86" spans="1:12" ht="15" thickBot="1">
      <c r="A86" s="242" t="s">
        <v>38</v>
      </c>
      <c r="B86" s="243">
        <v>67332</v>
      </c>
      <c r="C86" s="243">
        <v>67642</v>
      </c>
      <c r="D86" s="243">
        <v>67800</v>
      </c>
      <c r="E86" s="243">
        <v>67271</v>
      </c>
      <c r="G86" s="541"/>
      <c r="H86" s="545" t="s">
        <v>35</v>
      </c>
      <c r="I86" s="546">
        <v>611</v>
      </c>
      <c r="J86" s="546">
        <v>570</v>
      </c>
      <c r="K86" s="546">
        <v>545</v>
      </c>
      <c r="L86" s="546">
        <v>530</v>
      </c>
    </row>
    <row r="87" spans="1:12" ht="23.5" thickBot="1">
      <c r="A87" s="242" t="s">
        <v>39</v>
      </c>
      <c r="B87" s="243">
        <v>13905</v>
      </c>
      <c r="C87" s="243">
        <v>13912</v>
      </c>
      <c r="D87" s="243">
        <v>13827</v>
      </c>
      <c r="E87" s="243">
        <v>13850</v>
      </c>
      <c r="G87" s="541"/>
      <c r="H87" s="545" t="s">
        <v>36</v>
      </c>
      <c r="I87" s="546">
        <v>4340</v>
      </c>
      <c r="J87" s="546">
        <v>4044</v>
      </c>
      <c r="K87" s="546">
        <v>3857</v>
      </c>
      <c r="L87" s="546">
        <v>3644</v>
      </c>
    </row>
    <row r="88" spans="1:12" ht="15" thickBot="1">
      <c r="A88" s="242" t="s">
        <v>40</v>
      </c>
      <c r="B88" s="243">
        <v>65767</v>
      </c>
      <c r="C88" s="243">
        <v>65844</v>
      </c>
      <c r="D88" s="243">
        <v>64930</v>
      </c>
      <c r="E88" s="243">
        <v>64806</v>
      </c>
      <c r="G88" s="541"/>
      <c r="H88" s="545" t="s">
        <v>37</v>
      </c>
      <c r="I88" s="546">
        <v>8209</v>
      </c>
      <c r="J88" s="546">
        <v>7780</v>
      </c>
      <c r="K88" s="546">
        <v>7343</v>
      </c>
      <c r="L88" s="546">
        <v>6919</v>
      </c>
    </row>
    <row r="89" spans="1:12" ht="23.5" thickBot="1">
      <c r="A89" s="242" t="s">
        <v>41</v>
      </c>
      <c r="B89" s="243">
        <v>201790</v>
      </c>
      <c r="C89" s="243">
        <v>202430</v>
      </c>
      <c r="D89" s="243">
        <v>205490</v>
      </c>
      <c r="E89" s="243">
        <v>206460</v>
      </c>
      <c r="G89" s="541"/>
      <c r="H89" s="545" t="s">
        <v>38</v>
      </c>
      <c r="I89" s="546">
        <v>3579</v>
      </c>
      <c r="J89" s="546">
        <v>3324</v>
      </c>
      <c r="K89" s="546">
        <v>3141</v>
      </c>
      <c r="L89" s="546">
        <v>2961</v>
      </c>
    </row>
    <row r="90" spans="1:12" ht="23.5" thickBot="1">
      <c r="A90" s="242" t="s">
        <v>42</v>
      </c>
      <c r="B90" s="243">
        <v>60411</v>
      </c>
      <c r="C90" s="243">
        <v>59731</v>
      </c>
      <c r="D90" s="243">
        <v>58746</v>
      </c>
      <c r="E90" s="243">
        <v>59542</v>
      </c>
      <c r="G90" s="541"/>
      <c r="H90" s="545" t="s">
        <v>39</v>
      </c>
      <c r="I90" s="546">
        <v>584</v>
      </c>
      <c r="J90" s="546">
        <v>547</v>
      </c>
      <c r="K90" s="546">
        <v>535</v>
      </c>
      <c r="L90" s="546">
        <v>508</v>
      </c>
    </row>
    <row r="91" spans="1:12" ht="15" thickBot="1">
      <c r="A91" s="242" t="s">
        <v>43</v>
      </c>
      <c r="B91" s="243">
        <v>55988</v>
      </c>
      <c r="C91" s="243">
        <v>55414</v>
      </c>
      <c r="D91" s="243">
        <v>55508</v>
      </c>
      <c r="E91" s="243">
        <v>55601</v>
      </c>
      <c r="G91" s="541"/>
      <c r="H91" s="545" t="s">
        <v>40</v>
      </c>
      <c r="I91" s="546">
        <v>4354</v>
      </c>
      <c r="J91" s="546">
        <v>4138</v>
      </c>
      <c r="K91" s="546">
        <v>3892</v>
      </c>
      <c r="L91" s="546">
        <v>3637</v>
      </c>
    </row>
    <row r="92" spans="1:12" ht="23.5" thickBot="1">
      <c r="A92" s="242" t="s">
        <v>44</v>
      </c>
      <c r="B92" s="243">
        <v>117675</v>
      </c>
      <c r="C92" s="243">
        <v>118894</v>
      </c>
      <c r="D92" s="243">
        <v>116171</v>
      </c>
      <c r="E92" s="243">
        <v>117166</v>
      </c>
      <c r="G92" s="541"/>
      <c r="H92" s="545" t="s">
        <v>41</v>
      </c>
      <c r="I92" s="546">
        <v>12874</v>
      </c>
      <c r="J92" s="546">
        <v>12139</v>
      </c>
      <c r="K92" s="546">
        <v>11551</v>
      </c>
      <c r="L92" s="546">
        <v>11002</v>
      </c>
    </row>
    <row r="93" spans="1:12" ht="15" thickBot="1">
      <c r="A93" s="242" t="s">
        <v>45</v>
      </c>
      <c r="B93" s="243">
        <v>3493137</v>
      </c>
      <c r="C93" s="243">
        <v>3494517</v>
      </c>
      <c r="D93" s="243">
        <v>3458413</v>
      </c>
      <c r="E93" s="243">
        <v>3479044</v>
      </c>
      <c r="G93" s="541"/>
      <c r="H93" s="545" t="s">
        <v>42</v>
      </c>
      <c r="I93" s="546">
        <v>2596</v>
      </c>
      <c r="J93" s="546">
        <v>2457</v>
      </c>
      <c r="K93" s="546">
        <v>2351</v>
      </c>
      <c r="L93" s="546">
        <v>2198</v>
      </c>
    </row>
    <row r="94" spans="1:12" ht="23.5" thickBot="1">
      <c r="A94" s="242" t="s">
        <v>279</v>
      </c>
      <c r="B94" s="243">
        <v>40811362</v>
      </c>
      <c r="C94" s="243">
        <v>40951186</v>
      </c>
      <c r="D94" s="243">
        <v>41283834</v>
      </c>
      <c r="E94" s="243">
        <v>41283834</v>
      </c>
      <c r="G94" s="541"/>
      <c r="H94" s="545" t="s">
        <v>43</v>
      </c>
      <c r="I94" s="546">
        <v>5076</v>
      </c>
      <c r="J94" s="546">
        <v>4770</v>
      </c>
      <c r="K94" s="546">
        <v>4494</v>
      </c>
      <c r="L94" s="546">
        <v>4151</v>
      </c>
    </row>
    <row r="95" spans="1:12" ht="15" thickBot="1">
      <c r="A95" s="242" t="s">
        <v>47</v>
      </c>
      <c r="B95" s="243">
        <f t="shared" ref="B95:E95" si="16">SUM(B91,B89,B85,B82,B77,B75,B70)</f>
        <v>1154092</v>
      </c>
      <c r="C95" s="243">
        <f t="shared" si="16"/>
        <v>1153327</v>
      </c>
      <c r="D95" s="243">
        <f t="shared" si="16"/>
        <v>1150095</v>
      </c>
      <c r="E95" s="243">
        <f t="shared" si="16"/>
        <v>1158076</v>
      </c>
      <c r="G95" s="541"/>
      <c r="H95" s="545" t="s">
        <v>44</v>
      </c>
      <c r="I95" s="546">
        <v>7412</v>
      </c>
      <c r="J95" s="546">
        <v>6954</v>
      </c>
      <c r="K95" s="546">
        <v>6559</v>
      </c>
      <c r="L95" s="546">
        <v>6245</v>
      </c>
    </row>
    <row r="96" spans="1:12" ht="15" thickBot="1">
      <c r="G96" s="541"/>
      <c r="H96" s="545" t="s">
        <v>82</v>
      </c>
      <c r="I96" s="546">
        <v>212977</v>
      </c>
      <c r="J96" s="546">
        <v>199441</v>
      </c>
      <c r="K96" s="546">
        <v>188484</v>
      </c>
      <c r="L96" s="546">
        <v>177203</v>
      </c>
    </row>
  </sheetData>
  <mergeCells count="1">
    <mergeCell ref="G61:H61"/>
  </mergeCells>
  <conditionalFormatting sqref="A1:XFD62 A63:E95 F63:XFD96 A97:XFD1048576">
    <cfRule type="expression" dxfId="47" priority="1">
      <formula>_xlfn.ISFORMULA(A1)</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oddHeader>&amp;R&amp;"Arial,Bold"&amp;18ROAD TRANSPORT VEHICLES&amp;C&amp;"Arial,Regular"&amp;12&amp;B&amp;K000000OFFICIAL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sheetPr>
  <dimension ref="A1:Q51"/>
  <sheetViews>
    <sheetView workbookViewId="0">
      <selection activeCell="B7" sqref="B7:Q43"/>
    </sheetView>
  </sheetViews>
  <sheetFormatPr defaultColWidth="8.7265625" defaultRowHeight="14.5"/>
  <cols>
    <col min="1" max="1" width="25.26953125" style="196" customWidth="1" collapsed="1"/>
    <col min="2" max="17" width="14.7265625" style="196" customWidth="1" collapsed="1"/>
    <col min="18" max="16384" width="8.7265625" style="196"/>
  </cols>
  <sheetData>
    <row r="1" spans="1:17" ht="15.5">
      <c r="A1" s="1" t="s">
        <v>0</v>
      </c>
      <c r="B1"/>
      <c r="C1"/>
      <c r="D1"/>
      <c r="E1"/>
      <c r="F1"/>
      <c r="G1"/>
      <c r="H1"/>
      <c r="I1"/>
      <c r="J1"/>
      <c r="K1"/>
      <c r="L1"/>
      <c r="M1"/>
      <c r="N1"/>
      <c r="O1"/>
      <c r="P1"/>
      <c r="Q1"/>
    </row>
    <row r="2" spans="1:17">
      <c r="A2" s="2" t="s">
        <v>597</v>
      </c>
      <c r="B2"/>
      <c r="C2"/>
      <c r="D2"/>
      <c r="E2"/>
      <c r="F2"/>
      <c r="G2"/>
      <c r="H2"/>
      <c r="I2"/>
      <c r="J2"/>
      <c r="K2"/>
      <c r="L2"/>
      <c r="M2"/>
      <c r="N2"/>
      <c r="O2"/>
      <c r="P2"/>
      <c r="Q2"/>
    </row>
    <row r="3" spans="1:17">
      <c r="A3"/>
      <c r="B3"/>
      <c r="C3"/>
      <c r="D3"/>
      <c r="E3"/>
      <c r="F3"/>
      <c r="G3"/>
      <c r="H3"/>
      <c r="I3"/>
      <c r="J3"/>
      <c r="K3"/>
      <c r="L3"/>
      <c r="M3"/>
      <c r="N3"/>
      <c r="O3"/>
      <c r="P3"/>
      <c r="Q3"/>
    </row>
    <row r="4" spans="1:17">
      <c r="A4" s="242" t="s">
        <v>1</v>
      </c>
      <c r="B4" s="242" t="s">
        <v>2</v>
      </c>
      <c r="C4"/>
      <c r="D4"/>
      <c r="E4"/>
      <c r="F4"/>
      <c r="G4"/>
      <c r="H4"/>
      <c r="I4"/>
      <c r="J4"/>
      <c r="K4"/>
      <c r="L4"/>
      <c r="M4"/>
      <c r="N4"/>
      <c r="O4"/>
      <c r="P4"/>
      <c r="Q4"/>
    </row>
    <row r="5" spans="1:17">
      <c r="A5" s="242" t="s">
        <v>3</v>
      </c>
      <c r="B5" s="242" t="s">
        <v>4</v>
      </c>
      <c r="C5"/>
      <c r="D5"/>
      <c r="E5"/>
      <c r="F5"/>
      <c r="G5"/>
      <c r="H5"/>
      <c r="I5"/>
      <c r="J5"/>
      <c r="K5"/>
      <c r="L5"/>
      <c r="M5"/>
      <c r="N5"/>
      <c r="O5"/>
      <c r="P5"/>
      <c r="Q5"/>
    </row>
    <row r="6" spans="1:17">
      <c r="A6"/>
      <c r="B6"/>
      <c r="C6"/>
      <c r="D6"/>
      <c r="E6"/>
      <c r="F6"/>
      <c r="G6"/>
      <c r="H6"/>
      <c r="I6"/>
      <c r="J6"/>
      <c r="K6"/>
      <c r="L6"/>
      <c r="M6"/>
      <c r="N6"/>
      <c r="O6"/>
      <c r="P6"/>
      <c r="Q6"/>
    </row>
    <row r="7" spans="1:17" ht="22" customHeight="1">
      <c r="A7" s="12" t="s">
        <v>5</v>
      </c>
      <c r="B7" s="607" t="s">
        <v>525</v>
      </c>
      <c r="C7" s="604"/>
      <c r="D7" s="604"/>
      <c r="E7" s="604"/>
      <c r="F7" s="607" t="s">
        <v>598</v>
      </c>
      <c r="G7" s="604"/>
      <c r="H7" s="604"/>
      <c r="I7" s="604"/>
      <c r="J7" s="607" t="s">
        <v>705</v>
      </c>
      <c r="K7" s="604"/>
      <c r="L7" s="604"/>
      <c r="M7" s="604"/>
      <c r="N7" s="607" t="s">
        <v>754</v>
      </c>
      <c r="O7" s="604"/>
      <c r="P7" s="604"/>
      <c r="Q7" s="604"/>
    </row>
    <row r="8" spans="1:17" ht="26.15" customHeight="1">
      <c r="A8"/>
      <c r="B8" s="454" t="s">
        <v>6</v>
      </c>
      <c r="C8" s="454" t="s">
        <v>7</v>
      </c>
      <c r="D8" s="454" t="s">
        <v>8</v>
      </c>
      <c r="E8" s="454" t="s">
        <v>9</v>
      </c>
      <c r="F8" s="454" t="s">
        <v>6</v>
      </c>
      <c r="G8" s="454" t="s">
        <v>7</v>
      </c>
      <c r="H8" s="454" t="s">
        <v>8</v>
      </c>
      <c r="I8" s="454" t="s">
        <v>9</v>
      </c>
      <c r="J8" s="454" t="s">
        <v>6</v>
      </c>
      <c r="K8" s="454" t="s">
        <v>7</v>
      </c>
      <c r="L8" s="454" t="s">
        <v>8</v>
      </c>
      <c r="M8" s="454" t="s">
        <v>9</v>
      </c>
      <c r="N8" s="454" t="s">
        <v>6</v>
      </c>
      <c r="O8" s="454" t="s">
        <v>7</v>
      </c>
      <c r="P8" s="454" t="s">
        <v>8</v>
      </c>
      <c r="Q8" s="454" t="s">
        <v>9</v>
      </c>
    </row>
    <row r="9" spans="1:17">
      <c r="A9" s="242" t="s">
        <v>14</v>
      </c>
      <c r="B9" s="435">
        <v>10900</v>
      </c>
      <c r="C9" s="435">
        <v>35600</v>
      </c>
      <c r="D9" s="436">
        <v>30.6</v>
      </c>
      <c r="E9" s="436">
        <v>8.9</v>
      </c>
      <c r="F9" s="435">
        <v>8500</v>
      </c>
      <c r="G9" s="435">
        <v>30400</v>
      </c>
      <c r="H9" s="436">
        <v>28.1</v>
      </c>
      <c r="I9" s="436">
        <v>9.6</v>
      </c>
      <c r="J9" s="435">
        <v>11200</v>
      </c>
      <c r="K9" s="435">
        <v>39500</v>
      </c>
      <c r="L9" s="436">
        <v>28.5</v>
      </c>
      <c r="M9" s="436">
        <v>9</v>
      </c>
      <c r="N9" s="435">
        <v>10900</v>
      </c>
      <c r="O9" s="435">
        <v>34100</v>
      </c>
      <c r="P9" s="436">
        <v>32.1</v>
      </c>
      <c r="Q9" s="436">
        <v>10.8</v>
      </c>
    </row>
    <row r="10" spans="1:17">
      <c r="A10" s="242" t="s">
        <v>15</v>
      </c>
      <c r="B10" s="435">
        <v>6100</v>
      </c>
      <c r="C10" s="435">
        <v>29900</v>
      </c>
      <c r="D10" s="436">
        <v>20.399999999999999</v>
      </c>
      <c r="E10" s="436">
        <v>8.4</v>
      </c>
      <c r="F10" s="435">
        <v>8500</v>
      </c>
      <c r="G10" s="435">
        <v>37200</v>
      </c>
      <c r="H10" s="436">
        <v>23</v>
      </c>
      <c r="I10" s="436">
        <v>8.3000000000000007</v>
      </c>
      <c r="J10" s="435">
        <v>8000</v>
      </c>
      <c r="K10" s="435">
        <v>29800</v>
      </c>
      <c r="L10" s="436">
        <v>27</v>
      </c>
      <c r="M10" s="436">
        <v>10.199999999999999</v>
      </c>
      <c r="N10" s="435">
        <v>5200</v>
      </c>
      <c r="O10" s="435">
        <v>25000</v>
      </c>
      <c r="P10" s="436">
        <v>20.8</v>
      </c>
      <c r="Q10" s="435" t="s">
        <v>10</v>
      </c>
    </row>
    <row r="11" spans="1:17">
      <c r="A11" s="242" t="s">
        <v>16</v>
      </c>
      <c r="B11" s="435">
        <v>5800</v>
      </c>
      <c r="C11" s="435">
        <v>17300</v>
      </c>
      <c r="D11" s="436">
        <v>33.6</v>
      </c>
      <c r="E11" s="436">
        <v>7.7</v>
      </c>
      <c r="F11" s="435">
        <v>6000</v>
      </c>
      <c r="G11" s="435">
        <v>16400</v>
      </c>
      <c r="H11" s="436">
        <v>36.700000000000003</v>
      </c>
      <c r="I11" s="436">
        <v>9.4</v>
      </c>
      <c r="J11" s="435">
        <v>5100</v>
      </c>
      <c r="K11" s="435">
        <v>16300</v>
      </c>
      <c r="L11" s="436">
        <v>31.5</v>
      </c>
      <c r="M11" s="436">
        <v>8.9</v>
      </c>
      <c r="N11" s="435">
        <v>6800</v>
      </c>
      <c r="O11" s="435">
        <v>18600</v>
      </c>
      <c r="P11" s="436">
        <v>36.4</v>
      </c>
      <c r="Q11" s="436">
        <v>11.6</v>
      </c>
    </row>
    <row r="12" spans="1:17">
      <c r="A12" s="242" t="s">
        <v>17</v>
      </c>
      <c r="B12" s="435">
        <v>3100</v>
      </c>
      <c r="C12" s="435">
        <v>11100</v>
      </c>
      <c r="D12" s="436">
        <v>28</v>
      </c>
      <c r="E12" s="436">
        <v>7.9</v>
      </c>
      <c r="F12" s="435">
        <v>2800</v>
      </c>
      <c r="G12" s="435">
        <v>11600</v>
      </c>
      <c r="H12" s="436">
        <v>23.9</v>
      </c>
      <c r="I12" s="436">
        <v>8.4</v>
      </c>
      <c r="J12" s="435">
        <v>3100</v>
      </c>
      <c r="K12" s="435">
        <v>11900</v>
      </c>
      <c r="L12" s="436">
        <v>25.9</v>
      </c>
      <c r="M12" s="436">
        <v>10.1</v>
      </c>
      <c r="N12" s="435">
        <v>5400</v>
      </c>
      <c r="O12" s="435">
        <v>14400</v>
      </c>
      <c r="P12" s="436">
        <v>37.700000000000003</v>
      </c>
      <c r="Q12" s="436">
        <v>12.8</v>
      </c>
    </row>
    <row r="13" spans="1:17">
      <c r="A13" s="242" t="s">
        <v>586</v>
      </c>
      <c r="B13" s="435">
        <v>16000</v>
      </c>
      <c r="C13" s="435">
        <v>81100</v>
      </c>
      <c r="D13" s="436">
        <v>19.7</v>
      </c>
      <c r="E13" s="436">
        <v>6.5</v>
      </c>
      <c r="F13" s="435">
        <v>11100</v>
      </c>
      <c r="G13" s="435">
        <v>69100</v>
      </c>
      <c r="H13" s="436">
        <v>16</v>
      </c>
      <c r="I13" s="436">
        <v>6.5</v>
      </c>
      <c r="J13" s="435">
        <v>18000</v>
      </c>
      <c r="K13" s="435">
        <v>70700</v>
      </c>
      <c r="L13" s="436">
        <v>25.5</v>
      </c>
      <c r="M13" s="436">
        <v>8.1</v>
      </c>
      <c r="N13" s="435">
        <v>10100</v>
      </c>
      <c r="O13" s="435">
        <v>50700</v>
      </c>
      <c r="P13" s="436">
        <v>19.899999999999999</v>
      </c>
      <c r="Q13" s="436">
        <v>9.1999999999999993</v>
      </c>
    </row>
    <row r="14" spans="1:17">
      <c r="A14" s="242" t="s">
        <v>18</v>
      </c>
      <c r="B14" s="435">
        <v>2000</v>
      </c>
      <c r="C14" s="435">
        <v>7000</v>
      </c>
      <c r="D14" s="436">
        <v>28</v>
      </c>
      <c r="E14" s="436">
        <v>10.8</v>
      </c>
      <c r="F14" s="435">
        <v>2400</v>
      </c>
      <c r="G14" s="435">
        <v>8400</v>
      </c>
      <c r="H14" s="436">
        <v>29.1</v>
      </c>
      <c r="I14" s="436">
        <v>13.1</v>
      </c>
      <c r="J14" s="435">
        <v>2500</v>
      </c>
      <c r="K14" s="435">
        <v>9700</v>
      </c>
      <c r="L14" s="436">
        <v>25.4</v>
      </c>
      <c r="M14" s="436">
        <v>9.8000000000000007</v>
      </c>
      <c r="N14" s="435">
        <v>3600</v>
      </c>
      <c r="O14" s="435">
        <v>9200</v>
      </c>
      <c r="P14" s="436">
        <v>39.200000000000003</v>
      </c>
      <c r="Q14" s="436">
        <v>12.7</v>
      </c>
    </row>
    <row r="15" spans="1:17">
      <c r="A15" s="242" t="s">
        <v>19</v>
      </c>
      <c r="B15" s="435">
        <v>5700</v>
      </c>
      <c r="C15" s="435">
        <v>23200</v>
      </c>
      <c r="D15" s="436">
        <v>24.5</v>
      </c>
      <c r="E15" s="436">
        <v>8</v>
      </c>
      <c r="F15" s="435">
        <v>6900</v>
      </c>
      <c r="G15" s="435">
        <v>21900</v>
      </c>
      <c r="H15" s="436">
        <v>31.4</v>
      </c>
      <c r="I15" s="436">
        <v>8.6</v>
      </c>
      <c r="J15" s="435">
        <v>8900</v>
      </c>
      <c r="K15" s="435">
        <v>24800</v>
      </c>
      <c r="L15" s="436">
        <v>36.1</v>
      </c>
      <c r="M15" s="436">
        <v>8.8000000000000007</v>
      </c>
      <c r="N15" s="435">
        <v>10000</v>
      </c>
      <c r="O15" s="435">
        <v>23300</v>
      </c>
      <c r="P15" s="436">
        <v>42.9</v>
      </c>
      <c r="Q15" s="436">
        <v>13.1</v>
      </c>
    </row>
    <row r="16" spans="1:17">
      <c r="A16" s="242" t="s">
        <v>20</v>
      </c>
      <c r="B16" s="435">
        <v>7100</v>
      </c>
      <c r="C16" s="435">
        <v>22200</v>
      </c>
      <c r="D16" s="436">
        <v>32</v>
      </c>
      <c r="E16" s="436">
        <v>8.1</v>
      </c>
      <c r="F16" s="435">
        <v>9300</v>
      </c>
      <c r="G16" s="435">
        <v>23400</v>
      </c>
      <c r="H16" s="436">
        <v>39.6</v>
      </c>
      <c r="I16" s="436">
        <v>9.6999999999999993</v>
      </c>
      <c r="J16" s="435">
        <v>6900</v>
      </c>
      <c r="K16" s="435">
        <v>23700</v>
      </c>
      <c r="L16" s="436">
        <v>29</v>
      </c>
      <c r="M16" s="436">
        <v>8.6</v>
      </c>
      <c r="N16" s="435">
        <v>9300</v>
      </c>
      <c r="O16" s="435">
        <v>28100</v>
      </c>
      <c r="P16" s="436">
        <v>33.200000000000003</v>
      </c>
      <c r="Q16" s="436">
        <v>9.5</v>
      </c>
    </row>
    <row r="17" spans="1:17">
      <c r="A17" s="242" t="s">
        <v>21</v>
      </c>
      <c r="B17" s="435">
        <v>5500</v>
      </c>
      <c r="C17" s="435">
        <v>17600</v>
      </c>
      <c r="D17" s="436">
        <v>31.5</v>
      </c>
      <c r="E17" s="436">
        <v>8.9</v>
      </c>
      <c r="F17" s="435">
        <v>4500</v>
      </c>
      <c r="G17" s="435">
        <v>16100</v>
      </c>
      <c r="H17" s="436">
        <v>27.9</v>
      </c>
      <c r="I17" s="436">
        <v>9.1999999999999993</v>
      </c>
      <c r="J17" s="435">
        <v>7200</v>
      </c>
      <c r="K17" s="435">
        <v>19800</v>
      </c>
      <c r="L17" s="436">
        <v>36.299999999999997</v>
      </c>
      <c r="M17" s="436">
        <v>9.1</v>
      </c>
      <c r="N17" s="435">
        <v>7100</v>
      </c>
      <c r="O17" s="435">
        <v>20500</v>
      </c>
      <c r="P17" s="436">
        <v>34.4</v>
      </c>
      <c r="Q17" s="436">
        <v>11.4</v>
      </c>
    </row>
    <row r="18" spans="1:17">
      <c r="A18" s="242" t="s">
        <v>22</v>
      </c>
      <c r="B18" s="435">
        <v>3600</v>
      </c>
      <c r="C18" s="435">
        <v>14400</v>
      </c>
      <c r="D18" s="436">
        <v>25.1</v>
      </c>
      <c r="E18" s="436">
        <v>6.8</v>
      </c>
      <c r="F18" s="435">
        <v>4600</v>
      </c>
      <c r="G18" s="435">
        <v>15900</v>
      </c>
      <c r="H18" s="436">
        <v>28.7</v>
      </c>
      <c r="I18" s="436">
        <v>7.7</v>
      </c>
      <c r="J18" s="435">
        <v>3900</v>
      </c>
      <c r="K18" s="435">
        <v>14200</v>
      </c>
      <c r="L18" s="436">
        <v>27.6</v>
      </c>
      <c r="M18" s="436">
        <v>8</v>
      </c>
      <c r="N18" s="435">
        <v>4100</v>
      </c>
      <c r="O18" s="435">
        <v>15500</v>
      </c>
      <c r="P18" s="436">
        <v>26.3</v>
      </c>
      <c r="Q18" s="436">
        <v>9.3000000000000007</v>
      </c>
    </row>
    <row r="19" spans="1:17">
      <c r="A19" s="242" t="s">
        <v>23</v>
      </c>
      <c r="B19" s="435">
        <v>5100</v>
      </c>
      <c r="C19" s="435">
        <v>13900</v>
      </c>
      <c r="D19" s="436">
        <v>36.299999999999997</v>
      </c>
      <c r="E19" s="436">
        <v>9.9</v>
      </c>
      <c r="F19" s="435">
        <v>3600</v>
      </c>
      <c r="G19" s="435">
        <v>11300</v>
      </c>
      <c r="H19" s="436">
        <v>32.299999999999997</v>
      </c>
      <c r="I19" s="436">
        <v>12.2</v>
      </c>
      <c r="J19" s="435">
        <v>5800</v>
      </c>
      <c r="K19" s="435">
        <v>14700</v>
      </c>
      <c r="L19" s="436">
        <v>39.6</v>
      </c>
      <c r="M19" s="436">
        <v>11.3</v>
      </c>
      <c r="N19" s="435">
        <v>4300</v>
      </c>
      <c r="O19" s="435">
        <v>11600</v>
      </c>
      <c r="P19" s="436">
        <v>36.9</v>
      </c>
      <c r="Q19" s="436">
        <v>14.1</v>
      </c>
    </row>
    <row r="20" spans="1:17">
      <c r="A20" s="242" t="s">
        <v>24</v>
      </c>
      <c r="B20" s="435">
        <v>2600</v>
      </c>
      <c r="C20" s="435">
        <v>13400</v>
      </c>
      <c r="D20" s="436">
        <v>19.5</v>
      </c>
      <c r="E20" s="436">
        <v>7.4</v>
      </c>
      <c r="F20" s="435">
        <v>2900</v>
      </c>
      <c r="G20" s="435">
        <v>15600</v>
      </c>
      <c r="H20" s="436">
        <v>18.600000000000001</v>
      </c>
      <c r="I20" s="436">
        <v>7.5</v>
      </c>
      <c r="J20" s="435">
        <v>2200</v>
      </c>
      <c r="K20" s="435">
        <v>11600</v>
      </c>
      <c r="L20" s="436">
        <v>19.100000000000001</v>
      </c>
      <c r="M20" s="435" t="s">
        <v>10</v>
      </c>
      <c r="N20" s="435">
        <v>2900</v>
      </c>
      <c r="O20" s="435">
        <v>11300</v>
      </c>
      <c r="P20" s="436">
        <v>26</v>
      </c>
      <c r="Q20" s="435" t="s">
        <v>10</v>
      </c>
    </row>
    <row r="21" spans="1:17">
      <c r="A21" s="242" t="s">
        <v>25</v>
      </c>
      <c r="B21" s="435">
        <v>6200</v>
      </c>
      <c r="C21" s="435">
        <v>21500</v>
      </c>
      <c r="D21" s="436">
        <v>28.8</v>
      </c>
      <c r="E21" s="436">
        <v>9.1999999999999993</v>
      </c>
      <c r="F21" s="435">
        <v>5400</v>
      </c>
      <c r="G21" s="435">
        <v>22100</v>
      </c>
      <c r="H21" s="436">
        <v>24.2</v>
      </c>
      <c r="I21" s="436">
        <v>9.8000000000000007</v>
      </c>
      <c r="J21" s="435">
        <v>7300</v>
      </c>
      <c r="K21" s="435">
        <v>19900</v>
      </c>
      <c r="L21" s="436">
        <v>36.9</v>
      </c>
      <c r="M21" s="436">
        <v>10.7</v>
      </c>
      <c r="N21" s="435">
        <v>9200</v>
      </c>
      <c r="O21" s="435">
        <v>24800</v>
      </c>
      <c r="P21" s="436">
        <v>36.9</v>
      </c>
      <c r="Q21" s="436">
        <v>11.3</v>
      </c>
    </row>
    <row r="22" spans="1:17">
      <c r="A22" s="242" t="s">
        <v>26</v>
      </c>
      <c r="B22" s="435">
        <v>17900</v>
      </c>
      <c r="C22" s="435">
        <v>56200</v>
      </c>
      <c r="D22" s="436">
        <v>31.8</v>
      </c>
      <c r="E22" s="436">
        <v>7.7</v>
      </c>
      <c r="F22" s="435">
        <v>19700</v>
      </c>
      <c r="G22" s="435">
        <v>58300</v>
      </c>
      <c r="H22" s="436">
        <v>33.799999999999997</v>
      </c>
      <c r="I22" s="436">
        <v>8.1</v>
      </c>
      <c r="J22" s="435">
        <v>14700</v>
      </c>
      <c r="K22" s="435">
        <v>49900</v>
      </c>
      <c r="L22" s="436">
        <v>29.5</v>
      </c>
      <c r="M22" s="436">
        <v>8.1</v>
      </c>
      <c r="N22" s="435">
        <v>16100</v>
      </c>
      <c r="O22" s="435">
        <v>48900</v>
      </c>
      <c r="P22" s="436">
        <v>32.9</v>
      </c>
      <c r="Q22" s="436">
        <v>8.6</v>
      </c>
    </row>
    <row r="23" spans="1:17">
      <c r="A23" s="242" t="s">
        <v>27</v>
      </c>
      <c r="B23" s="435">
        <v>38800</v>
      </c>
      <c r="C23" s="435">
        <v>117600</v>
      </c>
      <c r="D23" s="436">
        <v>32.9</v>
      </c>
      <c r="E23" s="436">
        <v>7.2</v>
      </c>
      <c r="F23" s="435">
        <v>36100</v>
      </c>
      <c r="G23" s="435">
        <v>119700</v>
      </c>
      <c r="H23" s="436">
        <v>30.2</v>
      </c>
      <c r="I23" s="436">
        <v>6.9</v>
      </c>
      <c r="J23" s="435">
        <v>32700</v>
      </c>
      <c r="K23" s="435">
        <v>109600</v>
      </c>
      <c r="L23" s="436">
        <v>29.8</v>
      </c>
      <c r="M23" s="436">
        <v>7.5</v>
      </c>
      <c r="N23" s="435">
        <v>26800</v>
      </c>
      <c r="O23" s="435">
        <v>111100</v>
      </c>
      <c r="P23" s="436">
        <v>24.1</v>
      </c>
      <c r="Q23" s="436">
        <v>8.6</v>
      </c>
    </row>
    <row r="24" spans="1:17">
      <c r="A24" s="242" t="s">
        <v>28</v>
      </c>
      <c r="B24" s="435">
        <v>5700</v>
      </c>
      <c r="C24" s="435">
        <v>29100</v>
      </c>
      <c r="D24" s="436">
        <v>19.5</v>
      </c>
      <c r="E24" s="436">
        <v>8.9</v>
      </c>
      <c r="F24" s="435">
        <v>8000</v>
      </c>
      <c r="G24" s="435">
        <v>36100</v>
      </c>
      <c r="H24" s="436">
        <v>22.1</v>
      </c>
      <c r="I24" s="436">
        <v>9.9</v>
      </c>
      <c r="J24" s="435">
        <v>9900</v>
      </c>
      <c r="K24" s="435">
        <v>36300</v>
      </c>
      <c r="L24" s="436">
        <v>27.3</v>
      </c>
      <c r="M24" s="436">
        <v>11.4</v>
      </c>
      <c r="N24" s="435">
        <v>13100</v>
      </c>
      <c r="O24" s="435">
        <v>33200</v>
      </c>
      <c r="P24" s="436">
        <v>39.5</v>
      </c>
      <c r="Q24" s="436">
        <v>14.8</v>
      </c>
    </row>
    <row r="25" spans="1:17">
      <c r="A25" s="242" t="s">
        <v>29</v>
      </c>
      <c r="B25" s="435">
        <v>5200</v>
      </c>
      <c r="C25" s="435">
        <v>13500</v>
      </c>
      <c r="D25" s="436">
        <v>38.200000000000003</v>
      </c>
      <c r="E25" s="436">
        <v>8.5</v>
      </c>
      <c r="F25" s="435">
        <v>3800</v>
      </c>
      <c r="G25" s="435">
        <v>10100</v>
      </c>
      <c r="H25" s="436">
        <v>37.299999999999997</v>
      </c>
      <c r="I25" s="436">
        <v>10.8</v>
      </c>
      <c r="J25" s="435">
        <v>5100</v>
      </c>
      <c r="K25" s="435">
        <v>10100</v>
      </c>
      <c r="L25" s="436">
        <v>50.2</v>
      </c>
      <c r="M25" s="436">
        <v>12.1</v>
      </c>
      <c r="N25" s="435">
        <v>5900</v>
      </c>
      <c r="O25" s="435">
        <v>13000</v>
      </c>
      <c r="P25" s="436">
        <v>45.7</v>
      </c>
      <c r="Q25" s="436">
        <v>13.9</v>
      </c>
    </row>
    <row r="26" spans="1:17">
      <c r="A26" s="242" t="s">
        <v>30</v>
      </c>
      <c r="B26" s="435">
        <v>4200</v>
      </c>
      <c r="C26" s="435">
        <v>11800</v>
      </c>
      <c r="D26" s="436">
        <v>36</v>
      </c>
      <c r="E26" s="436">
        <v>11</v>
      </c>
      <c r="F26" s="435">
        <v>2800</v>
      </c>
      <c r="G26" s="435">
        <v>9900</v>
      </c>
      <c r="H26" s="436">
        <v>27.9</v>
      </c>
      <c r="I26" s="436">
        <v>11.5</v>
      </c>
      <c r="J26" s="435">
        <v>2700</v>
      </c>
      <c r="K26" s="435">
        <v>10900</v>
      </c>
      <c r="L26" s="436">
        <v>24.6</v>
      </c>
      <c r="M26" s="436">
        <v>12.1</v>
      </c>
      <c r="N26" s="435">
        <v>2100</v>
      </c>
      <c r="O26" s="435">
        <v>7600</v>
      </c>
      <c r="P26" s="436">
        <v>27.2</v>
      </c>
      <c r="Q26" s="435" t="s">
        <v>10</v>
      </c>
    </row>
    <row r="27" spans="1:17">
      <c r="A27" s="242" t="s">
        <v>31</v>
      </c>
      <c r="B27" s="435">
        <v>4000</v>
      </c>
      <c r="C27" s="435">
        <v>13100</v>
      </c>
      <c r="D27" s="436">
        <v>30.3</v>
      </c>
      <c r="E27" s="436">
        <v>9.1999999999999993</v>
      </c>
      <c r="F27" s="435">
        <v>4000</v>
      </c>
      <c r="G27" s="435">
        <v>14800</v>
      </c>
      <c r="H27" s="436">
        <v>27.1</v>
      </c>
      <c r="I27" s="436">
        <v>8.8000000000000007</v>
      </c>
      <c r="J27" s="435">
        <v>3200</v>
      </c>
      <c r="K27" s="435">
        <v>11700</v>
      </c>
      <c r="L27" s="436">
        <v>27.3</v>
      </c>
      <c r="M27" s="436">
        <v>10</v>
      </c>
      <c r="N27" s="435">
        <v>4600</v>
      </c>
      <c r="O27" s="435">
        <v>14900</v>
      </c>
      <c r="P27" s="436">
        <v>30.9</v>
      </c>
      <c r="Q27" s="436">
        <v>11</v>
      </c>
    </row>
    <row r="28" spans="1:17">
      <c r="A28" s="242" t="s">
        <v>32</v>
      </c>
      <c r="B28" s="435">
        <v>500</v>
      </c>
      <c r="C28" s="435">
        <v>2400</v>
      </c>
      <c r="D28" s="436">
        <v>21.6</v>
      </c>
      <c r="E28" s="435" t="s">
        <v>10</v>
      </c>
      <c r="F28" s="435">
        <v>700</v>
      </c>
      <c r="G28" s="435">
        <v>2700</v>
      </c>
      <c r="H28" s="436">
        <v>26.8</v>
      </c>
      <c r="I28" s="435" t="s">
        <v>10</v>
      </c>
      <c r="J28" s="435">
        <v>800</v>
      </c>
      <c r="K28" s="435">
        <v>2400</v>
      </c>
      <c r="L28" s="436">
        <v>32.700000000000003</v>
      </c>
      <c r="M28" s="435" t="s">
        <v>10</v>
      </c>
      <c r="N28" s="435">
        <v>1100</v>
      </c>
      <c r="O28" s="435">
        <v>3200</v>
      </c>
      <c r="P28" s="436">
        <v>35</v>
      </c>
      <c r="Q28" s="435" t="s">
        <v>10</v>
      </c>
    </row>
    <row r="29" spans="1:17">
      <c r="A29" s="242" t="s">
        <v>33</v>
      </c>
      <c r="B29" s="435">
        <v>8300</v>
      </c>
      <c r="C29" s="435">
        <v>22500</v>
      </c>
      <c r="D29" s="436">
        <v>37</v>
      </c>
      <c r="E29" s="436">
        <v>8.9</v>
      </c>
      <c r="F29" s="435">
        <v>9300</v>
      </c>
      <c r="G29" s="435">
        <v>23900</v>
      </c>
      <c r="H29" s="436">
        <v>39</v>
      </c>
      <c r="I29" s="436">
        <v>8.8000000000000007</v>
      </c>
      <c r="J29" s="435">
        <v>8200</v>
      </c>
      <c r="K29" s="435">
        <v>20100</v>
      </c>
      <c r="L29" s="436">
        <v>40.799999999999997</v>
      </c>
      <c r="M29" s="436">
        <v>9.3000000000000007</v>
      </c>
      <c r="N29" s="435">
        <v>9600</v>
      </c>
      <c r="O29" s="435">
        <v>22400</v>
      </c>
      <c r="P29" s="436">
        <v>43</v>
      </c>
      <c r="Q29" s="436">
        <v>10.9</v>
      </c>
    </row>
    <row r="30" spans="1:17">
      <c r="A30" s="242" t="s">
        <v>34</v>
      </c>
      <c r="B30" s="435">
        <v>17400</v>
      </c>
      <c r="C30" s="435">
        <v>55200</v>
      </c>
      <c r="D30" s="436">
        <v>31.5</v>
      </c>
      <c r="E30" s="436">
        <v>8.1999999999999993</v>
      </c>
      <c r="F30" s="435">
        <v>29800</v>
      </c>
      <c r="G30" s="435">
        <v>62800</v>
      </c>
      <c r="H30" s="436">
        <v>47.5</v>
      </c>
      <c r="I30" s="436">
        <v>9.1999999999999993</v>
      </c>
      <c r="J30" s="435">
        <v>26300</v>
      </c>
      <c r="K30" s="435">
        <v>65800</v>
      </c>
      <c r="L30" s="436">
        <v>40</v>
      </c>
      <c r="M30" s="436">
        <v>9.1</v>
      </c>
      <c r="N30" s="435">
        <v>22500</v>
      </c>
      <c r="O30" s="435">
        <v>60600</v>
      </c>
      <c r="P30" s="436">
        <v>37.200000000000003</v>
      </c>
      <c r="Q30" s="436">
        <v>10.9</v>
      </c>
    </row>
    <row r="31" spans="1:17">
      <c r="A31" s="242" t="s">
        <v>35</v>
      </c>
      <c r="B31" s="435" t="s">
        <v>707</v>
      </c>
      <c r="C31" s="435">
        <v>1700</v>
      </c>
      <c r="D31" s="435" t="s">
        <v>707</v>
      </c>
      <c r="E31" s="435" t="s">
        <v>707</v>
      </c>
      <c r="F31" s="435" t="s">
        <v>707</v>
      </c>
      <c r="G31" s="435">
        <v>2500</v>
      </c>
      <c r="H31" s="435" t="s">
        <v>707</v>
      </c>
      <c r="I31" s="435" t="s">
        <v>707</v>
      </c>
      <c r="J31" s="435" t="s">
        <v>707</v>
      </c>
      <c r="K31" s="435">
        <v>1500</v>
      </c>
      <c r="L31" s="435" t="s">
        <v>707</v>
      </c>
      <c r="M31" s="435" t="s">
        <v>707</v>
      </c>
      <c r="N31" s="435" t="s">
        <v>707</v>
      </c>
      <c r="O31" s="435">
        <v>1500</v>
      </c>
      <c r="P31" s="435" t="s">
        <v>707</v>
      </c>
      <c r="Q31" s="435" t="s">
        <v>707</v>
      </c>
    </row>
    <row r="32" spans="1:17">
      <c r="A32" s="242" t="s">
        <v>36</v>
      </c>
      <c r="B32" s="435">
        <v>3900</v>
      </c>
      <c r="C32" s="435">
        <v>18400</v>
      </c>
      <c r="D32" s="436">
        <v>21</v>
      </c>
      <c r="E32" s="436">
        <v>7.8</v>
      </c>
      <c r="F32" s="435">
        <v>3500</v>
      </c>
      <c r="G32" s="435">
        <v>17400</v>
      </c>
      <c r="H32" s="436">
        <v>20</v>
      </c>
      <c r="I32" s="436">
        <v>8.1</v>
      </c>
      <c r="J32" s="435">
        <v>5200</v>
      </c>
      <c r="K32" s="435">
        <v>19100</v>
      </c>
      <c r="L32" s="436">
        <v>27.4</v>
      </c>
      <c r="M32" s="436">
        <v>9</v>
      </c>
      <c r="N32" s="435">
        <v>4500</v>
      </c>
      <c r="O32" s="435">
        <v>19300</v>
      </c>
      <c r="P32" s="436">
        <v>23.4</v>
      </c>
      <c r="Q32" s="436">
        <v>10.5</v>
      </c>
    </row>
    <row r="33" spans="1:17">
      <c r="A33" s="242" t="s">
        <v>37</v>
      </c>
      <c r="B33" s="435">
        <v>5100</v>
      </c>
      <c r="C33" s="435">
        <v>21700</v>
      </c>
      <c r="D33" s="436">
        <v>23.4</v>
      </c>
      <c r="E33" s="436">
        <v>8.8000000000000007</v>
      </c>
      <c r="F33" s="435">
        <v>10300</v>
      </c>
      <c r="G33" s="435">
        <v>24400</v>
      </c>
      <c r="H33" s="436">
        <v>42.1</v>
      </c>
      <c r="I33" s="436">
        <v>10.199999999999999</v>
      </c>
      <c r="J33" s="435">
        <v>13500</v>
      </c>
      <c r="K33" s="435">
        <v>29400</v>
      </c>
      <c r="L33" s="436">
        <v>46.1</v>
      </c>
      <c r="M33" s="436">
        <v>10.7</v>
      </c>
      <c r="N33" s="435">
        <v>8700</v>
      </c>
      <c r="O33" s="435">
        <v>25100</v>
      </c>
      <c r="P33" s="436">
        <v>34.6</v>
      </c>
      <c r="Q33" s="436">
        <v>11.9</v>
      </c>
    </row>
    <row r="34" spans="1:17">
      <c r="A34" s="242" t="s">
        <v>38</v>
      </c>
      <c r="B34" s="435">
        <v>3200</v>
      </c>
      <c r="C34" s="435">
        <v>13200</v>
      </c>
      <c r="D34" s="436">
        <v>24.3</v>
      </c>
      <c r="E34" s="436">
        <v>9.4</v>
      </c>
      <c r="F34" s="435">
        <v>4900</v>
      </c>
      <c r="G34" s="435">
        <v>17100</v>
      </c>
      <c r="H34" s="436">
        <v>28.5</v>
      </c>
      <c r="I34" s="436">
        <v>9.5</v>
      </c>
      <c r="J34" s="435">
        <v>2400</v>
      </c>
      <c r="K34" s="435">
        <v>10100</v>
      </c>
      <c r="L34" s="436">
        <v>24</v>
      </c>
      <c r="M34" s="436">
        <v>10.199999999999999</v>
      </c>
      <c r="N34" s="435">
        <v>3100</v>
      </c>
      <c r="O34" s="435">
        <v>14000</v>
      </c>
      <c r="P34" s="436">
        <v>22.1</v>
      </c>
      <c r="Q34" s="436">
        <v>11</v>
      </c>
    </row>
    <row r="35" spans="1:17">
      <c r="A35" s="242" t="s">
        <v>39</v>
      </c>
      <c r="B35" s="435">
        <v>1500</v>
      </c>
      <c r="C35" s="435">
        <v>3600</v>
      </c>
      <c r="D35" s="436">
        <v>42.3</v>
      </c>
      <c r="E35" s="435" t="s">
        <v>10</v>
      </c>
      <c r="F35" s="435">
        <v>1200</v>
      </c>
      <c r="G35" s="435">
        <v>3700</v>
      </c>
      <c r="H35" s="436">
        <v>32.200000000000003</v>
      </c>
      <c r="I35" s="435" t="s">
        <v>10</v>
      </c>
      <c r="J35" s="435" t="s">
        <v>707</v>
      </c>
      <c r="K35" s="435">
        <v>3300</v>
      </c>
      <c r="L35" s="435" t="s">
        <v>707</v>
      </c>
      <c r="M35" s="435" t="s">
        <v>707</v>
      </c>
      <c r="N35" s="435" t="s">
        <v>707</v>
      </c>
      <c r="O35" s="435">
        <v>2200</v>
      </c>
      <c r="P35" s="435" t="s">
        <v>707</v>
      </c>
      <c r="Q35" s="435" t="s">
        <v>707</v>
      </c>
    </row>
    <row r="36" spans="1:17">
      <c r="A36" s="242" t="s">
        <v>40</v>
      </c>
      <c r="B36" s="435">
        <v>4600</v>
      </c>
      <c r="C36" s="435">
        <v>16000</v>
      </c>
      <c r="D36" s="436">
        <v>29</v>
      </c>
      <c r="E36" s="436">
        <v>8.5</v>
      </c>
      <c r="F36" s="435">
        <v>5200</v>
      </c>
      <c r="G36" s="435">
        <v>17800</v>
      </c>
      <c r="H36" s="436">
        <v>29.2</v>
      </c>
      <c r="I36" s="436">
        <v>8.5</v>
      </c>
      <c r="J36" s="435">
        <v>8300</v>
      </c>
      <c r="K36" s="435">
        <v>17700</v>
      </c>
      <c r="L36" s="436">
        <v>46.6</v>
      </c>
      <c r="M36" s="436">
        <v>10.199999999999999</v>
      </c>
      <c r="N36" s="435">
        <v>8500</v>
      </c>
      <c r="O36" s="435">
        <v>19800</v>
      </c>
      <c r="P36" s="436">
        <v>42.7</v>
      </c>
      <c r="Q36" s="436">
        <v>11.3</v>
      </c>
    </row>
    <row r="37" spans="1:17">
      <c r="A37" s="242" t="s">
        <v>41</v>
      </c>
      <c r="B37" s="435">
        <v>10900</v>
      </c>
      <c r="C37" s="435">
        <v>39600</v>
      </c>
      <c r="D37" s="436">
        <v>27.6</v>
      </c>
      <c r="E37" s="436">
        <v>8.8000000000000007</v>
      </c>
      <c r="F37" s="435">
        <v>10300</v>
      </c>
      <c r="G37" s="435">
        <v>38300</v>
      </c>
      <c r="H37" s="436">
        <v>26.9</v>
      </c>
      <c r="I37" s="436">
        <v>9.3000000000000007</v>
      </c>
      <c r="J37" s="435">
        <v>11100</v>
      </c>
      <c r="K37" s="435">
        <v>34500</v>
      </c>
      <c r="L37" s="436">
        <v>32.200000000000003</v>
      </c>
      <c r="M37" s="436">
        <v>9.6999999999999993</v>
      </c>
      <c r="N37" s="435">
        <v>16000</v>
      </c>
      <c r="O37" s="435">
        <v>42300</v>
      </c>
      <c r="P37" s="436">
        <v>37.700000000000003</v>
      </c>
      <c r="Q37" s="436">
        <v>12</v>
      </c>
    </row>
    <row r="38" spans="1:17">
      <c r="A38" s="242" t="s">
        <v>42</v>
      </c>
      <c r="B38" s="435">
        <v>3400</v>
      </c>
      <c r="C38" s="435">
        <v>13500</v>
      </c>
      <c r="D38" s="436">
        <v>25.2</v>
      </c>
      <c r="E38" s="436">
        <v>8.1999999999999993</v>
      </c>
      <c r="F38" s="435">
        <v>2700</v>
      </c>
      <c r="G38" s="435">
        <v>13800</v>
      </c>
      <c r="H38" s="436">
        <v>19.3</v>
      </c>
      <c r="I38" s="436">
        <v>8.5</v>
      </c>
      <c r="J38" s="435">
        <v>4200</v>
      </c>
      <c r="K38" s="435">
        <v>12100</v>
      </c>
      <c r="L38" s="436">
        <v>34.6</v>
      </c>
      <c r="M38" s="436">
        <v>9.6999999999999993</v>
      </c>
      <c r="N38" s="435">
        <v>3500</v>
      </c>
      <c r="O38" s="435">
        <v>10300</v>
      </c>
      <c r="P38" s="436">
        <v>33.700000000000003</v>
      </c>
      <c r="Q38" s="436">
        <v>12.2</v>
      </c>
    </row>
    <row r="39" spans="1:17">
      <c r="A39" s="242" t="s">
        <v>43</v>
      </c>
      <c r="B39" s="435">
        <v>4700</v>
      </c>
      <c r="C39" s="435">
        <v>12900</v>
      </c>
      <c r="D39" s="436">
        <v>36.700000000000003</v>
      </c>
      <c r="E39" s="436">
        <v>8.6</v>
      </c>
      <c r="F39" s="435">
        <v>5600</v>
      </c>
      <c r="G39" s="435">
        <v>14600</v>
      </c>
      <c r="H39" s="436">
        <v>38.1</v>
      </c>
      <c r="I39" s="436">
        <v>8.9</v>
      </c>
      <c r="J39" s="435">
        <v>5500</v>
      </c>
      <c r="K39" s="435">
        <v>12500</v>
      </c>
      <c r="L39" s="436">
        <v>43.8</v>
      </c>
      <c r="M39" s="436">
        <v>10</v>
      </c>
      <c r="N39" s="435">
        <v>4800</v>
      </c>
      <c r="O39" s="435">
        <v>14400</v>
      </c>
      <c r="P39" s="436">
        <v>33.4</v>
      </c>
      <c r="Q39" s="436">
        <v>10.1</v>
      </c>
    </row>
    <row r="40" spans="1:17">
      <c r="A40" s="242" t="s">
        <v>44</v>
      </c>
      <c r="B40" s="435">
        <v>9700</v>
      </c>
      <c r="C40" s="435">
        <v>27100</v>
      </c>
      <c r="D40" s="436">
        <v>35.6</v>
      </c>
      <c r="E40" s="436">
        <v>9.5</v>
      </c>
      <c r="F40" s="435">
        <v>7400</v>
      </c>
      <c r="G40" s="435">
        <v>28000</v>
      </c>
      <c r="H40" s="436">
        <v>26.5</v>
      </c>
      <c r="I40" s="436">
        <v>9.9</v>
      </c>
      <c r="J40" s="435">
        <v>8500</v>
      </c>
      <c r="K40" s="435">
        <v>25100</v>
      </c>
      <c r="L40" s="436">
        <v>34.1</v>
      </c>
      <c r="M40" s="436">
        <v>10.1</v>
      </c>
      <c r="N40" s="435">
        <v>5000</v>
      </c>
      <c r="O40" s="435">
        <v>25900</v>
      </c>
      <c r="P40" s="436">
        <v>19.3</v>
      </c>
      <c r="Q40" s="436">
        <v>9.6999999999999993</v>
      </c>
    </row>
    <row r="41" spans="1:17">
      <c r="A41" s="242" t="s">
        <v>45</v>
      </c>
      <c r="B41" s="435">
        <v>228600</v>
      </c>
      <c r="C41" s="435">
        <v>797300</v>
      </c>
      <c r="D41" s="436">
        <v>28.7</v>
      </c>
      <c r="E41" s="436">
        <v>1.5</v>
      </c>
      <c r="F41" s="435">
        <v>241600</v>
      </c>
      <c r="G41" s="435">
        <v>815200</v>
      </c>
      <c r="H41" s="436">
        <v>29.6</v>
      </c>
      <c r="I41" s="436">
        <v>1.7</v>
      </c>
      <c r="J41" s="435">
        <v>253000</v>
      </c>
      <c r="K41" s="435">
        <v>788500</v>
      </c>
      <c r="L41" s="436">
        <v>32.1</v>
      </c>
      <c r="M41" s="436">
        <v>1.8</v>
      </c>
      <c r="N41" s="435">
        <v>245300</v>
      </c>
      <c r="O41" s="435">
        <v>777000</v>
      </c>
      <c r="P41" s="436">
        <v>31.6</v>
      </c>
      <c r="Q41" s="436">
        <v>2.1</v>
      </c>
    </row>
    <row r="42" spans="1:17">
      <c r="A42" s="198" t="s">
        <v>46</v>
      </c>
      <c r="B42" s="435">
        <v>2099500</v>
      </c>
      <c r="C42" s="435">
        <v>8756500</v>
      </c>
      <c r="D42" s="436">
        <v>24</v>
      </c>
      <c r="E42" s="436">
        <v>0.5</v>
      </c>
      <c r="F42" s="435">
        <v>2235300</v>
      </c>
      <c r="G42" s="435">
        <v>8990700</v>
      </c>
      <c r="H42" s="436">
        <v>24.9</v>
      </c>
      <c r="I42" s="436">
        <v>0.5</v>
      </c>
      <c r="J42" s="435">
        <v>2350300</v>
      </c>
      <c r="K42" s="435">
        <v>9001600</v>
      </c>
      <c r="L42" s="436">
        <v>26.1</v>
      </c>
      <c r="M42" s="436">
        <v>0.6</v>
      </c>
      <c r="N42" s="435">
        <v>2446300</v>
      </c>
      <c r="O42" s="435">
        <v>8887200</v>
      </c>
      <c r="P42" s="436">
        <v>27.5</v>
      </c>
      <c r="Q42" s="436">
        <v>0.7</v>
      </c>
    </row>
    <row r="43" spans="1:17">
      <c r="A43" s="198" t="s">
        <v>47</v>
      </c>
      <c r="B43" s="435">
        <v>88300</v>
      </c>
      <c r="C43" s="435">
        <v>288300</v>
      </c>
      <c r="D43" s="436">
        <v>30.6</v>
      </c>
      <c r="E43" s="436">
        <v>2.9</v>
      </c>
      <c r="F43" s="435">
        <v>103300</v>
      </c>
      <c r="G43" s="435">
        <v>301400</v>
      </c>
      <c r="H43" s="436">
        <v>34.299999999999997</v>
      </c>
      <c r="I43" s="436">
        <v>3.1</v>
      </c>
      <c r="J43" s="435">
        <v>100300</v>
      </c>
      <c r="K43" s="435">
        <v>287700</v>
      </c>
      <c r="L43" s="436">
        <v>34.9</v>
      </c>
      <c r="M43" s="436">
        <v>3.4</v>
      </c>
      <c r="N43" s="435">
        <v>91700</v>
      </c>
      <c r="O43" s="435">
        <v>293300</v>
      </c>
      <c r="P43" s="436">
        <v>31.3</v>
      </c>
      <c r="Q43" s="436">
        <v>3.9</v>
      </c>
    </row>
    <row r="44" spans="1:17">
      <c r="A44" s="198" t="s">
        <v>543</v>
      </c>
      <c r="B44" s="385">
        <f>SUM(SUMIFS(B$9:B$40,$A$9:$A$40,{"Na h-Eileanan Siar","Argyll and Bute","Shetland Islands","Highland","Orkney Islands","Scottish Borders","Dumfries and Galloway","Aberdeenshire"}))</f>
        <v>25800</v>
      </c>
      <c r="C44" s="385">
        <f>SUM(SUMIFS(C$9:C$40,$A$9:$A$40,{"Na h-Eileanan Siar","Argyll and Bute","Shetland Islands","Highland","Orkney Islands","Scottish Borders","Dumfries and Galloway","Aberdeenshire"}))</f>
        <v>114200</v>
      </c>
      <c r="D44" s="386">
        <f>SUM(B44/C44)*100</f>
        <v>22.591943957968478</v>
      </c>
      <c r="E44" s="241"/>
      <c r="F44" s="385">
        <f>SUM(SUMIFS(F$9:F$40,$A$9:$A$40,{"Na h-Eileanan Siar","Argyll and Bute","Shetland Islands","Highland","Orkney Islands","Scottish Borders","Dumfries and Galloway","Aberdeenshire"}))</f>
        <v>33000</v>
      </c>
      <c r="G44" s="385">
        <f>SUM(SUMIFS(G$9:G$40,$A$9:$A$40,{"Na h-Eileanan Siar","Argyll and Bute","Shetland Islands","Highland","Orkney Islands","Scottish Borders","Dumfries and Galloway","Aberdeenshire"}))</f>
        <v>132800</v>
      </c>
      <c r="H44" s="386">
        <f>SUM(F44/G44)*100</f>
        <v>24.849397590361448</v>
      </c>
      <c r="I44" s="241"/>
      <c r="J44" s="385">
        <f>SUM(SUMIFS(J$9:J$40,$A$9:$A$40,{"Na h-Eileanan Siar","Argyll and Bute","Shetland Islands","Highland","Orkney Islands","Scottish Borders","Dumfries and Galloway","Aberdeenshire"}))</f>
        <v>33100</v>
      </c>
      <c r="K44" s="385">
        <f>SUM(SUMIFS(K$9:K$40,$A$9:$A$40,{"Na h-Eileanan Siar","Argyll and Bute","Shetland Islands","Highland","Orkney Islands","Scottish Borders","Dumfries and Galloway","Aberdeenshire"}))</f>
        <v>120100</v>
      </c>
      <c r="L44" s="386">
        <f>SUM(J44/K44)*100</f>
        <v>27.560366361365528</v>
      </c>
      <c r="M44" s="241"/>
      <c r="N44" s="385">
        <f>SUM(SUMIFS(N$9:N$40,$A$9:$A$40,{"Na h-Eileanan Siar","Argyll and Bute","Shetland Islands","Highland","Orkney Islands","Scottish Borders","Dumfries and Galloway","Aberdeenshire"}))</f>
        <v>37900</v>
      </c>
      <c r="O44" s="385">
        <f>SUM(SUMIFS(O$9:O$40,$A$9:$A$40,{"Na h-Eileanan Siar","Argyll and Bute","Shetland Islands","Highland","Orkney Islands","Scottish Borders","Dumfries and Galloway","Aberdeenshire"}))</f>
        <v>116800</v>
      </c>
      <c r="P44" s="386">
        <f>SUM(N44/O44)*100</f>
        <v>32.448630136986303</v>
      </c>
      <c r="Q44" s="241"/>
    </row>
    <row r="45" spans="1:17">
      <c r="A45" s="198" t="s">
        <v>544</v>
      </c>
      <c r="B45" s="385">
        <f>SUM(SUMIFS(B$9:B$40,$A$9:$A$40,{"Perth and Kinross","Stirling","Moray","South Ayrshire","East Ayrshire","East Lothian","North Ayrshire","Fife"}))</f>
        <v>52700</v>
      </c>
      <c r="C45" s="385">
        <f>SUM(SUMIFS(C$9:C$40,$A$9:$A$40,{"Perth and Kinross","Stirling","Moray","South Ayrshire","East Ayrshire","East Lothian","North Ayrshire","Fife"}))</f>
        <v>171200</v>
      </c>
      <c r="D45" s="386">
        <f>SUM(B45/C45)*100</f>
        <v>30.782710280373831</v>
      </c>
      <c r="E45" s="241"/>
      <c r="F45" s="385">
        <f>SUM(SUMIFS(F$9:F$40,$A$9:$A$40,{"Perth and Kinross","Stirling","Moray","South Ayrshire","East Ayrshire","East Lothian","North Ayrshire","Fife"}))</f>
        <v>52500</v>
      </c>
      <c r="G45" s="385">
        <f>SUM(SUMIFS(G$9:G$40,$A$9:$A$40,{"Perth and Kinross","Stirling","Moray","South Ayrshire","East Ayrshire","East Lothian","North Ayrshire","Fife"}))</f>
        <v>173400</v>
      </c>
      <c r="H45" s="386">
        <f>SUM(F45/G45)*100</f>
        <v>30.276816608996537</v>
      </c>
      <c r="I45" s="241"/>
      <c r="J45" s="385">
        <f>SUM(SUMIFS(J$9:J$40,$A$9:$A$40,{"Perth and Kinross","Stirling","Moray","South Ayrshire","East Ayrshire","East Lothian","North Ayrshire","Fife"}))</f>
        <v>56800</v>
      </c>
      <c r="K45" s="385">
        <f>SUM(SUMIFS(K$9:K$40,$A$9:$A$40,{"Perth and Kinross","Stirling","Moray","South Ayrshire","East Ayrshire","East Lothian","North Ayrshire","Fife"}))</f>
        <v>165100</v>
      </c>
      <c r="L45" s="386">
        <f>SUM(J45/K45)*100</f>
        <v>34.403391883706846</v>
      </c>
      <c r="M45" s="241"/>
      <c r="N45" s="385">
        <f>SUM(SUMIFS(N$9:N$40,$A$9:$A$40,{"Perth and Kinross","Stirling","Moray","South Ayrshire","East Ayrshire","East Lothian","North Ayrshire","Fife"}))</f>
        <v>58200</v>
      </c>
      <c r="O45" s="385">
        <f>SUM(SUMIFS(O$9:O$40,$A$9:$A$40,{"Perth and Kinross","Stirling","Moray","South Ayrshire","East Ayrshire","East Lothian","North Ayrshire","Fife"}))</f>
        <v>167700</v>
      </c>
      <c r="P45" s="386">
        <f>SUM(N45/O45)*100</f>
        <v>34.704830053667266</v>
      </c>
      <c r="Q45" s="241"/>
    </row>
    <row r="46" spans="1:17">
      <c r="A46" s="198" t="s">
        <v>545</v>
      </c>
      <c r="B46" s="385" cm="1">
        <f t="array" ref="B46">SUM(SUMIFS(B$9:B$40,$A$9:$A$40,{"Angus","Clackmannanshire","Midlothian","South Lanarkshire","Inverclyde","Renfrewshire","West Lothian","East Renfrewshire"}))</f>
        <v>45500</v>
      </c>
      <c r="C46" s="385">
        <f>SUM(SUMIFS(C$9:C$40,$A$9:$A$40,{"Angus","Clackmannanshire","Midlothian","South Lanarkshire","Inverclyde","Renfrewshire","West Lothian","East Renfrewshire"}))</f>
        <v>151400</v>
      </c>
      <c r="D46" s="386">
        <f>SUM(B46/C46)*100</f>
        <v>30.052840158520478</v>
      </c>
      <c r="E46" s="241"/>
      <c r="F46" s="385">
        <f>SUM(SUMIFS(F$9:F$40,$A$9:$A$40,{"Angus","Clackmannanshire","Midlothian","South Lanarkshire","Inverclyde","Renfrewshire","West Lothian","East Renfrewshire"}))</f>
        <v>45900</v>
      </c>
      <c r="G46" s="385">
        <f>SUM(SUMIFS(G$9:G$40,$A$9:$A$40,{"Angus","Clackmannanshire","Midlothian","South Lanarkshire","Inverclyde","Renfrewshire","West Lothian","East Renfrewshire"}))</f>
        <v>151100</v>
      </c>
      <c r="H46" s="386">
        <f>SUM(F46/G46)*100</f>
        <v>30.377233620119128</v>
      </c>
      <c r="I46" s="241"/>
      <c r="J46" s="385">
        <f>SUM(SUMIFS(J$9:J$40,$A$9:$A$40,{"Angus","Clackmannanshire","Midlothian","South Lanarkshire","Inverclyde","Renfrewshire","West Lothian","East Renfrewshire"}))</f>
        <v>50700</v>
      </c>
      <c r="K46" s="385">
        <f>SUM(SUMIFS(K$9:K$40,$A$9:$A$40,{"Angus","Clackmannanshire","Midlothian","South Lanarkshire","Inverclyde","Renfrewshire","West Lothian","East Renfrewshire"}))</f>
        <v>147600</v>
      </c>
      <c r="L46" s="386">
        <f>SUM(J46/K46)*100</f>
        <v>34.349593495934961</v>
      </c>
      <c r="M46" s="241"/>
      <c r="N46" s="385">
        <f>SUM(SUMIFS(N$9:N$40,$A$9:$A$40,{"Angus","Clackmannanshire","Midlothian","South Lanarkshire","Inverclyde","Renfrewshire","West Lothian","East Renfrewshire"}))</f>
        <v>51000</v>
      </c>
      <c r="O46" s="385">
        <f>SUM(SUMIFS(O$9:O$40,$A$9:$A$40,{"Angus","Clackmannanshire","Midlothian","South Lanarkshire","Inverclyde","Renfrewshire","West Lothian","East Renfrewshire"}))</f>
        <v>153000</v>
      </c>
      <c r="P46" s="386">
        <f>SUM(N46/O46)*100</f>
        <v>33.333333333333329</v>
      </c>
      <c r="Q46" s="241"/>
    </row>
    <row r="47" spans="1:17">
      <c r="A47" s="198" t="s">
        <v>546</v>
      </c>
      <c r="B47" s="385">
        <f>SUM(SUMIFS(B$9:B$40,$A$9:$A$40,{"North Lanarkshire","Falkirk","East Dunbartonshire","Aberdeen City","Edinburgh, City of","West Dunbartonshire","Dundee City","Glasgow City"}))</f>
        <v>88700</v>
      </c>
      <c r="C47" s="385">
        <f>SUM(SUMIFS(C$9:C$40,$A$9:$A$40,{"North Lanarkshire","Falkirk","East Dunbartonshire","Aberdeen City","Edinburgh, City of","West Dunbartonshire","Dundee City","Glasgow City"}))</f>
        <v>279400</v>
      </c>
      <c r="D47" s="386">
        <f>SUM(B47/C47)*100</f>
        <v>31.746599856836077</v>
      </c>
      <c r="E47" s="241"/>
      <c r="F47" s="385">
        <f>SUM(SUMIFS(F$9:F$40,$A$9:$A$40,{"North Lanarkshire","Falkirk","East Dunbartonshire","Aberdeen City","Edinburgh, City of","West Dunbartonshire","Dundee City","Glasgow City"}))</f>
        <v>99300</v>
      </c>
      <c r="G47" s="385">
        <f>SUM(SUMIFS(G$9:G$40,$A$9:$A$40,{"North Lanarkshire","Falkirk","East Dunbartonshire","Aberdeen City","Edinburgh, City of","West Dunbartonshire","Dundee City","Glasgow City"}))</f>
        <v>288900</v>
      </c>
      <c r="H47" s="386">
        <f>SUM(F47/G47)*100</f>
        <v>34.371754932502597</v>
      </c>
      <c r="I47" s="241"/>
      <c r="J47" s="385">
        <f>SUM(SUMIFS(J$9:J$40,$A$9:$A$40,{"North Lanarkshire","Falkirk","East Dunbartonshire","Aberdeen City","Edinburgh, City of","West Dunbartonshire","Dundee City","Glasgow City"}))</f>
        <v>93800</v>
      </c>
      <c r="K47" s="385">
        <f>SUM(SUMIFS(K$9:K$40,$A$9:$A$40,{"North Lanarkshire","Falkirk","East Dunbartonshire","Aberdeen City","Edinburgh, City of","West Dunbartonshire","Dundee City","Glasgow City"}))</f>
        <v>285200</v>
      </c>
      <c r="L47" s="386">
        <f>SUM(J47/K47)*100</f>
        <v>32.889200561009815</v>
      </c>
      <c r="M47" s="241"/>
      <c r="N47" s="385">
        <f>SUM(SUMIFS(N$9:N$40,$A$9:$A$40,{"North Lanarkshire","Falkirk","East Dunbartonshire","Aberdeen City","Edinburgh, City of","West Dunbartonshire","Dundee City","Glasgow City"}))</f>
        <v>87600</v>
      </c>
      <c r="O47" s="385">
        <f>SUM(SUMIFS(O$9:O$40,$A$9:$A$40,{"North Lanarkshire","Falkirk","East Dunbartonshire","Aberdeen City","Edinburgh, City of","West Dunbartonshire","Dundee City","Glasgow City"}))</f>
        <v>288600</v>
      </c>
      <c r="P47" s="386">
        <f>SUM(N47/O47)*100</f>
        <v>30.353430353430355</v>
      </c>
      <c r="Q47" s="241"/>
    </row>
    <row r="49" spans="1:1">
      <c r="A49" s="197" t="s">
        <v>11</v>
      </c>
    </row>
    <row r="50" spans="1:1">
      <c r="A50" s="197" t="s">
        <v>12</v>
      </c>
    </row>
    <row r="51" spans="1:1">
      <c r="A51" s="197" t="s">
        <v>13</v>
      </c>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autoPageBreaks="0"/>
  </sheetPr>
  <dimension ref="A2:K1920"/>
  <sheetViews>
    <sheetView workbookViewId="0">
      <selection activeCell="G2" sqref="G2:H2"/>
    </sheetView>
  </sheetViews>
  <sheetFormatPr defaultColWidth="8.7265625" defaultRowHeight="14.5"/>
  <cols>
    <col min="1" max="1" width="18.81640625" style="33" bestFit="1" customWidth="1"/>
    <col min="2" max="3" width="8.7265625" style="33"/>
    <col min="4" max="4" width="8.7265625" style="33" customWidth="1"/>
    <col min="5" max="16384" width="8.7265625" style="33"/>
  </cols>
  <sheetData>
    <row r="2" spans="1:8">
      <c r="B2" s="33" t="s">
        <v>158</v>
      </c>
      <c r="C2" s="33" t="s">
        <v>157</v>
      </c>
      <c r="D2" s="33" t="s">
        <v>156</v>
      </c>
      <c r="E2" s="33" t="s">
        <v>155</v>
      </c>
      <c r="F2" s="33" t="s">
        <v>607</v>
      </c>
    </row>
    <row r="3" spans="1:8">
      <c r="A3" s="33" t="s">
        <v>14</v>
      </c>
      <c r="B3" s="395">
        <f>VLOOKUP(B$2&amp;$A3,$J$44:$K$252,2,FALSE)</f>
        <v>66.33</v>
      </c>
      <c r="C3" s="395">
        <f t="shared" ref="C3:F18" si="0">VLOOKUP(C$2&amp;$A3,$J$44:$K$252,2,FALSE)</f>
        <v>64.650000000000006</v>
      </c>
      <c r="D3" s="395">
        <f t="shared" si="0"/>
        <v>63.41</v>
      </c>
      <c r="E3" s="395">
        <f t="shared" si="0"/>
        <v>62.52</v>
      </c>
      <c r="F3" s="395">
        <f t="shared" si="0"/>
        <v>61.25</v>
      </c>
    </row>
    <row r="4" spans="1:8">
      <c r="A4" s="33" t="s">
        <v>15</v>
      </c>
      <c r="B4" s="395">
        <f t="shared" ref="B4:F34" si="1">VLOOKUP(B$2&amp;$A4,$J$44:$K$252,2,FALSE)</f>
        <v>68.09</v>
      </c>
      <c r="C4" s="395">
        <f t="shared" si="0"/>
        <v>67.010000000000005</v>
      </c>
      <c r="D4" s="395">
        <f t="shared" si="0"/>
        <v>67.989999999999995</v>
      </c>
      <c r="E4" s="395">
        <f t="shared" si="0"/>
        <v>65.959999999999994</v>
      </c>
      <c r="F4" s="395">
        <f t="shared" si="0"/>
        <v>65.86</v>
      </c>
    </row>
    <row r="5" spans="1:8">
      <c r="A5" s="33" t="s">
        <v>16</v>
      </c>
      <c r="B5" s="395">
        <f t="shared" si="1"/>
        <v>64.37</v>
      </c>
      <c r="C5" s="395">
        <f t="shared" si="0"/>
        <v>63.1</v>
      </c>
      <c r="D5" s="395">
        <f t="shared" si="0"/>
        <v>63.39</v>
      </c>
      <c r="E5" s="395">
        <f t="shared" si="0"/>
        <v>63.09</v>
      </c>
      <c r="F5" s="395">
        <f t="shared" si="0"/>
        <v>62.56</v>
      </c>
    </row>
    <row r="6" spans="1:8">
      <c r="A6" s="33" t="s">
        <v>17</v>
      </c>
      <c r="B6" s="395">
        <f t="shared" si="1"/>
        <v>64.459999999999994</v>
      </c>
      <c r="C6" s="395">
        <f t="shared" si="0"/>
        <v>62.38</v>
      </c>
      <c r="D6" s="395">
        <f t="shared" si="0"/>
        <v>62.95</v>
      </c>
      <c r="E6" s="395">
        <f t="shared" si="0"/>
        <v>63.43</v>
      </c>
      <c r="F6" s="395">
        <f t="shared" si="0"/>
        <v>64.63</v>
      </c>
    </row>
    <row r="7" spans="1:8">
      <c r="A7" s="245" t="s">
        <v>586</v>
      </c>
      <c r="B7" s="395">
        <f t="shared" si="1"/>
        <v>66.44</v>
      </c>
      <c r="C7" s="395">
        <f t="shared" si="0"/>
        <v>65.150000000000006</v>
      </c>
      <c r="D7" s="395">
        <f t="shared" si="0"/>
        <v>63.86</v>
      </c>
      <c r="E7" s="395">
        <f t="shared" si="0"/>
        <v>64.989999999999995</v>
      </c>
      <c r="F7" s="395">
        <f t="shared" si="0"/>
        <v>66.48</v>
      </c>
    </row>
    <row r="8" spans="1:8">
      <c r="A8" s="33" t="s">
        <v>18</v>
      </c>
      <c r="B8" s="395">
        <f t="shared" si="1"/>
        <v>58.12</v>
      </c>
      <c r="C8" s="395">
        <f t="shared" si="0"/>
        <v>60.18</v>
      </c>
      <c r="D8" s="395">
        <f t="shared" si="0"/>
        <v>61.56</v>
      </c>
      <c r="E8" s="395">
        <f t="shared" si="0"/>
        <v>62.41</v>
      </c>
      <c r="F8" s="395">
        <f t="shared" si="0"/>
        <v>62.66</v>
      </c>
    </row>
    <row r="9" spans="1:8">
      <c r="A9" s="33" t="s">
        <v>19</v>
      </c>
      <c r="B9" s="395">
        <f t="shared" si="1"/>
        <v>65.900000000000006</v>
      </c>
      <c r="C9" s="395">
        <f t="shared" si="0"/>
        <v>63.76</v>
      </c>
      <c r="D9" s="395">
        <f t="shared" si="0"/>
        <v>64.25</v>
      </c>
      <c r="E9" s="395">
        <f t="shared" si="0"/>
        <v>62.53</v>
      </c>
      <c r="F9" s="395">
        <f t="shared" si="0"/>
        <v>61.41</v>
      </c>
    </row>
    <row r="10" spans="1:8">
      <c r="A10" s="33" t="s">
        <v>20</v>
      </c>
      <c r="B10" s="395">
        <f t="shared" si="1"/>
        <v>61.46</v>
      </c>
      <c r="C10" s="395">
        <f t="shared" si="0"/>
        <v>59.81</v>
      </c>
      <c r="D10" s="395">
        <f t="shared" si="0"/>
        <v>59.82</v>
      </c>
      <c r="E10" s="395">
        <f t="shared" si="0"/>
        <v>57.88</v>
      </c>
      <c r="F10" s="395">
        <f t="shared" si="0"/>
        <v>58.01</v>
      </c>
      <c r="H10"/>
    </row>
    <row r="11" spans="1:8">
      <c r="A11" s="33" t="s">
        <v>21</v>
      </c>
      <c r="B11" s="395">
        <f t="shared" si="1"/>
        <v>58.1</v>
      </c>
      <c r="C11" s="395">
        <f t="shared" si="0"/>
        <v>58.3</v>
      </c>
      <c r="D11" s="395">
        <f t="shared" si="0"/>
        <v>58.75</v>
      </c>
      <c r="E11" s="395">
        <f t="shared" si="0"/>
        <v>58.24</v>
      </c>
      <c r="F11" s="395">
        <f t="shared" si="0"/>
        <v>59.13</v>
      </c>
      <c r="H11"/>
    </row>
    <row r="12" spans="1:8">
      <c r="A12" s="33" t="s">
        <v>22</v>
      </c>
      <c r="B12" s="395">
        <f t="shared" si="1"/>
        <v>69.55</v>
      </c>
      <c r="C12" s="395">
        <f t="shared" si="0"/>
        <v>68.2</v>
      </c>
      <c r="D12" s="395">
        <f t="shared" si="0"/>
        <v>68.36</v>
      </c>
      <c r="E12" s="395">
        <f t="shared" si="0"/>
        <v>66.53</v>
      </c>
      <c r="F12" s="395">
        <f t="shared" si="0"/>
        <v>66.38</v>
      </c>
      <c r="H12"/>
    </row>
    <row r="13" spans="1:8">
      <c r="A13" s="33" t="s">
        <v>23</v>
      </c>
      <c r="B13" s="395">
        <f t="shared" si="1"/>
        <v>67.569999999999993</v>
      </c>
      <c r="C13" s="395">
        <f t="shared" si="0"/>
        <v>63.91</v>
      </c>
      <c r="D13" s="395">
        <f t="shared" si="0"/>
        <v>64.03</v>
      </c>
      <c r="E13" s="395">
        <f t="shared" si="0"/>
        <v>64.61</v>
      </c>
      <c r="F13" s="395">
        <f t="shared" si="0"/>
        <v>65.31</v>
      </c>
      <c r="H13"/>
    </row>
    <row r="14" spans="1:8">
      <c r="A14" s="33" t="s">
        <v>24</v>
      </c>
      <c r="B14" s="395">
        <f t="shared" si="1"/>
        <v>66.69</v>
      </c>
      <c r="C14" s="395">
        <f t="shared" si="0"/>
        <v>65.53</v>
      </c>
      <c r="D14" s="395">
        <f t="shared" si="0"/>
        <v>66.14</v>
      </c>
      <c r="E14" s="395">
        <f t="shared" si="0"/>
        <v>67.19</v>
      </c>
      <c r="F14" s="395">
        <f t="shared" si="0"/>
        <v>67.03</v>
      </c>
      <c r="H14"/>
    </row>
    <row r="15" spans="1:8">
      <c r="A15" s="33" t="s">
        <v>25</v>
      </c>
      <c r="B15" s="395">
        <f t="shared" si="1"/>
        <v>63.6</v>
      </c>
      <c r="C15" s="395">
        <f t="shared" si="0"/>
        <v>60.93</v>
      </c>
      <c r="D15" s="395">
        <f t="shared" si="0"/>
        <v>60.2</v>
      </c>
      <c r="E15" s="395">
        <f t="shared" si="0"/>
        <v>59.71</v>
      </c>
      <c r="F15" s="395">
        <f t="shared" si="0"/>
        <v>59.49</v>
      </c>
      <c r="H15"/>
    </row>
    <row r="16" spans="1:8">
      <c r="A16" s="33" t="s">
        <v>26</v>
      </c>
      <c r="B16" s="395">
        <f t="shared" si="1"/>
        <v>62.47</v>
      </c>
      <c r="C16" s="395">
        <f t="shared" si="0"/>
        <v>61.87</v>
      </c>
      <c r="D16" s="395">
        <f t="shared" si="0"/>
        <v>60.16</v>
      </c>
      <c r="E16" s="395">
        <f t="shared" si="0"/>
        <v>61.27</v>
      </c>
      <c r="F16" s="395">
        <f t="shared" si="0"/>
        <v>58.98</v>
      </c>
      <c r="H16"/>
    </row>
    <row r="17" spans="1:8">
      <c r="A17" s="33" t="s">
        <v>27</v>
      </c>
      <c r="B17" s="395">
        <f t="shared" si="1"/>
        <v>59.13</v>
      </c>
      <c r="C17" s="395">
        <f t="shared" si="0"/>
        <v>58.89</v>
      </c>
      <c r="D17" s="395">
        <f t="shared" si="0"/>
        <v>58.16</v>
      </c>
      <c r="E17" s="395">
        <f t="shared" si="0"/>
        <v>57.59</v>
      </c>
      <c r="F17" s="395">
        <f t="shared" si="0"/>
        <v>57.43</v>
      </c>
      <c r="H17"/>
    </row>
    <row r="18" spans="1:8">
      <c r="A18" s="33" t="s">
        <v>28</v>
      </c>
      <c r="B18" s="395">
        <f t="shared" si="1"/>
        <v>63.07</v>
      </c>
      <c r="C18" s="395">
        <f t="shared" si="0"/>
        <v>63.58</v>
      </c>
      <c r="D18" s="395">
        <f t="shared" si="0"/>
        <v>65.77</v>
      </c>
      <c r="E18" s="395">
        <f t="shared" si="0"/>
        <v>64.36</v>
      </c>
      <c r="F18" s="395">
        <f t="shared" si="0"/>
        <v>65.319999999999993</v>
      </c>
      <c r="H18"/>
    </row>
    <row r="19" spans="1:8">
      <c r="A19" s="33" t="s">
        <v>29</v>
      </c>
      <c r="B19" s="395">
        <f t="shared" si="1"/>
        <v>60.62</v>
      </c>
      <c r="C19" s="395">
        <f t="shared" si="1"/>
        <v>59.47</v>
      </c>
      <c r="D19" s="395">
        <f t="shared" si="1"/>
        <v>59.71</v>
      </c>
      <c r="E19" s="395">
        <f t="shared" si="1"/>
        <v>59.65</v>
      </c>
      <c r="F19" s="395">
        <f t="shared" si="1"/>
        <v>59.38</v>
      </c>
      <c r="H19"/>
    </row>
    <row r="20" spans="1:8">
      <c r="A20" s="33" t="s">
        <v>30</v>
      </c>
      <c r="B20" s="395">
        <f t="shared" si="1"/>
        <v>63.44</v>
      </c>
      <c r="C20" s="395">
        <f t="shared" si="1"/>
        <v>63.78</v>
      </c>
      <c r="D20" s="395">
        <f t="shared" si="1"/>
        <v>63.46</v>
      </c>
      <c r="E20" s="395">
        <f t="shared" si="1"/>
        <v>63.97</v>
      </c>
      <c r="F20" s="395">
        <f t="shared" si="1"/>
        <v>63.67</v>
      </c>
      <c r="H20"/>
    </row>
    <row r="21" spans="1:8">
      <c r="A21" s="33" t="s">
        <v>31</v>
      </c>
      <c r="B21" s="395">
        <f t="shared" si="1"/>
        <v>66.010000000000005</v>
      </c>
      <c r="C21" s="395">
        <f t="shared" si="1"/>
        <v>64.16</v>
      </c>
      <c r="D21" s="395">
        <f t="shared" si="1"/>
        <v>62.11</v>
      </c>
      <c r="E21" s="395">
        <f t="shared" si="1"/>
        <v>61.38</v>
      </c>
      <c r="F21" s="395">
        <f t="shared" si="1"/>
        <v>62.56</v>
      </c>
      <c r="H21"/>
    </row>
    <row r="22" spans="1:8">
      <c r="A22" s="33" t="s">
        <v>32</v>
      </c>
      <c r="B22" s="395">
        <f t="shared" si="1"/>
        <v>65.81</v>
      </c>
      <c r="C22" s="395">
        <f t="shared" si="1"/>
        <v>67.22</v>
      </c>
      <c r="D22" s="395">
        <f t="shared" si="1"/>
        <v>66.91</v>
      </c>
      <c r="E22" s="395">
        <f t="shared" si="1"/>
        <v>69.58</v>
      </c>
      <c r="F22" s="395">
        <f t="shared" si="1"/>
        <v>67.52</v>
      </c>
      <c r="H22"/>
    </row>
    <row r="23" spans="1:8">
      <c r="A23" s="33" t="s">
        <v>33</v>
      </c>
      <c r="B23" s="395">
        <f t="shared" si="1"/>
        <v>56.88</v>
      </c>
      <c r="C23" s="395">
        <f t="shared" si="1"/>
        <v>57.13</v>
      </c>
      <c r="D23" s="395">
        <f t="shared" si="1"/>
        <v>56.01</v>
      </c>
      <c r="E23" s="395">
        <f t="shared" si="1"/>
        <v>56.34</v>
      </c>
      <c r="F23" s="395">
        <f t="shared" si="1"/>
        <v>54.04</v>
      </c>
      <c r="H23"/>
    </row>
    <row r="24" spans="1:8">
      <c r="A24" s="33" t="s">
        <v>34</v>
      </c>
      <c r="B24" s="395">
        <f t="shared" si="1"/>
        <v>59.61</v>
      </c>
      <c r="C24" s="395">
        <f t="shared" si="1"/>
        <v>60.41</v>
      </c>
      <c r="D24" s="395">
        <f t="shared" si="1"/>
        <v>58.94</v>
      </c>
      <c r="E24" s="395">
        <f t="shared" si="1"/>
        <v>57.77</v>
      </c>
      <c r="F24" s="395">
        <f t="shared" si="1"/>
        <v>55.49</v>
      </c>
      <c r="H24"/>
    </row>
    <row r="25" spans="1:8">
      <c r="A25" s="33" t="s">
        <v>35</v>
      </c>
      <c r="B25" s="395">
        <f t="shared" si="1"/>
        <v>72.91</v>
      </c>
      <c r="C25" s="395">
        <f t="shared" si="1"/>
        <v>75.010000000000005</v>
      </c>
      <c r="D25" s="395">
        <f t="shared" si="1"/>
        <v>73.319999999999993</v>
      </c>
      <c r="E25" s="395">
        <f t="shared" si="1"/>
        <v>75.05</v>
      </c>
      <c r="F25" s="395">
        <f t="shared" si="1"/>
        <v>77.489999999999995</v>
      </c>
      <c r="H25"/>
    </row>
    <row r="26" spans="1:8">
      <c r="A26" s="33" t="s">
        <v>36</v>
      </c>
      <c r="B26" s="395">
        <f t="shared" si="1"/>
        <v>69.73</v>
      </c>
      <c r="C26" s="395">
        <f t="shared" si="1"/>
        <v>67.81</v>
      </c>
      <c r="D26" s="395">
        <f t="shared" si="1"/>
        <v>65.989999999999995</v>
      </c>
      <c r="E26" s="395">
        <f t="shared" si="1"/>
        <v>63.66</v>
      </c>
      <c r="F26" s="395">
        <f t="shared" si="1"/>
        <v>62.32</v>
      </c>
      <c r="H26"/>
    </row>
    <row r="27" spans="1:8">
      <c r="A27" s="33" t="s">
        <v>37</v>
      </c>
      <c r="B27" s="395">
        <f t="shared" si="1"/>
        <v>59.47</v>
      </c>
      <c r="C27" s="395">
        <f t="shared" si="1"/>
        <v>60.79</v>
      </c>
      <c r="D27" s="395">
        <f t="shared" si="1"/>
        <v>62.16</v>
      </c>
      <c r="E27" s="395">
        <f t="shared" si="1"/>
        <v>62.26</v>
      </c>
      <c r="F27" s="395">
        <f t="shared" si="1"/>
        <v>61.59</v>
      </c>
      <c r="H27"/>
    </row>
    <row r="28" spans="1:8">
      <c r="A28" s="33" t="s">
        <v>38</v>
      </c>
      <c r="B28" s="395">
        <f t="shared" si="1"/>
        <v>67.38</v>
      </c>
      <c r="C28" s="395">
        <f t="shared" si="1"/>
        <v>65.349999999999994</v>
      </c>
      <c r="D28" s="395">
        <f t="shared" si="1"/>
        <v>65.319999999999993</v>
      </c>
      <c r="E28" s="395">
        <f t="shared" si="1"/>
        <v>63.81</v>
      </c>
      <c r="F28" s="395">
        <f t="shared" si="1"/>
        <v>65.3</v>
      </c>
      <c r="H28"/>
    </row>
    <row r="29" spans="1:8">
      <c r="A29" s="33" t="s">
        <v>39</v>
      </c>
      <c r="B29" s="395">
        <f t="shared" si="1"/>
        <v>70.48</v>
      </c>
      <c r="C29" s="395">
        <f t="shared" si="1"/>
        <v>67.11</v>
      </c>
      <c r="D29" s="395">
        <f t="shared" si="1"/>
        <v>58.36</v>
      </c>
      <c r="E29" s="395">
        <f t="shared" si="1"/>
        <v>61.87</v>
      </c>
      <c r="F29" s="395">
        <f t="shared" si="1"/>
        <v>62.5</v>
      </c>
      <c r="H29"/>
    </row>
    <row r="30" spans="1:8">
      <c r="A30" s="33" t="s">
        <v>40</v>
      </c>
      <c r="B30" s="395">
        <f t="shared" si="1"/>
        <v>61.31</v>
      </c>
      <c r="C30" s="395">
        <f t="shared" si="1"/>
        <v>63.54</v>
      </c>
      <c r="D30" s="395">
        <f t="shared" si="1"/>
        <v>63.69</v>
      </c>
      <c r="E30" s="395">
        <f t="shared" si="1"/>
        <v>63.28</v>
      </c>
      <c r="F30" s="395">
        <f t="shared" si="1"/>
        <v>63.66</v>
      </c>
      <c r="H30"/>
    </row>
    <row r="31" spans="1:8">
      <c r="A31" s="33" t="s">
        <v>41</v>
      </c>
      <c r="B31" s="395">
        <f t="shared" si="1"/>
        <v>63.16</v>
      </c>
      <c r="C31" s="395">
        <f t="shared" si="1"/>
        <v>62.98</v>
      </c>
      <c r="D31" s="395">
        <f t="shared" si="1"/>
        <v>62.21</v>
      </c>
      <c r="E31" s="395">
        <f t="shared" si="1"/>
        <v>62.98</v>
      </c>
      <c r="F31" s="395">
        <f t="shared" si="1"/>
        <v>62.66</v>
      </c>
      <c r="H31"/>
    </row>
    <row r="32" spans="1:8">
      <c r="A32" s="33" t="s">
        <v>42</v>
      </c>
      <c r="B32" s="395">
        <f t="shared" si="1"/>
        <v>65.02</v>
      </c>
      <c r="C32" s="395">
        <f t="shared" si="1"/>
        <v>64.41</v>
      </c>
      <c r="D32" s="395">
        <f t="shared" si="1"/>
        <v>64.38</v>
      </c>
      <c r="E32" s="395">
        <f t="shared" si="1"/>
        <v>64.900000000000006</v>
      </c>
      <c r="F32" s="395">
        <f t="shared" si="1"/>
        <v>64.709999999999994</v>
      </c>
      <c r="H32"/>
    </row>
    <row r="33" spans="1:11">
      <c r="A33" s="33" t="s">
        <v>43</v>
      </c>
      <c r="B33" s="395">
        <f t="shared" si="1"/>
        <v>57.89</v>
      </c>
      <c r="C33" s="395">
        <f t="shared" si="1"/>
        <v>59.66</v>
      </c>
      <c r="D33" s="395">
        <f t="shared" si="1"/>
        <v>60.66</v>
      </c>
      <c r="E33" s="395">
        <f t="shared" si="1"/>
        <v>60.55</v>
      </c>
      <c r="F33" s="395">
        <f t="shared" si="1"/>
        <v>58.47</v>
      </c>
      <c r="H33"/>
    </row>
    <row r="34" spans="1:11">
      <c r="A34" s="33" t="s">
        <v>44</v>
      </c>
      <c r="B34" s="395">
        <f t="shared" si="1"/>
        <v>61.34</v>
      </c>
      <c r="C34" s="395">
        <f t="shared" si="1"/>
        <v>62.15</v>
      </c>
      <c r="D34" s="395">
        <f t="shared" si="1"/>
        <v>61.81</v>
      </c>
      <c r="E34" s="395">
        <f t="shared" si="1"/>
        <v>59.07</v>
      </c>
      <c r="F34" s="395">
        <f t="shared" si="1"/>
        <v>60.98</v>
      </c>
      <c r="H34"/>
    </row>
    <row r="35" spans="1:11">
      <c r="H35"/>
    </row>
    <row r="36" spans="1:11">
      <c r="A36" s="33" t="s">
        <v>47</v>
      </c>
      <c r="B36" s="395">
        <f>AVERAGE(B33,B31,B27,B24,B19,B17,B14,B12)</f>
        <v>62.015000000000001</v>
      </c>
      <c r="C36" s="395">
        <f>AVERAGE(C33,C31,C27,C24,C19,C17,C14,C12)</f>
        <v>61.991249999999987</v>
      </c>
      <c r="D36" s="395">
        <f>AVERAGE(D33,D31,D27,D24,D19,D17,D14,D12)</f>
        <v>62.042500000000004</v>
      </c>
      <c r="E36" s="395">
        <f>AVERAGE(E33,E31,E27,E24,E19,E17,E14,E12)</f>
        <v>61.814999999999998</v>
      </c>
      <c r="F36" s="395">
        <f>AVERAGE(F33,F31,F27,F24,F19,F17,F14,F12)</f>
        <v>61.053750000000008</v>
      </c>
      <c r="H36"/>
    </row>
    <row r="37" spans="1:11">
      <c r="A37" s="33" t="s">
        <v>45</v>
      </c>
      <c r="B37" s="395">
        <f t="shared" ref="B37:F38" si="2">VLOOKUP(B$2&amp;$A37,$J$44:$K$252,2,FALSE)</f>
        <v>63.31</v>
      </c>
      <c r="C37" s="395">
        <f t="shared" si="2"/>
        <v>62.64</v>
      </c>
      <c r="D37" s="395">
        <f t="shared" si="2"/>
        <v>62.21</v>
      </c>
      <c r="E37" s="395">
        <f t="shared" si="2"/>
        <v>61.94</v>
      </c>
      <c r="F37" s="395">
        <f t="shared" si="2"/>
        <v>61.79</v>
      </c>
      <c r="H37"/>
    </row>
    <row r="38" spans="1:11">
      <c r="A38" s="33" t="s">
        <v>46</v>
      </c>
      <c r="B38" s="395">
        <f t="shared" si="2"/>
        <v>63.66</v>
      </c>
      <c r="C38" s="395">
        <f t="shared" si="2"/>
        <v>63.57</v>
      </c>
      <c r="D38" s="395">
        <f t="shared" si="2"/>
        <v>63.59</v>
      </c>
      <c r="E38" s="395">
        <f t="shared" si="2"/>
        <v>63.28</v>
      </c>
      <c r="F38" s="395">
        <f t="shared" si="2"/>
        <v>63.59</v>
      </c>
      <c r="H38"/>
    </row>
    <row r="39" spans="1:11">
      <c r="A39" s="33" t="s">
        <v>543</v>
      </c>
      <c r="B39" s="393" cm="1">
        <f t="array" ref="B39">AVERAGE(AVERAGEIFS(B$3:B$34,$A$3:$A$34,{"Na h-Eileanan Siar","Argyll and Bute","Shetland Islands","Highland","Orkney Islands","Scottish Borders","Dumfries and Galloway","Aberdeenshire"}))</f>
        <v>67.262500000000003</v>
      </c>
      <c r="C39" s="393" cm="1">
        <f t="array" ref="C39">AVERAGE(AVERAGEIFS(C$3:C$34,$A$3:$A$34,{"Na h-Eileanan Siar","Argyll and Bute","Shetland Islands","Highland","Orkney Islands","Scottish Borders","Dumfries and Galloway","Aberdeenshire"}))</f>
        <v>66.427499999999995</v>
      </c>
      <c r="D39" s="393" cm="1">
        <f t="array" ref="D39">AVERAGE(AVERAGEIFS(D$3:D$34,$A$3:$A$34,{"Na h-Eileanan Siar","Argyll and Bute","Shetland Islands","Highland","Orkney Islands","Scottish Borders","Dumfries and Galloway","Aberdeenshire"}))</f>
        <v>65.608750000000001</v>
      </c>
      <c r="E39" s="393" cm="1">
        <f t="array" ref="E39">AVERAGE(AVERAGEIFS(E$3:E$34,$A$3:$A$34,{"Na h-Eileanan Siar","Argyll and Bute","Shetland Islands","Highland","Orkney Islands","Scottish Borders","Dumfries and Galloway","Aberdeenshire"}))</f>
        <v>65.823750000000004</v>
      </c>
      <c r="F39" s="393" cm="1">
        <f t="array" ref="F39">AVERAGE(AVERAGEIFS(F$3:F$34,$A$3:$A$34,{"Na h-Eileanan Siar","Argyll and Bute","Shetland Islands","Highland","Orkney Islands","Scottish Borders","Dumfries and Galloway","Aberdeenshire"}))</f>
        <v>66.253749999999997</v>
      </c>
      <c r="H39"/>
    </row>
    <row r="40" spans="1:11">
      <c r="A40" s="33" t="s">
        <v>544</v>
      </c>
      <c r="B40" s="393" cm="1">
        <f t="array" ref="B40">AVERAGE(AVERAGEIFS(B$3:B$34,$A$3:$A$34,{"Perth and Kinross","Stirling","Moray","South Ayrshire","East Ayrshire","East Lothian","North Ayrshire","Fife"}))</f>
        <v>63.386250000000004</v>
      </c>
      <c r="C40" s="393" cm="1">
        <f t="array" ref="C40">AVERAGE(AVERAGEIFS(C$3:C$34,$A$3:$A$34,{"Perth and Kinross","Stirling","Moray","South Ayrshire","East Ayrshire","East Lothian","North Ayrshire","Fife"}))</f>
        <v>62.641249999999999</v>
      </c>
      <c r="D40" s="393" cm="1">
        <f t="array" ref="D40">AVERAGE(AVERAGEIFS(D$3:D$34,$A$3:$A$34,{"Perth and Kinross","Stirling","Moray","South Ayrshire","East Ayrshire","East Lothian","North Ayrshire","Fife"}))</f>
        <v>61.89</v>
      </c>
      <c r="E40" s="393" cm="1">
        <f t="array" ref="E40">AVERAGE(AVERAGEIFS(E$3:E$34,$A$3:$A$34,{"Perth and Kinross","Stirling","Moray","South Ayrshire","East Ayrshire","East Lothian","North Ayrshire","Fife"}))</f>
        <v>61.709999999999994</v>
      </c>
      <c r="F40" s="393" cm="1">
        <f t="array" ref="F40">AVERAGE(AVERAGEIFS(F$3:F$34,$A$3:$A$34,{"Perth and Kinross","Stirling","Moray","South Ayrshire","East Ayrshire","East Lothian","North Ayrshire","Fife"}))</f>
        <v>61.338750000000005</v>
      </c>
      <c r="H40"/>
    </row>
    <row r="41" spans="1:11">
      <c r="A41" s="33" t="s">
        <v>545</v>
      </c>
      <c r="B41" s="393" cm="1">
        <f t="array" ref="B41">AVERAGE(AVERAGEIFS(B$3:B$34,$A$3:$A$34,{"Angus","Clackmannanshire","Midlothian","South Lanarkshire","Inverclyde","Renfrewshire","West Lothian","East Renfrewshire"}))</f>
        <v>62.151249999999997</v>
      </c>
      <c r="C41" s="393" cm="1">
        <f t="array" ref="C41">AVERAGE(AVERAGEIFS(C$3:C$34,$A$3:$A$34,{"Angus","Clackmannanshire","Midlothian","South Lanarkshire","Inverclyde","Renfrewshire","West Lothian","East Renfrewshire"}))</f>
        <v>62.247500000000002</v>
      </c>
      <c r="D41" s="393" cm="1">
        <f t="array" ref="D41">AVERAGE(AVERAGEIFS(D$3:D$34,$A$3:$A$34,{"Angus","Clackmannanshire","Midlothian","South Lanarkshire","Inverclyde","Renfrewshire","West Lothian","East Renfrewshire"}))</f>
        <v>62.555</v>
      </c>
      <c r="E41" s="393" cm="1">
        <f t="array" ref="E41">AVERAGE(AVERAGEIFS(E$3:E$34,$A$3:$A$34,{"Angus","Clackmannanshire","Midlothian","South Lanarkshire","Inverclyde","Renfrewshire","West Lothian","East Renfrewshire"}))</f>
        <v>62.577499999999993</v>
      </c>
      <c r="F41" s="393" cm="1">
        <f t="array" ref="F41">AVERAGE(AVERAGEIFS(F$3:F$34,$A$3:$A$34,{"Angus","Clackmannanshire","Midlothian","South Lanarkshire","Inverclyde","Renfrewshire","West Lothian","East Renfrewshire"}))</f>
        <v>62.566249999999997</v>
      </c>
      <c r="H41"/>
    </row>
    <row r="42" spans="1:11">
      <c r="A42" s="33" t="s">
        <v>546</v>
      </c>
      <c r="B42" s="393" cm="1">
        <f t="array" ref="B42">AVERAGE(AVERAGEIFS(B$3:B$34,$A$3:$A$34,{"North Lanarkshire","Falkirk","East Dunbartonshire","Aberdeen City","City of Edinburgh","West Dunbartonshire","Dundee City","Glasgow City"}))</f>
        <v>63.001249999999992</v>
      </c>
      <c r="C42" s="393" cm="1">
        <f t="array" ref="C42">AVERAGE(AVERAGEIFS(C$3:C$34,$A$3:$A$34,{"North Lanarkshire","Falkirk","East Dunbartonshire","Aberdeen City","City of Edinburgh","West Dunbartonshire","Dundee City","Glasgow City"}))</f>
        <v>62.212499999999999</v>
      </c>
      <c r="D42" s="393" cm="1">
        <f t="array" ref="D42">AVERAGE(AVERAGEIFS(D$3:D$34,$A$3:$A$34,{"North Lanarkshire","Falkirk","East Dunbartonshire","Aberdeen City","City of Edinburgh","West Dunbartonshire","Dundee City","Glasgow City"}))</f>
        <v>61.676249999999996</v>
      </c>
      <c r="E42" s="393" cm="1">
        <f t="array" ref="E42">AVERAGE(AVERAGEIFS(E$3:E$34,$A$3:$A$34,{"North Lanarkshire","Falkirk","East Dunbartonshire","Aberdeen City","City of Edinburgh","West Dunbartonshire","Dundee City","Glasgow City"}))</f>
        <v>60.942499999999995</v>
      </c>
      <c r="F42" s="393" cm="1">
        <f t="array" ref="F42">AVERAGE(AVERAGEIFS(F$3:F$34,$A$3:$A$34,{"North Lanarkshire","Falkirk","East Dunbartonshire","Aberdeen City","City of Edinburgh","West Dunbartonshire","Dundee City","Glasgow City"}))</f>
        <v>60.375000000000007</v>
      </c>
      <c r="H42"/>
    </row>
    <row r="43" spans="1:11">
      <c r="H43"/>
    </row>
    <row r="44" spans="1:11">
      <c r="A44" s="33" t="s">
        <v>165</v>
      </c>
      <c r="B44" s="33" t="s">
        <v>725</v>
      </c>
      <c r="C44" s="33" t="s">
        <v>726</v>
      </c>
      <c r="D44" s="33" t="s">
        <v>727</v>
      </c>
      <c r="E44" s="33" t="s">
        <v>722</v>
      </c>
      <c r="F44" s="33" t="s">
        <v>728</v>
      </c>
      <c r="G44" s="33" t="s">
        <v>164</v>
      </c>
      <c r="H44" t="s">
        <v>729</v>
      </c>
      <c r="I44" s="33" t="s">
        <v>730</v>
      </c>
      <c r="K44" s="33" t="s">
        <v>731</v>
      </c>
    </row>
    <row r="45" spans="1:11">
      <c r="A45" s="33" t="s">
        <v>161</v>
      </c>
      <c r="B45" s="33" t="s">
        <v>46</v>
      </c>
      <c r="C45" s="33" t="s">
        <v>725</v>
      </c>
      <c r="D45" s="33" t="s">
        <v>608</v>
      </c>
      <c r="E45" s="33" t="s">
        <v>46</v>
      </c>
      <c r="F45" s="33">
        <v>2</v>
      </c>
      <c r="G45" s="33" t="s">
        <v>606</v>
      </c>
      <c r="H45">
        <v>1</v>
      </c>
      <c r="I45" s="33" t="s">
        <v>732</v>
      </c>
      <c r="J45" s="33" t="str">
        <f>CONCATENATE(A45,E45)</f>
        <v>2011-13United Kingdom</v>
      </c>
      <c r="K45" s="33">
        <v>63.67</v>
      </c>
    </row>
    <row r="46" spans="1:11">
      <c r="A46" s="33" t="s">
        <v>161</v>
      </c>
      <c r="B46" s="33" t="s">
        <v>45</v>
      </c>
      <c r="C46" s="33" t="s">
        <v>725</v>
      </c>
      <c r="D46" s="33" t="s">
        <v>488</v>
      </c>
      <c r="E46" s="33" t="s">
        <v>45</v>
      </c>
      <c r="F46" s="33">
        <v>2</v>
      </c>
      <c r="G46" s="33" t="s">
        <v>606</v>
      </c>
      <c r="H46">
        <v>1</v>
      </c>
      <c r="I46" s="33" t="s">
        <v>732</v>
      </c>
      <c r="J46" s="33" t="str">
        <f t="shared" ref="J46:J109" si="3">CONCATENATE(A46,E46)</f>
        <v>2011-13Scotland</v>
      </c>
      <c r="K46" s="33">
        <v>63.21</v>
      </c>
    </row>
    <row r="47" spans="1:11">
      <c r="A47" s="33" t="s">
        <v>160</v>
      </c>
      <c r="B47" s="33" t="s">
        <v>46</v>
      </c>
      <c r="C47" s="33" t="s">
        <v>725</v>
      </c>
      <c r="D47" s="33" t="s">
        <v>608</v>
      </c>
      <c r="E47" s="33" t="s">
        <v>46</v>
      </c>
      <c r="F47" s="33">
        <v>2</v>
      </c>
      <c r="G47" s="33" t="s">
        <v>606</v>
      </c>
      <c r="H47">
        <v>1</v>
      </c>
      <c r="I47" s="33" t="s">
        <v>732</v>
      </c>
      <c r="J47" s="33" t="str">
        <f t="shared" si="3"/>
        <v>2012-14United Kingdom</v>
      </c>
      <c r="K47" s="33">
        <v>63.7</v>
      </c>
    </row>
    <row r="48" spans="1:11">
      <c r="A48" s="33" t="s">
        <v>160</v>
      </c>
      <c r="B48" s="33" t="s">
        <v>45</v>
      </c>
      <c r="C48" s="33" t="s">
        <v>725</v>
      </c>
      <c r="D48" s="33" t="s">
        <v>488</v>
      </c>
      <c r="E48" s="33" t="s">
        <v>45</v>
      </c>
      <c r="F48" s="33">
        <v>2</v>
      </c>
      <c r="G48" s="33" t="s">
        <v>606</v>
      </c>
      <c r="H48">
        <v>1</v>
      </c>
      <c r="I48" s="33" t="s">
        <v>732</v>
      </c>
      <c r="J48" s="33" t="str">
        <f t="shared" si="3"/>
        <v>2012-14Scotland</v>
      </c>
      <c r="K48" s="33">
        <v>63.24</v>
      </c>
    </row>
    <row r="49" spans="1:11">
      <c r="A49" s="33" t="s">
        <v>159</v>
      </c>
      <c r="B49" s="33" t="s">
        <v>46</v>
      </c>
      <c r="C49" s="33" t="s">
        <v>725</v>
      </c>
      <c r="D49" s="33" t="s">
        <v>608</v>
      </c>
      <c r="E49" s="33" t="s">
        <v>46</v>
      </c>
      <c r="F49" s="33">
        <v>2</v>
      </c>
      <c r="G49" s="33" t="s">
        <v>606</v>
      </c>
      <c r="H49">
        <v>1</v>
      </c>
      <c r="I49" s="33" t="s">
        <v>732</v>
      </c>
      <c r="J49" s="33" t="str">
        <f t="shared" si="3"/>
        <v>2013-15United Kingdom</v>
      </c>
      <c r="K49" s="33">
        <v>63.82</v>
      </c>
    </row>
    <row r="50" spans="1:11">
      <c r="A50" s="33" t="s">
        <v>159</v>
      </c>
      <c r="B50" s="33" t="s">
        <v>45</v>
      </c>
      <c r="C50" s="33" t="s">
        <v>733</v>
      </c>
      <c r="D50" s="33" t="s">
        <v>109</v>
      </c>
      <c r="E50" s="33" t="s">
        <v>18</v>
      </c>
      <c r="F50" s="33">
        <v>2</v>
      </c>
      <c r="G50" s="33" t="s">
        <v>606</v>
      </c>
      <c r="H50">
        <v>1</v>
      </c>
      <c r="I50" s="33" t="s">
        <v>732</v>
      </c>
      <c r="J50" s="33" t="str">
        <f t="shared" si="3"/>
        <v>2013-15Clackmannanshire</v>
      </c>
      <c r="K50" s="33">
        <v>60.62</v>
      </c>
    </row>
    <row r="51" spans="1:11">
      <c r="A51" s="33" t="s">
        <v>159</v>
      </c>
      <c r="B51" s="33" t="s">
        <v>45</v>
      </c>
      <c r="C51" s="33" t="s">
        <v>733</v>
      </c>
      <c r="D51" s="33" t="s">
        <v>108</v>
      </c>
      <c r="E51" s="33" t="s">
        <v>19</v>
      </c>
      <c r="F51" s="33">
        <v>2</v>
      </c>
      <c r="G51" s="33" t="s">
        <v>606</v>
      </c>
      <c r="H51">
        <v>1</v>
      </c>
      <c r="I51" s="33" t="s">
        <v>732</v>
      </c>
      <c r="J51" s="33" t="str">
        <f t="shared" si="3"/>
        <v>2013-15Dumfries and Galloway</v>
      </c>
      <c r="K51" s="33">
        <v>63.62</v>
      </c>
    </row>
    <row r="52" spans="1:11">
      <c r="A52" s="33" t="s">
        <v>159</v>
      </c>
      <c r="B52" s="33" t="s">
        <v>45</v>
      </c>
      <c r="C52" s="33" t="s">
        <v>733</v>
      </c>
      <c r="D52" s="33" t="s">
        <v>106</v>
      </c>
      <c r="E52" s="33" t="s">
        <v>21</v>
      </c>
      <c r="F52" s="33">
        <v>2</v>
      </c>
      <c r="G52" s="33" t="s">
        <v>606</v>
      </c>
      <c r="H52">
        <v>1</v>
      </c>
      <c r="I52" s="33" t="s">
        <v>732</v>
      </c>
      <c r="J52" s="33" t="str">
        <f t="shared" si="3"/>
        <v>2013-15East Ayrshire</v>
      </c>
      <c r="K52" s="33">
        <v>58.23</v>
      </c>
    </row>
    <row r="53" spans="1:11">
      <c r="A53" s="33" t="s">
        <v>159</v>
      </c>
      <c r="B53" s="33" t="s">
        <v>45</v>
      </c>
      <c r="C53" s="33" t="s">
        <v>733</v>
      </c>
      <c r="D53" s="33" t="s">
        <v>104</v>
      </c>
      <c r="E53" s="33" t="s">
        <v>23</v>
      </c>
      <c r="F53" s="33">
        <v>2</v>
      </c>
      <c r="G53" s="33" t="s">
        <v>606</v>
      </c>
      <c r="H53">
        <v>1</v>
      </c>
      <c r="I53" s="33" t="s">
        <v>732</v>
      </c>
      <c r="J53" s="33" t="str">
        <f t="shared" si="3"/>
        <v>2013-15East Lothian</v>
      </c>
      <c r="K53" s="33">
        <v>68.16</v>
      </c>
    </row>
    <row r="54" spans="1:11">
      <c r="A54" s="33" t="s">
        <v>159</v>
      </c>
      <c r="B54" s="33" t="s">
        <v>45</v>
      </c>
      <c r="C54" s="33" t="s">
        <v>733</v>
      </c>
      <c r="D54" s="33" t="s">
        <v>103</v>
      </c>
      <c r="E54" s="33" t="s">
        <v>24</v>
      </c>
      <c r="F54" s="33">
        <v>2</v>
      </c>
      <c r="G54" s="33" t="s">
        <v>606</v>
      </c>
      <c r="H54">
        <v>1</v>
      </c>
      <c r="I54" s="33" t="s">
        <v>732</v>
      </c>
      <c r="J54" s="33" t="str">
        <f t="shared" si="3"/>
        <v>2013-15East Renfrewshire</v>
      </c>
      <c r="K54" s="33">
        <v>66.88</v>
      </c>
    </row>
    <row r="55" spans="1:11">
      <c r="A55" s="33" t="s">
        <v>159</v>
      </c>
      <c r="B55" s="33" t="s">
        <v>45</v>
      </c>
      <c r="C55" s="33" t="s">
        <v>733</v>
      </c>
      <c r="D55" s="33" t="s">
        <v>95</v>
      </c>
      <c r="E55" s="33" t="s">
        <v>32</v>
      </c>
      <c r="F55" s="33">
        <v>2</v>
      </c>
      <c r="G55" s="33" t="s">
        <v>606</v>
      </c>
      <c r="H55">
        <v>1</v>
      </c>
      <c r="I55" s="33" t="s">
        <v>732</v>
      </c>
      <c r="J55" s="33" t="str">
        <f t="shared" si="3"/>
        <v>2013-15Na h-Eileanan Siar</v>
      </c>
      <c r="K55" s="33">
        <v>68.23</v>
      </c>
    </row>
    <row r="56" spans="1:11">
      <c r="A56" s="33" t="s">
        <v>159</v>
      </c>
      <c r="B56" s="33" t="s">
        <v>45</v>
      </c>
      <c r="C56" s="33" t="s">
        <v>733</v>
      </c>
      <c r="D56" s="33" t="s">
        <v>102</v>
      </c>
      <c r="E56" s="33" t="s">
        <v>25</v>
      </c>
      <c r="F56" s="33">
        <v>2</v>
      </c>
      <c r="G56" s="33" t="s">
        <v>606</v>
      </c>
      <c r="H56">
        <v>1</v>
      </c>
      <c r="I56" s="33" t="s">
        <v>732</v>
      </c>
      <c r="J56" s="33" t="str">
        <f t="shared" si="3"/>
        <v>2013-15Falkirk</v>
      </c>
      <c r="K56" s="33">
        <v>63.83</v>
      </c>
    </row>
    <row r="57" spans="1:11">
      <c r="A57" s="33" t="s">
        <v>159</v>
      </c>
      <c r="B57" s="33" t="s">
        <v>45</v>
      </c>
      <c r="C57" s="33" t="s">
        <v>733</v>
      </c>
      <c r="D57" s="33" t="s">
        <v>99</v>
      </c>
      <c r="E57" s="33" t="s">
        <v>28</v>
      </c>
      <c r="F57" s="33">
        <v>2</v>
      </c>
      <c r="G57" s="33" t="s">
        <v>606</v>
      </c>
      <c r="H57">
        <v>1</v>
      </c>
      <c r="I57" s="33" t="s">
        <v>732</v>
      </c>
      <c r="J57" s="33" t="str">
        <f t="shared" si="3"/>
        <v>2013-15Highland</v>
      </c>
      <c r="K57" s="33">
        <v>65.099999999999994</v>
      </c>
    </row>
    <row r="58" spans="1:11">
      <c r="A58" s="33" t="s">
        <v>159</v>
      </c>
      <c r="B58" s="33" t="s">
        <v>45</v>
      </c>
      <c r="C58" s="33" t="s">
        <v>733</v>
      </c>
      <c r="D58" s="33" t="s">
        <v>98</v>
      </c>
      <c r="E58" s="33" t="s">
        <v>29</v>
      </c>
      <c r="F58" s="33">
        <v>2</v>
      </c>
      <c r="G58" s="33" t="s">
        <v>606</v>
      </c>
      <c r="H58">
        <v>1</v>
      </c>
      <c r="I58" s="33" t="s">
        <v>732</v>
      </c>
      <c r="J58" s="33" t="str">
        <f t="shared" si="3"/>
        <v>2013-15Inverclyde</v>
      </c>
      <c r="K58" s="33">
        <v>59.51</v>
      </c>
    </row>
    <row r="59" spans="1:11">
      <c r="A59" s="33" t="s">
        <v>159</v>
      </c>
      <c r="B59" s="33" t="s">
        <v>45</v>
      </c>
      <c r="C59" s="33" t="s">
        <v>733</v>
      </c>
      <c r="D59" s="33" t="s">
        <v>97</v>
      </c>
      <c r="E59" s="33" t="s">
        <v>30</v>
      </c>
      <c r="F59" s="33">
        <v>2</v>
      </c>
      <c r="G59" s="33" t="s">
        <v>606</v>
      </c>
      <c r="H59">
        <v>1</v>
      </c>
      <c r="I59" s="33" t="s">
        <v>732</v>
      </c>
      <c r="J59" s="33" t="str">
        <f t="shared" si="3"/>
        <v>2013-15Midlothian</v>
      </c>
      <c r="K59" s="33">
        <v>61.3</v>
      </c>
    </row>
    <row r="60" spans="1:11">
      <c r="A60" s="33" t="s">
        <v>159</v>
      </c>
      <c r="B60" s="33" t="s">
        <v>45</v>
      </c>
      <c r="C60" s="33" t="s">
        <v>733</v>
      </c>
      <c r="D60" s="33" t="s">
        <v>96</v>
      </c>
      <c r="E60" s="33" t="s">
        <v>31</v>
      </c>
      <c r="F60" s="33">
        <v>2</v>
      </c>
      <c r="G60" s="33" t="s">
        <v>606</v>
      </c>
      <c r="H60">
        <v>1</v>
      </c>
      <c r="I60" s="33" t="s">
        <v>732</v>
      </c>
      <c r="J60" s="33" t="str">
        <f t="shared" si="3"/>
        <v>2013-15Moray</v>
      </c>
      <c r="K60" s="33">
        <v>65.53</v>
      </c>
    </row>
    <row r="61" spans="1:11">
      <c r="A61" s="33" t="s">
        <v>159</v>
      </c>
      <c r="B61" s="33" t="s">
        <v>45</v>
      </c>
      <c r="C61" s="33" t="s">
        <v>733</v>
      </c>
      <c r="D61" s="33" t="s">
        <v>94</v>
      </c>
      <c r="E61" s="33" t="s">
        <v>33</v>
      </c>
      <c r="F61" s="33">
        <v>2</v>
      </c>
      <c r="G61" s="33" t="s">
        <v>606</v>
      </c>
      <c r="H61">
        <v>1</v>
      </c>
      <c r="I61" s="33" t="s">
        <v>732</v>
      </c>
      <c r="J61" s="33" t="str">
        <f t="shared" si="3"/>
        <v>2013-15North Ayrshire</v>
      </c>
      <c r="K61" s="33">
        <v>56.53</v>
      </c>
    </row>
    <row r="62" spans="1:11">
      <c r="A62" s="33" t="s">
        <v>159</v>
      </c>
      <c r="B62" s="33" t="s">
        <v>45</v>
      </c>
      <c r="C62" s="33" t="s">
        <v>733</v>
      </c>
      <c r="D62" s="33" t="s">
        <v>92</v>
      </c>
      <c r="E62" s="33" t="s">
        <v>35</v>
      </c>
      <c r="F62" s="33">
        <v>2</v>
      </c>
      <c r="G62" s="33" t="s">
        <v>606</v>
      </c>
      <c r="H62">
        <v>1</v>
      </c>
      <c r="I62" s="33" t="s">
        <v>732</v>
      </c>
      <c r="J62" s="33" t="str">
        <f t="shared" si="3"/>
        <v>2013-15Orkney Islands</v>
      </c>
      <c r="K62" s="33">
        <v>74.459999999999994</v>
      </c>
    </row>
    <row r="63" spans="1:11">
      <c r="A63" s="33" t="s">
        <v>159</v>
      </c>
      <c r="B63" s="33" t="s">
        <v>45</v>
      </c>
      <c r="C63" s="33" t="s">
        <v>733</v>
      </c>
      <c r="D63" s="33" t="s">
        <v>89</v>
      </c>
      <c r="E63" s="33" t="s">
        <v>38</v>
      </c>
      <c r="F63" s="33">
        <v>2</v>
      </c>
      <c r="G63" s="33" t="s">
        <v>606</v>
      </c>
      <c r="H63">
        <v>1</v>
      </c>
      <c r="I63" s="33" t="s">
        <v>732</v>
      </c>
      <c r="J63" s="33" t="str">
        <f t="shared" si="3"/>
        <v>2013-15Scottish Borders</v>
      </c>
      <c r="K63" s="33">
        <v>68.41</v>
      </c>
    </row>
    <row r="64" spans="1:11">
      <c r="A64" s="33" t="s">
        <v>159</v>
      </c>
      <c r="B64" s="33" t="s">
        <v>45</v>
      </c>
      <c r="C64" s="33" t="s">
        <v>733</v>
      </c>
      <c r="D64" s="33" t="s">
        <v>88</v>
      </c>
      <c r="E64" s="33" t="s">
        <v>39</v>
      </c>
      <c r="F64" s="33">
        <v>2</v>
      </c>
      <c r="G64" s="33" t="s">
        <v>606</v>
      </c>
      <c r="H64">
        <v>1</v>
      </c>
      <c r="I64" s="33" t="s">
        <v>732</v>
      </c>
      <c r="J64" s="33" t="str">
        <f t="shared" si="3"/>
        <v>2013-15Shetland Islands</v>
      </c>
      <c r="K64" s="33">
        <v>70.08</v>
      </c>
    </row>
    <row r="65" spans="1:11">
      <c r="A65" s="33" t="s">
        <v>159</v>
      </c>
      <c r="B65" s="33" t="s">
        <v>45</v>
      </c>
      <c r="C65" s="33" t="s">
        <v>733</v>
      </c>
      <c r="D65" s="33" t="s">
        <v>87</v>
      </c>
      <c r="E65" s="33" t="s">
        <v>40</v>
      </c>
      <c r="F65" s="33">
        <v>2</v>
      </c>
      <c r="G65" s="33" t="s">
        <v>606</v>
      </c>
      <c r="H65">
        <v>1</v>
      </c>
      <c r="I65" s="33" t="s">
        <v>732</v>
      </c>
      <c r="J65" s="33" t="str">
        <f t="shared" si="3"/>
        <v>2013-15South Ayrshire</v>
      </c>
      <c r="K65" s="33">
        <v>60.65</v>
      </c>
    </row>
    <row r="66" spans="1:11">
      <c r="A66" s="33" t="s">
        <v>159</v>
      </c>
      <c r="B66" s="33" t="s">
        <v>45</v>
      </c>
      <c r="C66" s="33" t="s">
        <v>733</v>
      </c>
      <c r="D66" s="33" t="s">
        <v>86</v>
      </c>
      <c r="E66" s="33" t="s">
        <v>41</v>
      </c>
      <c r="F66" s="33">
        <v>2</v>
      </c>
      <c r="G66" s="33" t="s">
        <v>606</v>
      </c>
      <c r="H66">
        <v>1</v>
      </c>
      <c r="I66" s="33" t="s">
        <v>732</v>
      </c>
      <c r="J66" s="33" t="str">
        <f t="shared" si="3"/>
        <v>2013-15South Lanarkshire</v>
      </c>
      <c r="K66" s="33">
        <v>63.07</v>
      </c>
    </row>
    <row r="67" spans="1:11">
      <c r="A67" s="33" t="s">
        <v>159</v>
      </c>
      <c r="B67" s="33" t="s">
        <v>45</v>
      </c>
      <c r="C67" s="33" t="s">
        <v>733</v>
      </c>
      <c r="D67" s="33" t="s">
        <v>85</v>
      </c>
      <c r="E67" s="33" t="s">
        <v>42</v>
      </c>
      <c r="F67" s="33">
        <v>2</v>
      </c>
      <c r="G67" s="33" t="s">
        <v>606</v>
      </c>
      <c r="H67">
        <v>1</v>
      </c>
      <c r="I67" s="33" t="s">
        <v>732</v>
      </c>
      <c r="J67" s="33" t="str">
        <f t="shared" si="3"/>
        <v>2013-15Stirling</v>
      </c>
      <c r="K67" s="33">
        <v>65.44</v>
      </c>
    </row>
    <row r="68" spans="1:11">
      <c r="A68" s="33" t="s">
        <v>159</v>
      </c>
      <c r="B68" s="33" t="s">
        <v>45</v>
      </c>
      <c r="C68" s="33" t="s">
        <v>733</v>
      </c>
      <c r="D68" s="33" t="s">
        <v>114</v>
      </c>
      <c r="E68" s="33" t="s">
        <v>14</v>
      </c>
      <c r="F68" s="33">
        <v>2</v>
      </c>
      <c r="G68" s="33" t="s">
        <v>606</v>
      </c>
      <c r="H68">
        <v>1</v>
      </c>
      <c r="I68" s="33" t="s">
        <v>732</v>
      </c>
      <c r="J68" s="33" t="str">
        <f t="shared" si="3"/>
        <v>2013-15Aberdeen City</v>
      </c>
      <c r="K68" s="33">
        <v>68.22</v>
      </c>
    </row>
    <row r="69" spans="1:11">
      <c r="A69" s="33" t="s">
        <v>159</v>
      </c>
      <c r="B69" s="33" t="s">
        <v>45</v>
      </c>
      <c r="C69" s="33" t="s">
        <v>733</v>
      </c>
      <c r="D69" s="33" t="s">
        <v>113</v>
      </c>
      <c r="E69" s="33" t="s">
        <v>15</v>
      </c>
      <c r="F69" s="33">
        <v>2</v>
      </c>
      <c r="G69" s="33" t="s">
        <v>606</v>
      </c>
      <c r="H69">
        <v>1</v>
      </c>
      <c r="I69" s="33" t="s">
        <v>732</v>
      </c>
      <c r="J69" s="33" t="str">
        <f t="shared" si="3"/>
        <v>2013-15Aberdeenshire</v>
      </c>
      <c r="K69" s="33">
        <v>64.88</v>
      </c>
    </row>
    <row r="70" spans="1:11">
      <c r="A70" s="33" t="s">
        <v>159</v>
      </c>
      <c r="B70" s="33" t="s">
        <v>45</v>
      </c>
      <c r="C70" s="33" t="s">
        <v>733</v>
      </c>
      <c r="D70" s="33" t="s">
        <v>111</v>
      </c>
      <c r="E70" s="33" t="s">
        <v>17</v>
      </c>
      <c r="F70" s="33">
        <v>2</v>
      </c>
      <c r="G70" s="33" t="s">
        <v>606</v>
      </c>
      <c r="H70">
        <v>1</v>
      </c>
      <c r="I70" s="33" t="s">
        <v>732</v>
      </c>
      <c r="J70" s="33" t="str">
        <f t="shared" si="3"/>
        <v>2013-15Argyll and Bute</v>
      </c>
      <c r="K70" s="33">
        <v>63.39</v>
      </c>
    </row>
    <row r="71" spans="1:11">
      <c r="A71" s="33" t="s">
        <v>159</v>
      </c>
      <c r="B71" s="33" t="s">
        <v>45</v>
      </c>
      <c r="C71" s="33" t="s">
        <v>733</v>
      </c>
      <c r="D71" s="33" t="s">
        <v>110</v>
      </c>
      <c r="E71" s="33" t="s">
        <v>586</v>
      </c>
      <c r="F71" s="33">
        <v>2</v>
      </c>
      <c r="G71" s="33" t="s">
        <v>606</v>
      </c>
      <c r="H71">
        <v>1</v>
      </c>
      <c r="I71" s="33" t="s">
        <v>732</v>
      </c>
      <c r="J71" s="33" t="str">
        <f t="shared" si="3"/>
        <v>2013-15City of Edinburgh</v>
      </c>
      <c r="K71" s="33">
        <v>65.400000000000006</v>
      </c>
    </row>
    <row r="72" spans="1:11">
      <c r="A72" s="33" t="s">
        <v>159</v>
      </c>
      <c r="B72" s="33" t="s">
        <v>45</v>
      </c>
      <c r="C72" s="33" t="s">
        <v>733</v>
      </c>
      <c r="D72" s="33" t="s">
        <v>90</v>
      </c>
      <c r="E72" s="33" t="s">
        <v>37</v>
      </c>
      <c r="F72" s="33">
        <v>2</v>
      </c>
      <c r="G72" s="33" t="s">
        <v>606</v>
      </c>
      <c r="H72">
        <v>1</v>
      </c>
      <c r="I72" s="33" t="s">
        <v>732</v>
      </c>
      <c r="J72" s="33" t="str">
        <f t="shared" si="3"/>
        <v>2013-15Renfrewshire</v>
      </c>
      <c r="K72" s="33">
        <v>59.67</v>
      </c>
    </row>
    <row r="73" spans="1:11">
      <c r="A73" s="33" t="s">
        <v>159</v>
      </c>
      <c r="B73" s="33" t="s">
        <v>45</v>
      </c>
      <c r="C73" s="33" t="s">
        <v>733</v>
      </c>
      <c r="D73" s="33" t="s">
        <v>84</v>
      </c>
      <c r="E73" s="33" t="s">
        <v>43</v>
      </c>
      <c r="F73" s="33">
        <v>2</v>
      </c>
      <c r="G73" s="33" t="s">
        <v>606</v>
      </c>
      <c r="H73">
        <v>1</v>
      </c>
      <c r="I73" s="33" t="s">
        <v>732</v>
      </c>
      <c r="J73" s="33" t="str">
        <f t="shared" si="3"/>
        <v>2013-15West Dunbartonshire</v>
      </c>
      <c r="K73" s="33">
        <v>58.64</v>
      </c>
    </row>
    <row r="74" spans="1:11">
      <c r="A74" s="33" t="s">
        <v>159</v>
      </c>
      <c r="B74" s="33" t="s">
        <v>45</v>
      </c>
      <c r="C74" s="33" t="s">
        <v>733</v>
      </c>
      <c r="D74" s="33" t="s">
        <v>83</v>
      </c>
      <c r="E74" s="33" t="s">
        <v>44</v>
      </c>
      <c r="F74" s="33">
        <v>2</v>
      </c>
      <c r="G74" s="33" t="s">
        <v>606</v>
      </c>
      <c r="H74">
        <v>1</v>
      </c>
      <c r="I74" s="33" t="s">
        <v>732</v>
      </c>
      <c r="J74" s="33" t="str">
        <f t="shared" si="3"/>
        <v>2013-15West Lothian</v>
      </c>
      <c r="K74" s="33">
        <v>58.84</v>
      </c>
    </row>
    <row r="75" spans="1:11">
      <c r="A75" s="33" t="s">
        <v>159</v>
      </c>
      <c r="B75" s="33" t="s">
        <v>45</v>
      </c>
      <c r="C75" s="33" t="s">
        <v>733</v>
      </c>
      <c r="D75" s="33" t="s">
        <v>112</v>
      </c>
      <c r="E75" s="33" t="s">
        <v>16</v>
      </c>
      <c r="F75" s="33">
        <v>2</v>
      </c>
      <c r="G75" s="33" t="s">
        <v>606</v>
      </c>
      <c r="H75">
        <v>1</v>
      </c>
      <c r="I75" s="33" t="s">
        <v>732</v>
      </c>
      <c r="J75" s="33" t="str">
        <f t="shared" si="3"/>
        <v>2013-15Angus</v>
      </c>
      <c r="K75" s="33">
        <v>64.209999999999994</v>
      </c>
    </row>
    <row r="76" spans="1:11">
      <c r="A76" s="33" t="s">
        <v>159</v>
      </c>
      <c r="B76" s="33" t="s">
        <v>45</v>
      </c>
      <c r="C76" s="33" t="s">
        <v>733</v>
      </c>
      <c r="D76" s="33" t="s">
        <v>107</v>
      </c>
      <c r="E76" s="33" t="s">
        <v>20</v>
      </c>
      <c r="F76" s="33">
        <v>2</v>
      </c>
      <c r="G76" s="33" t="s">
        <v>606</v>
      </c>
      <c r="H76">
        <v>1</v>
      </c>
      <c r="I76" s="33" t="s">
        <v>732</v>
      </c>
      <c r="J76" s="33" t="str">
        <f t="shared" si="3"/>
        <v>2013-15Dundee City</v>
      </c>
      <c r="K76" s="33">
        <v>61.9</v>
      </c>
    </row>
    <row r="77" spans="1:11">
      <c r="A77" s="33" t="s">
        <v>159</v>
      </c>
      <c r="B77" s="33" t="s">
        <v>45</v>
      </c>
      <c r="C77" s="33" t="s">
        <v>733</v>
      </c>
      <c r="D77" s="33" t="s">
        <v>105</v>
      </c>
      <c r="E77" s="33" t="s">
        <v>22</v>
      </c>
      <c r="F77" s="33">
        <v>2</v>
      </c>
      <c r="G77" s="33" t="s">
        <v>606</v>
      </c>
      <c r="H77">
        <v>1</v>
      </c>
      <c r="I77" s="33" t="s">
        <v>732</v>
      </c>
      <c r="J77" s="33" t="str">
        <f t="shared" si="3"/>
        <v>2013-15East Dunbartonshire</v>
      </c>
      <c r="K77" s="33">
        <v>67.709999999999994</v>
      </c>
    </row>
    <row r="78" spans="1:11">
      <c r="A78" s="33" t="s">
        <v>159</v>
      </c>
      <c r="B78" s="33" t="s">
        <v>45</v>
      </c>
      <c r="C78" s="33" t="s">
        <v>733</v>
      </c>
      <c r="D78" s="33" t="s">
        <v>101</v>
      </c>
      <c r="E78" s="33" t="s">
        <v>26</v>
      </c>
      <c r="F78" s="33">
        <v>2</v>
      </c>
      <c r="G78" s="33" t="s">
        <v>606</v>
      </c>
      <c r="H78">
        <v>1</v>
      </c>
      <c r="I78" s="33" t="s">
        <v>732</v>
      </c>
      <c r="J78" s="33" t="str">
        <f t="shared" si="3"/>
        <v>2013-15Fife</v>
      </c>
      <c r="K78" s="33">
        <v>60.56</v>
      </c>
    </row>
    <row r="79" spans="1:11">
      <c r="A79" s="33" t="s">
        <v>159</v>
      </c>
      <c r="B79" s="33" t="s">
        <v>45</v>
      </c>
      <c r="C79" s="33" t="s">
        <v>733</v>
      </c>
      <c r="D79" s="33" t="s">
        <v>91</v>
      </c>
      <c r="E79" s="33" t="s">
        <v>36</v>
      </c>
      <c r="F79" s="33">
        <v>2</v>
      </c>
      <c r="G79" s="33" t="s">
        <v>606</v>
      </c>
      <c r="H79">
        <v>1</v>
      </c>
      <c r="I79" s="33" t="s">
        <v>732</v>
      </c>
      <c r="J79" s="33" t="str">
        <f t="shared" si="3"/>
        <v>2013-15Perth and Kinross</v>
      </c>
      <c r="K79" s="33">
        <v>70.319999999999993</v>
      </c>
    </row>
    <row r="80" spans="1:11">
      <c r="A80" s="33" t="s">
        <v>159</v>
      </c>
      <c r="B80" s="33" t="s">
        <v>45</v>
      </c>
      <c r="C80" s="33" t="s">
        <v>733</v>
      </c>
      <c r="D80" s="33" t="s">
        <v>163</v>
      </c>
      <c r="E80" s="33" t="s">
        <v>27</v>
      </c>
      <c r="F80" s="33">
        <v>2</v>
      </c>
      <c r="G80" s="33" t="s">
        <v>606</v>
      </c>
      <c r="H80">
        <v>1</v>
      </c>
      <c r="I80" s="33" t="s">
        <v>732</v>
      </c>
      <c r="J80" s="33" t="str">
        <f t="shared" si="3"/>
        <v>2013-15Glasgow City</v>
      </c>
      <c r="K80" s="33">
        <v>57.48</v>
      </c>
    </row>
    <row r="81" spans="1:11">
      <c r="A81" s="33" t="s">
        <v>159</v>
      </c>
      <c r="B81" s="33" t="s">
        <v>45</v>
      </c>
      <c r="C81" s="33" t="s">
        <v>733</v>
      </c>
      <c r="D81" s="33" t="s">
        <v>162</v>
      </c>
      <c r="E81" s="33" t="s">
        <v>34</v>
      </c>
      <c r="F81" s="33">
        <v>2</v>
      </c>
      <c r="G81" s="33" t="s">
        <v>606</v>
      </c>
      <c r="H81">
        <v>1</v>
      </c>
      <c r="I81" s="33" t="s">
        <v>732</v>
      </c>
      <c r="J81" s="33" t="str">
        <f t="shared" si="3"/>
        <v>2013-15North Lanarkshire</v>
      </c>
      <c r="K81" s="33">
        <v>59.51</v>
      </c>
    </row>
    <row r="82" spans="1:11">
      <c r="A82" s="33" t="s">
        <v>159</v>
      </c>
      <c r="B82" s="33" t="s">
        <v>45</v>
      </c>
      <c r="C82" s="33" t="s">
        <v>725</v>
      </c>
      <c r="D82" s="33" t="s">
        <v>488</v>
      </c>
      <c r="E82" s="33" t="s">
        <v>45</v>
      </c>
      <c r="F82" s="33">
        <v>2</v>
      </c>
      <c r="G82" s="33" t="s">
        <v>606</v>
      </c>
      <c r="H82">
        <v>1</v>
      </c>
      <c r="I82" s="33" t="s">
        <v>732</v>
      </c>
      <c r="J82" s="33" t="str">
        <f t="shared" si="3"/>
        <v>2013-15Scotland</v>
      </c>
      <c r="K82" s="33">
        <v>62.74</v>
      </c>
    </row>
    <row r="83" spans="1:11">
      <c r="A83" s="33" t="s">
        <v>158</v>
      </c>
      <c r="B83" s="33" t="s">
        <v>46</v>
      </c>
      <c r="C83" s="33" t="s">
        <v>725</v>
      </c>
      <c r="D83" s="33" t="s">
        <v>608</v>
      </c>
      <c r="E83" s="33" t="s">
        <v>46</v>
      </c>
      <c r="F83" s="33">
        <v>2</v>
      </c>
      <c r="G83" s="33" t="s">
        <v>606</v>
      </c>
      <c r="H83">
        <v>1</v>
      </c>
      <c r="I83" s="33" t="s">
        <v>732</v>
      </c>
      <c r="J83" s="33" t="str">
        <f t="shared" si="3"/>
        <v>2014-16United Kingdom</v>
      </c>
      <c r="K83" s="33">
        <v>63.66</v>
      </c>
    </row>
    <row r="84" spans="1:11">
      <c r="A84" s="33" t="s">
        <v>158</v>
      </c>
      <c r="B84" s="33" t="s">
        <v>45</v>
      </c>
      <c r="C84" s="33" t="s">
        <v>733</v>
      </c>
      <c r="D84" s="33" t="s">
        <v>109</v>
      </c>
      <c r="E84" s="33" t="s">
        <v>18</v>
      </c>
      <c r="F84" s="33">
        <v>2</v>
      </c>
      <c r="G84" s="33" t="s">
        <v>606</v>
      </c>
      <c r="H84">
        <v>1</v>
      </c>
      <c r="I84" s="33" t="s">
        <v>732</v>
      </c>
      <c r="J84" s="33" t="str">
        <f t="shared" si="3"/>
        <v>2014-16Clackmannanshire</v>
      </c>
      <c r="K84" s="33">
        <v>58.12</v>
      </c>
    </row>
    <row r="85" spans="1:11">
      <c r="A85" s="33" t="s">
        <v>158</v>
      </c>
      <c r="B85" s="33" t="s">
        <v>45</v>
      </c>
      <c r="C85" s="33" t="s">
        <v>733</v>
      </c>
      <c r="D85" s="33" t="s">
        <v>108</v>
      </c>
      <c r="E85" s="33" t="s">
        <v>19</v>
      </c>
      <c r="F85" s="33">
        <v>2</v>
      </c>
      <c r="G85" s="33" t="s">
        <v>606</v>
      </c>
      <c r="H85">
        <v>1</v>
      </c>
      <c r="I85" s="33" t="s">
        <v>732</v>
      </c>
      <c r="J85" s="33" t="str">
        <f t="shared" si="3"/>
        <v>2014-16Dumfries and Galloway</v>
      </c>
      <c r="K85" s="33">
        <v>65.900000000000006</v>
      </c>
    </row>
    <row r="86" spans="1:11">
      <c r="A86" s="33" t="s">
        <v>158</v>
      </c>
      <c r="B86" s="33" t="s">
        <v>45</v>
      </c>
      <c r="C86" s="33" t="s">
        <v>733</v>
      </c>
      <c r="D86" s="33" t="s">
        <v>106</v>
      </c>
      <c r="E86" s="33" t="s">
        <v>21</v>
      </c>
      <c r="F86" s="33">
        <v>2</v>
      </c>
      <c r="G86" s="33" t="s">
        <v>606</v>
      </c>
      <c r="H86">
        <v>1</v>
      </c>
      <c r="I86" s="33" t="s">
        <v>732</v>
      </c>
      <c r="J86" s="33" t="str">
        <f t="shared" si="3"/>
        <v>2014-16East Ayrshire</v>
      </c>
      <c r="K86" s="33">
        <v>58.1</v>
      </c>
    </row>
    <row r="87" spans="1:11">
      <c r="A87" s="33" t="s">
        <v>158</v>
      </c>
      <c r="B87" s="33" t="s">
        <v>45</v>
      </c>
      <c r="C87" s="33" t="s">
        <v>733</v>
      </c>
      <c r="D87" s="33" t="s">
        <v>104</v>
      </c>
      <c r="E87" s="33" t="s">
        <v>23</v>
      </c>
      <c r="F87" s="33">
        <v>2</v>
      </c>
      <c r="G87" s="33" t="s">
        <v>606</v>
      </c>
      <c r="H87">
        <v>1</v>
      </c>
      <c r="I87" s="33" t="s">
        <v>732</v>
      </c>
      <c r="J87" s="33" t="str">
        <f t="shared" si="3"/>
        <v>2014-16East Lothian</v>
      </c>
      <c r="K87" s="33">
        <v>67.569999999999993</v>
      </c>
    </row>
    <row r="88" spans="1:11">
      <c r="A88" s="33" t="s">
        <v>158</v>
      </c>
      <c r="B88" s="33" t="s">
        <v>45</v>
      </c>
      <c r="C88" s="33" t="s">
        <v>733</v>
      </c>
      <c r="D88" s="33" t="s">
        <v>103</v>
      </c>
      <c r="E88" s="33" t="s">
        <v>24</v>
      </c>
      <c r="F88" s="33">
        <v>2</v>
      </c>
      <c r="G88" s="33" t="s">
        <v>606</v>
      </c>
      <c r="H88">
        <v>1</v>
      </c>
      <c r="I88" s="33" t="s">
        <v>732</v>
      </c>
      <c r="J88" s="33" t="str">
        <f t="shared" si="3"/>
        <v>2014-16East Renfrewshire</v>
      </c>
      <c r="K88" s="33">
        <v>66.69</v>
      </c>
    </row>
    <row r="89" spans="1:11">
      <c r="A89" s="33" t="s">
        <v>158</v>
      </c>
      <c r="B89" s="33" t="s">
        <v>45</v>
      </c>
      <c r="C89" s="33" t="s">
        <v>733</v>
      </c>
      <c r="D89" s="33" t="s">
        <v>95</v>
      </c>
      <c r="E89" s="33" t="s">
        <v>32</v>
      </c>
      <c r="F89" s="33">
        <v>2</v>
      </c>
      <c r="G89" s="33" t="s">
        <v>606</v>
      </c>
      <c r="H89">
        <v>1</v>
      </c>
      <c r="I89" s="33" t="s">
        <v>732</v>
      </c>
      <c r="J89" s="33" t="str">
        <f t="shared" si="3"/>
        <v>2014-16Na h-Eileanan Siar</v>
      </c>
      <c r="K89" s="33">
        <v>65.81</v>
      </c>
    </row>
    <row r="90" spans="1:11">
      <c r="A90" s="33" t="s">
        <v>158</v>
      </c>
      <c r="B90" s="33" t="s">
        <v>45</v>
      </c>
      <c r="C90" s="33" t="s">
        <v>733</v>
      </c>
      <c r="D90" s="33" t="s">
        <v>102</v>
      </c>
      <c r="E90" s="33" t="s">
        <v>25</v>
      </c>
      <c r="F90" s="33">
        <v>2</v>
      </c>
      <c r="G90" s="33" t="s">
        <v>606</v>
      </c>
      <c r="H90">
        <v>1</v>
      </c>
      <c r="I90" s="33" t="s">
        <v>732</v>
      </c>
      <c r="J90" s="33" t="str">
        <f t="shared" si="3"/>
        <v>2014-16Falkirk</v>
      </c>
      <c r="K90" s="33">
        <v>63.6</v>
      </c>
    </row>
    <row r="91" spans="1:11">
      <c r="A91" s="33" t="s">
        <v>158</v>
      </c>
      <c r="B91" s="33" t="s">
        <v>45</v>
      </c>
      <c r="C91" s="33" t="s">
        <v>733</v>
      </c>
      <c r="D91" s="33" t="s">
        <v>99</v>
      </c>
      <c r="E91" s="33" t="s">
        <v>28</v>
      </c>
      <c r="F91" s="33">
        <v>2</v>
      </c>
      <c r="G91" s="33" t="s">
        <v>606</v>
      </c>
      <c r="H91">
        <v>1</v>
      </c>
      <c r="I91" s="33" t="s">
        <v>732</v>
      </c>
      <c r="J91" s="33" t="str">
        <f t="shared" si="3"/>
        <v>2014-16Highland</v>
      </c>
      <c r="K91" s="33">
        <v>63.07</v>
      </c>
    </row>
    <row r="92" spans="1:11">
      <c r="A92" s="33" t="s">
        <v>158</v>
      </c>
      <c r="B92" s="33" t="s">
        <v>45</v>
      </c>
      <c r="C92" s="33" t="s">
        <v>733</v>
      </c>
      <c r="D92" s="33" t="s">
        <v>98</v>
      </c>
      <c r="E92" s="33" t="s">
        <v>29</v>
      </c>
      <c r="F92" s="33">
        <v>2</v>
      </c>
      <c r="G92" s="33" t="s">
        <v>606</v>
      </c>
      <c r="H92">
        <v>1</v>
      </c>
      <c r="I92" s="33" t="s">
        <v>732</v>
      </c>
      <c r="J92" s="33" t="str">
        <f t="shared" si="3"/>
        <v>2014-16Inverclyde</v>
      </c>
      <c r="K92" s="33">
        <v>60.62</v>
      </c>
    </row>
    <row r="93" spans="1:11">
      <c r="A93" s="33" t="s">
        <v>158</v>
      </c>
      <c r="B93" s="33" t="s">
        <v>45</v>
      </c>
      <c r="C93" s="33" t="s">
        <v>733</v>
      </c>
      <c r="D93" s="33" t="s">
        <v>97</v>
      </c>
      <c r="E93" s="33" t="s">
        <v>30</v>
      </c>
      <c r="F93" s="33">
        <v>2</v>
      </c>
      <c r="G93" s="33" t="s">
        <v>606</v>
      </c>
      <c r="H93">
        <v>1</v>
      </c>
      <c r="I93" s="33" t="s">
        <v>732</v>
      </c>
      <c r="J93" s="33" t="str">
        <f t="shared" si="3"/>
        <v>2014-16Midlothian</v>
      </c>
      <c r="K93" s="33">
        <v>63.44</v>
      </c>
    </row>
    <row r="94" spans="1:11">
      <c r="A94" s="33" t="s">
        <v>158</v>
      </c>
      <c r="B94" s="33" t="s">
        <v>45</v>
      </c>
      <c r="C94" s="33" t="s">
        <v>733</v>
      </c>
      <c r="D94" s="33" t="s">
        <v>96</v>
      </c>
      <c r="E94" s="33" t="s">
        <v>31</v>
      </c>
      <c r="F94" s="33">
        <v>2</v>
      </c>
      <c r="G94" s="33" t="s">
        <v>606</v>
      </c>
      <c r="H94">
        <v>1</v>
      </c>
      <c r="I94" s="33" t="s">
        <v>732</v>
      </c>
      <c r="J94" s="33" t="str">
        <f t="shared" si="3"/>
        <v>2014-16Moray</v>
      </c>
      <c r="K94" s="33">
        <v>66.010000000000005</v>
      </c>
    </row>
    <row r="95" spans="1:11">
      <c r="A95" s="33" t="s">
        <v>158</v>
      </c>
      <c r="B95" s="33" t="s">
        <v>45</v>
      </c>
      <c r="C95" s="33" t="s">
        <v>733</v>
      </c>
      <c r="D95" s="33" t="s">
        <v>94</v>
      </c>
      <c r="E95" s="33" t="s">
        <v>33</v>
      </c>
      <c r="F95" s="33">
        <v>2</v>
      </c>
      <c r="G95" s="33" t="s">
        <v>606</v>
      </c>
      <c r="H95">
        <v>1</v>
      </c>
      <c r="I95" s="33" t="s">
        <v>732</v>
      </c>
      <c r="J95" s="33" t="str">
        <f t="shared" si="3"/>
        <v>2014-16North Ayrshire</v>
      </c>
      <c r="K95" s="33">
        <v>56.88</v>
      </c>
    </row>
    <row r="96" spans="1:11">
      <c r="A96" s="33" t="s">
        <v>158</v>
      </c>
      <c r="B96" s="33" t="s">
        <v>45</v>
      </c>
      <c r="C96" s="33" t="s">
        <v>733</v>
      </c>
      <c r="D96" s="33" t="s">
        <v>92</v>
      </c>
      <c r="E96" s="33" t="s">
        <v>35</v>
      </c>
      <c r="F96" s="33">
        <v>2</v>
      </c>
      <c r="G96" s="33" t="s">
        <v>606</v>
      </c>
      <c r="H96">
        <v>1</v>
      </c>
      <c r="I96" s="33" t="s">
        <v>732</v>
      </c>
      <c r="J96" s="33" t="str">
        <f t="shared" si="3"/>
        <v>2014-16Orkney Islands</v>
      </c>
      <c r="K96" s="33">
        <v>72.91</v>
      </c>
    </row>
    <row r="97" spans="1:11">
      <c r="A97" s="33" t="s">
        <v>158</v>
      </c>
      <c r="B97" s="33" t="s">
        <v>45</v>
      </c>
      <c r="C97" s="33" t="s">
        <v>733</v>
      </c>
      <c r="D97" s="33" t="s">
        <v>89</v>
      </c>
      <c r="E97" s="33" t="s">
        <v>38</v>
      </c>
      <c r="F97" s="33">
        <v>2</v>
      </c>
      <c r="G97" s="33" t="s">
        <v>606</v>
      </c>
      <c r="H97">
        <v>1</v>
      </c>
      <c r="I97" s="33" t="s">
        <v>732</v>
      </c>
      <c r="J97" s="33" t="str">
        <f t="shared" si="3"/>
        <v>2014-16Scottish Borders</v>
      </c>
      <c r="K97" s="33">
        <v>67.38</v>
      </c>
    </row>
    <row r="98" spans="1:11">
      <c r="A98" s="33" t="s">
        <v>158</v>
      </c>
      <c r="B98" s="33" t="s">
        <v>45</v>
      </c>
      <c r="C98" s="33" t="s">
        <v>733</v>
      </c>
      <c r="D98" s="33" t="s">
        <v>88</v>
      </c>
      <c r="E98" s="33" t="s">
        <v>39</v>
      </c>
      <c r="F98" s="33">
        <v>2</v>
      </c>
      <c r="G98" s="33" t="s">
        <v>606</v>
      </c>
      <c r="H98">
        <v>1</v>
      </c>
      <c r="I98" s="33" t="s">
        <v>732</v>
      </c>
      <c r="J98" s="33" t="str">
        <f t="shared" si="3"/>
        <v>2014-16Shetland Islands</v>
      </c>
      <c r="K98" s="33">
        <v>70.48</v>
      </c>
    </row>
    <row r="99" spans="1:11">
      <c r="A99" s="33" t="s">
        <v>158</v>
      </c>
      <c r="B99" s="33" t="s">
        <v>45</v>
      </c>
      <c r="C99" s="33" t="s">
        <v>733</v>
      </c>
      <c r="D99" s="33" t="s">
        <v>87</v>
      </c>
      <c r="E99" s="33" t="s">
        <v>40</v>
      </c>
      <c r="F99" s="33">
        <v>2</v>
      </c>
      <c r="G99" s="33" t="s">
        <v>606</v>
      </c>
      <c r="H99">
        <v>1</v>
      </c>
      <c r="I99" s="33" t="s">
        <v>732</v>
      </c>
      <c r="J99" s="33" t="str">
        <f t="shared" si="3"/>
        <v>2014-16South Ayrshire</v>
      </c>
      <c r="K99" s="33">
        <v>61.31</v>
      </c>
    </row>
    <row r="100" spans="1:11">
      <c r="A100" s="33" t="s">
        <v>158</v>
      </c>
      <c r="B100" s="33" t="s">
        <v>45</v>
      </c>
      <c r="C100" s="33" t="s">
        <v>733</v>
      </c>
      <c r="D100" s="33" t="s">
        <v>86</v>
      </c>
      <c r="E100" s="33" t="s">
        <v>41</v>
      </c>
      <c r="F100" s="33">
        <v>2</v>
      </c>
      <c r="G100" s="33" t="s">
        <v>606</v>
      </c>
      <c r="H100">
        <v>1</v>
      </c>
      <c r="I100" s="33" t="s">
        <v>732</v>
      </c>
      <c r="J100" s="33" t="str">
        <f t="shared" si="3"/>
        <v>2014-16South Lanarkshire</v>
      </c>
      <c r="K100" s="33">
        <v>63.16</v>
      </c>
    </row>
    <row r="101" spans="1:11">
      <c r="A101" s="33" t="s">
        <v>158</v>
      </c>
      <c r="B101" s="33" t="s">
        <v>45</v>
      </c>
      <c r="C101" s="33" t="s">
        <v>733</v>
      </c>
      <c r="D101" s="33" t="s">
        <v>85</v>
      </c>
      <c r="E101" s="33" t="s">
        <v>42</v>
      </c>
      <c r="F101" s="33">
        <v>2</v>
      </c>
      <c r="G101" s="33" t="s">
        <v>606</v>
      </c>
      <c r="H101">
        <v>1</v>
      </c>
      <c r="I101" s="33" t="s">
        <v>732</v>
      </c>
      <c r="J101" s="33" t="str">
        <f t="shared" si="3"/>
        <v>2014-16Stirling</v>
      </c>
      <c r="K101" s="33">
        <v>65.02</v>
      </c>
    </row>
    <row r="102" spans="1:11">
      <c r="A102" s="33" t="s">
        <v>158</v>
      </c>
      <c r="B102" s="33" t="s">
        <v>45</v>
      </c>
      <c r="C102" s="33" t="s">
        <v>733</v>
      </c>
      <c r="D102" s="33" t="s">
        <v>114</v>
      </c>
      <c r="E102" s="33" t="s">
        <v>14</v>
      </c>
      <c r="F102" s="33">
        <v>2</v>
      </c>
      <c r="G102" s="33" t="s">
        <v>606</v>
      </c>
      <c r="H102">
        <v>1</v>
      </c>
      <c r="I102" s="33" t="s">
        <v>732</v>
      </c>
      <c r="J102" s="33" t="str">
        <f t="shared" si="3"/>
        <v>2014-16Aberdeen City</v>
      </c>
      <c r="K102" s="33">
        <v>66.33</v>
      </c>
    </row>
    <row r="103" spans="1:11">
      <c r="A103" s="33" t="s">
        <v>158</v>
      </c>
      <c r="B103" s="33" t="s">
        <v>45</v>
      </c>
      <c r="C103" s="33" t="s">
        <v>733</v>
      </c>
      <c r="D103" s="33" t="s">
        <v>113</v>
      </c>
      <c r="E103" s="33" t="s">
        <v>15</v>
      </c>
      <c r="F103" s="33">
        <v>2</v>
      </c>
      <c r="G103" s="33" t="s">
        <v>606</v>
      </c>
      <c r="H103">
        <v>1</v>
      </c>
      <c r="I103" s="33" t="s">
        <v>732</v>
      </c>
      <c r="J103" s="33" t="str">
        <f t="shared" si="3"/>
        <v>2014-16Aberdeenshire</v>
      </c>
      <c r="K103" s="33">
        <v>68.09</v>
      </c>
    </row>
    <row r="104" spans="1:11">
      <c r="A104" s="33" t="s">
        <v>158</v>
      </c>
      <c r="B104" s="33" t="s">
        <v>45</v>
      </c>
      <c r="C104" s="33" t="s">
        <v>733</v>
      </c>
      <c r="D104" s="33" t="s">
        <v>111</v>
      </c>
      <c r="E104" s="33" t="s">
        <v>17</v>
      </c>
      <c r="F104" s="33">
        <v>2</v>
      </c>
      <c r="G104" s="33" t="s">
        <v>606</v>
      </c>
      <c r="H104">
        <v>1</v>
      </c>
      <c r="I104" s="33" t="s">
        <v>732</v>
      </c>
      <c r="J104" s="33" t="str">
        <f t="shared" si="3"/>
        <v>2014-16Argyll and Bute</v>
      </c>
      <c r="K104" s="33">
        <v>64.459999999999994</v>
      </c>
    </row>
    <row r="105" spans="1:11">
      <c r="A105" s="33" t="s">
        <v>158</v>
      </c>
      <c r="B105" s="33" t="s">
        <v>45</v>
      </c>
      <c r="C105" s="33" t="s">
        <v>733</v>
      </c>
      <c r="D105" s="33" t="s">
        <v>110</v>
      </c>
      <c r="E105" s="33" t="s">
        <v>586</v>
      </c>
      <c r="F105" s="33">
        <v>2</v>
      </c>
      <c r="G105" s="33" t="s">
        <v>606</v>
      </c>
      <c r="H105">
        <v>1</v>
      </c>
      <c r="I105" s="33" t="s">
        <v>732</v>
      </c>
      <c r="J105" s="33" t="str">
        <f t="shared" si="3"/>
        <v>2014-16City of Edinburgh</v>
      </c>
      <c r="K105" s="33">
        <v>66.44</v>
      </c>
    </row>
    <row r="106" spans="1:11">
      <c r="A106" s="33" t="s">
        <v>158</v>
      </c>
      <c r="B106" s="33" t="s">
        <v>45</v>
      </c>
      <c r="C106" s="33" t="s">
        <v>733</v>
      </c>
      <c r="D106" s="33" t="s">
        <v>90</v>
      </c>
      <c r="E106" s="33" t="s">
        <v>37</v>
      </c>
      <c r="F106" s="33">
        <v>2</v>
      </c>
      <c r="G106" s="33" t="s">
        <v>606</v>
      </c>
      <c r="H106">
        <v>1</v>
      </c>
      <c r="I106" s="33" t="s">
        <v>732</v>
      </c>
      <c r="J106" s="33" t="str">
        <f t="shared" si="3"/>
        <v>2014-16Renfrewshire</v>
      </c>
      <c r="K106" s="33">
        <v>59.47</v>
      </c>
    </row>
    <row r="107" spans="1:11">
      <c r="A107" s="33" t="s">
        <v>158</v>
      </c>
      <c r="B107" s="33" t="s">
        <v>45</v>
      </c>
      <c r="C107" s="33" t="s">
        <v>733</v>
      </c>
      <c r="D107" s="33" t="s">
        <v>84</v>
      </c>
      <c r="E107" s="33" t="s">
        <v>43</v>
      </c>
      <c r="F107" s="33">
        <v>2</v>
      </c>
      <c r="G107" s="33" t="s">
        <v>606</v>
      </c>
      <c r="H107">
        <v>1</v>
      </c>
      <c r="I107" s="33" t="s">
        <v>732</v>
      </c>
      <c r="J107" s="33" t="str">
        <f t="shared" si="3"/>
        <v>2014-16West Dunbartonshire</v>
      </c>
      <c r="K107" s="33">
        <v>57.89</v>
      </c>
    </row>
    <row r="108" spans="1:11">
      <c r="A108" s="33" t="s">
        <v>158</v>
      </c>
      <c r="B108" s="33" t="s">
        <v>45</v>
      </c>
      <c r="C108" s="33" t="s">
        <v>733</v>
      </c>
      <c r="D108" s="33" t="s">
        <v>83</v>
      </c>
      <c r="E108" s="33" t="s">
        <v>44</v>
      </c>
      <c r="F108" s="33">
        <v>2</v>
      </c>
      <c r="G108" s="33" t="s">
        <v>606</v>
      </c>
      <c r="H108">
        <v>1</v>
      </c>
      <c r="I108" s="33" t="s">
        <v>732</v>
      </c>
      <c r="J108" s="33" t="str">
        <f t="shared" si="3"/>
        <v>2014-16West Lothian</v>
      </c>
      <c r="K108" s="33">
        <v>61.34</v>
      </c>
    </row>
    <row r="109" spans="1:11">
      <c r="A109" s="33" t="s">
        <v>158</v>
      </c>
      <c r="B109" s="33" t="s">
        <v>45</v>
      </c>
      <c r="C109" s="33" t="s">
        <v>733</v>
      </c>
      <c r="D109" s="33" t="s">
        <v>112</v>
      </c>
      <c r="E109" s="33" t="s">
        <v>16</v>
      </c>
      <c r="F109" s="33">
        <v>2</v>
      </c>
      <c r="G109" s="33" t="s">
        <v>606</v>
      </c>
      <c r="H109">
        <v>1</v>
      </c>
      <c r="I109" s="33" t="s">
        <v>732</v>
      </c>
      <c r="J109" s="33" t="str">
        <f t="shared" si="3"/>
        <v>2014-16Angus</v>
      </c>
      <c r="K109" s="33">
        <v>64.37</v>
      </c>
    </row>
    <row r="110" spans="1:11">
      <c r="A110" s="33" t="s">
        <v>158</v>
      </c>
      <c r="B110" s="33" t="s">
        <v>45</v>
      </c>
      <c r="C110" s="33" t="s">
        <v>733</v>
      </c>
      <c r="D110" s="33" t="s">
        <v>107</v>
      </c>
      <c r="E110" s="33" t="s">
        <v>20</v>
      </c>
      <c r="F110" s="33">
        <v>2</v>
      </c>
      <c r="G110" s="33" t="s">
        <v>606</v>
      </c>
      <c r="H110">
        <v>1</v>
      </c>
      <c r="I110" s="33" t="s">
        <v>732</v>
      </c>
      <c r="J110" s="33" t="str">
        <f t="shared" ref="J110:J173" si="4">CONCATENATE(A110,E110)</f>
        <v>2014-16Dundee City</v>
      </c>
      <c r="K110" s="33">
        <v>61.46</v>
      </c>
    </row>
    <row r="111" spans="1:11">
      <c r="A111" s="33" t="s">
        <v>158</v>
      </c>
      <c r="B111" s="33" t="s">
        <v>45</v>
      </c>
      <c r="C111" s="33" t="s">
        <v>733</v>
      </c>
      <c r="D111" s="33" t="s">
        <v>105</v>
      </c>
      <c r="E111" s="33" t="s">
        <v>22</v>
      </c>
      <c r="F111" s="33">
        <v>2</v>
      </c>
      <c r="G111" s="33" t="s">
        <v>606</v>
      </c>
      <c r="H111">
        <v>1</v>
      </c>
      <c r="I111" s="33" t="s">
        <v>732</v>
      </c>
      <c r="J111" s="33" t="str">
        <f t="shared" si="4"/>
        <v>2014-16East Dunbartonshire</v>
      </c>
      <c r="K111" s="33">
        <v>69.55</v>
      </c>
    </row>
    <row r="112" spans="1:11">
      <c r="A112" s="33" t="s">
        <v>158</v>
      </c>
      <c r="B112" s="33" t="s">
        <v>45</v>
      </c>
      <c r="C112" s="33" t="s">
        <v>733</v>
      </c>
      <c r="D112" s="33" t="s">
        <v>101</v>
      </c>
      <c r="E112" s="33" t="s">
        <v>26</v>
      </c>
      <c r="F112" s="33">
        <v>2</v>
      </c>
      <c r="G112" s="33" t="s">
        <v>606</v>
      </c>
      <c r="H112">
        <v>1</v>
      </c>
      <c r="I112" s="33" t="s">
        <v>732</v>
      </c>
      <c r="J112" s="33" t="str">
        <f t="shared" si="4"/>
        <v>2014-16Fife</v>
      </c>
      <c r="K112" s="33">
        <v>62.47</v>
      </c>
    </row>
    <row r="113" spans="1:11">
      <c r="A113" s="33" t="s">
        <v>158</v>
      </c>
      <c r="B113" s="33" t="s">
        <v>45</v>
      </c>
      <c r="C113" s="33" t="s">
        <v>733</v>
      </c>
      <c r="D113" s="33" t="s">
        <v>91</v>
      </c>
      <c r="E113" s="33" t="s">
        <v>36</v>
      </c>
      <c r="F113" s="33">
        <v>2</v>
      </c>
      <c r="G113" s="33" t="s">
        <v>606</v>
      </c>
      <c r="H113">
        <v>1</v>
      </c>
      <c r="I113" s="33" t="s">
        <v>732</v>
      </c>
      <c r="J113" s="33" t="str">
        <f t="shared" si="4"/>
        <v>2014-16Perth and Kinross</v>
      </c>
      <c r="K113" s="33">
        <v>69.73</v>
      </c>
    </row>
    <row r="114" spans="1:11">
      <c r="A114" s="33" t="s">
        <v>158</v>
      </c>
      <c r="B114" s="33" t="s">
        <v>45</v>
      </c>
      <c r="C114" s="33" t="s">
        <v>733</v>
      </c>
      <c r="D114" s="33" t="s">
        <v>163</v>
      </c>
      <c r="E114" s="33" t="s">
        <v>27</v>
      </c>
      <c r="F114" s="33">
        <v>2</v>
      </c>
      <c r="G114" s="33" t="s">
        <v>606</v>
      </c>
      <c r="H114">
        <v>1</v>
      </c>
      <c r="I114" s="33" t="s">
        <v>732</v>
      </c>
      <c r="J114" s="33" t="str">
        <f t="shared" si="4"/>
        <v>2014-16Glasgow City</v>
      </c>
      <c r="K114" s="33">
        <v>59.13</v>
      </c>
    </row>
    <row r="115" spans="1:11">
      <c r="A115" s="33" t="s">
        <v>158</v>
      </c>
      <c r="B115" s="33" t="s">
        <v>45</v>
      </c>
      <c r="C115" s="33" t="s">
        <v>733</v>
      </c>
      <c r="D115" s="33" t="s">
        <v>162</v>
      </c>
      <c r="E115" s="33" t="s">
        <v>34</v>
      </c>
      <c r="F115" s="33">
        <v>2</v>
      </c>
      <c r="G115" s="33" t="s">
        <v>606</v>
      </c>
      <c r="H115">
        <v>1</v>
      </c>
      <c r="I115" s="33" t="s">
        <v>732</v>
      </c>
      <c r="J115" s="33" t="str">
        <f t="shared" si="4"/>
        <v>2014-16North Lanarkshire</v>
      </c>
      <c r="K115" s="33">
        <v>59.61</v>
      </c>
    </row>
    <row r="116" spans="1:11">
      <c r="A116" s="33" t="s">
        <v>158</v>
      </c>
      <c r="B116" s="33" t="s">
        <v>45</v>
      </c>
      <c r="C116" s="33" t="s">
        <v>725</v>
      </c>
      <c r="D116" s="33" t="s">
        <v>488</v>
      </c>
      <c r="E116" s="33" t="s">
        <v>45</v>
      </c>
      <c r="F116" s="33">
        <v>2</v>
      </c>
      <c r="G116" s="33" t="s">
        <v>606</v>
      </c>
      <c r="H116">
        <v>1</v>
      </c>
      <c r="I116" s="33" t="s">
        <v>732</v>
      </c>
      <c r="J116" s="33" t="str">
        <f t="shared" si="4"/>
        <v>2014-16Scotland</v>
      </c>
      <c r="K116" s="33">
        <v>63.31</v>
      </c>
    </row>
    <row r="117" spans="1:11">
      <c r="A117" s="33" t="s">
        <v>157</v>
      </c>
      <c r="B117" s="33" t="s">
        <v>46</v>
      </c>
      <c r="C117" s="33" t="s">
        <v>725</v>
      </c>
      <c r="D117" s="33" t="s">
        <v>608</v>
      </c>
      <c r="E117" s="33" t="s">
        <v>46</v>
      </c>
      <c r="F117" s="33">
        <v>2</v>
      </c>
      <c r="G117" s="33" t="s">
        <v>606</v>
      </c>
      <c r="H117">
        <v>1</v>
      </c>
      <c r="I117" s="33" t="s">
        <v>732</v>
      </c>
      <c r="J117" s="33" t="str">
        <f t="shared" si="4"/>
        <v>2015-17United Kingdom</v>
      </c>
      <c r="K117" s="33">
        <v>63.57</v>
      </c>
    </row>
    <row r="118" spans="1:11">
      <c r="A118" s="33" t="s">
        <v>157</v>
      </c>
      <c r="B118" s="33" t="s">
        <v>45</v>
      </c>
      <c r="C118" s="33" t="s">
        <v>733</v>
      </c>
      <c r="D118" s="33" t="s">
        <v>109</v>
      </c>
      <c r="E118" s="33" t="s">
        <v>18</v>
      </c>
      <c r="F118" s="33">
        <v>2</v>
      </c>
      <c r="G118" s="33" t="s">
        <v>606</v>
      </c>
      <c r="H118">
        <v>1</v>
      </c>
      <c r="I118" s="33" t="s">
        <v>732</v>
      </c>
      <c r="J118" s="33" t="str">
        <f t="shared" si="4"/>
        <v>2015-17Clackmannanshire</v>
      </c>
      <c r="K118" s="33">
        <v>60.18</v>
      </c>
    </row>
    <row r="119" spans="1:11">
      <c r="A119" s="33" t="s">
        <v>157</v>
      </c>
      <c r="B119" s="33" t="s">
        <v>45</v>
      </c>
      <c r="C119" s="33" t="s">
        <v>733</v>
      </c>
      <c r="D119" s="33" t="s">
        <v>108</v>
      </c>
      <c r="E119" s="33" t="s">
        <v>19</v>
      </c>
      <c r="F119" s="33">
        <v>2</v>
      </c>
      <c r="G119" s="33" t="s">
        <v>606</v>
      </c>
      <c r="H119">
        <v>1</v>
      </c>
      <c r="I119" s="33" t="s">
        <v>732</v>
      </c>
      <c r="J119" s="33" t="str">
        <f t="shared" si="4"/>
        <v>2015-17Dumfries and Galloway</v>
      </c>
      <c r="K119" s="33">
        <v>63.76</v>
      </c>
    </row>
    <row r="120" spans="1:11">
      <c r="A120" s="33" t="s">
        <v>157</v>
      </c>
      <c r="B120" s="33" t="s">
        <v>45</v>
      </c>
      <c r="C120" s="33" t="s">
        <v>733</v>
      </c>
      <c r="D120" s="33" t="s">
        <v>106</v>
      </c>
      <c r="E120" s="33" t="s">
        <v>21</v>
      </c>
      <c r="F120" s="33">
        <v>2</v>
      </c>
      <c r="G120" s="33" t="s">
        <v>606</v>
      </c>
      <c r="H120">
        <v>1</v>
      </c>
      <c r="I120" s="33" t="s">
        <v>732</v>
      </c>
      <c r="J120" s="33" t="str">
        <f t="shared" si="4"/>
        <v>2015-17East Ayrshire</v>
      </c>
      <c r="K120" s="33">
        <v>58.3</v>
      </c>
    </row>
    <row r="121" spans="1:11">
      <c r="A121" s="33" t="s">
        <v>157</v>
      </c>
      <c r="B121" s="33" t="s">
        <v>45</v>
      </c>
      <c r="C121" s="33" t="s">
        <v>733</v>
      </c>
      <c r="D121" s="33" t="s">
        <v>104</v>
      </c>
      <c r="E121" s="33" t="s">
        <v>23</v>
      </c>
      <c r="F121" s="33">
        <v>2</v>
      </c>
      <c r="G121" s="33" t="s">
        <v>606</v>
      </c>
      <c r="H121">
        <v>1</v>
      </c>
      <c r="I121" s="33" t="s">
        <v>732</v>
      </c>
      <c r="J121" s="33" t="str">
        <f t="shared" si="4"/>
        <v>2015-17East Lothian</v>
      </c>
      <c r="K121" s="33">
        <v>63.91</v>
      </c>
    </row>
    <row r="122" spans="1:11">
      <c r="A122" s="33" t="s">
        <v>157</v>
      </c>
      <c r="B122" s="33" t="s">
        <v>45</v>
      </c>
      <c r="C122" s="33" t="s">
        <v>733</v>
      </c>
      <c r="D122" s="33" t="s">
        <v>103</v>
      </c>
      <c r="E122" s="33" t="s">
        <v>24</v>
      </c>
      <c r="F122" s="33">
        <v>2</v>
      </c>
      <c r="G122" s="33" t="s">
        <v>606</v>
      </c>
      <c r="H122">
        <v>1</v>
      </c>
      <c r="I122" s="33" t="s">
        <v>732</v>
      </c>
      <c r="J122" s="33" t="str">
        <f t="shared" si="4"/>
        <v>2015-17East Renfrewshire</v>
      </c>
      <c r="K122" s="33">
        <v>65.53</v>
      </c>
    </row>
    <row r="123" spans="1:11">
      <c r="A123" s="33" t="s">
        <v>157</v>
      </c>
      <c r="B123" s="33" t="s">
        <v>45</v>
      </c>
      <c r="C123" s="33" t="s">
        <v>733</v>
      </c>
      <c r="D123" s="33" t="s">
        <v>95</v>
      </c>
      <c r="E123" s="33" t="s">
        <v>32</v>
      </c>
      <c r="F123" s="33">
        <v>2</v>
      </c>
      <c r="G123" s="33" t="s">
        <v>606</v>
      </c>
      <c r="H123">
        <v>1</v>
      </c>
      <c r="I123" s="33" t="s">
        <v>732</v>
      </c>
      <c r="J123" s="33" t="str">
        <f t="shared" si="4"/>
        <v>2015-17Na h-Eileanan Siar</v>
      </c>
      <c r="K123" s="33">
        <v>67.22</v>
      </c>
    </row>
    <row r="124" spans="1:11">
      <c r="A124" s="33" t="s">
        <v>157</v>
      </c>
      <c r="B124" s="33" t="s">
        <v>45</v>
      </c>
      <c r="C124" s="33" t="s">
        <v>733</v>
      </c>
      <c r="D124" s="33" t="s">
        <v>102</v>
      </c>
      <c r="E124" s="33" t="s">
        <v>25</v>
      </c>
      <c r="F124" s="33">
        <v>2</v>
      </c>
      <c r="G124" s="33" t="s">
        <v>606</v>
      </c>
      <c r="H124">
        <v>1</v>
      </c>
      <c r="I124" s="33" t="s">
        <v>732</v>
      </c>
      <c r="J124" s="33" t="str">
        <f t="shared" si="4"/>
        <v>2015-17Falkirk</v>
      </c>
      <c r="K124" s="33">
        <v>60.93</v>
      </c>
    </row>
    <row r="125" spans="1:11">
      <c r="A125" s="33" t="s">
        <v>157</v>
      </c>
      <c r="B125" s="33" t="s">
        <v>45</v>
      </c>
      <c r="C125" s="33" t="s">
        <v>733</v>
      </c>
      <c r="D125" s="33" t="s">
        <v>99</v>
      </c>
      <c r="E125" s="33" t="s">
        <v>28</v>
      </c>
      <c r="F125" s="33">
        <v>2</v>
      </c>
      <c r="G125" s="33" t="s">
        <v>606</v>
      </c>
      <c r="H125">
        <v>1</v>
      </c>
      <c r="I125" s="33" t="s">
        <v>732</v>
      </c>
      <c r="J125" s="33" t="str">
        <f t="shared" si="4"/>
        <v>2015-17Highland</v>
      </c>
      <c r="K125" s="33">
        <v>63.58</v>
      </c>
    </row>
    <row r="126" spans="1:11">
      <c r="A126" s="33" t="s">
        <v>157</v>
      </c>
      <c r="B126" s="33" t="s">
        <v>45</v>
      </c>
      <c r="C126" s="33" t="s">
        <v>733</v>
      </c>
      <c r="D126" s="33" t="s">
        <v>98</v>
      </c>
      <c r="E126" s="33" t="s">
        <v>29</v>
      </c>
      <c r="F126" s="33">
        <v>2</v>
      </c>
      <c r="G126" s="33" t="s">
        <v>606</v>
      </c>
      <c r="H126">
        <v>1</v>
      </c>
      <c r="I126" s="33" t="s">
        <v>732</v>
      </c>
      <c r="J126" s="33" t="str">
        <f t="shared" si="4"/>
        <v>2015-17Inverclyde</v>
      </c>
      <c r="K126" s="33">
        <v>59.47</v>
      </c>
    </row>
    <row r="127" spans="1:11">
      <c r="A127" s="33" t="s">
        <v>157</v>
      </c>
      <c r="B127" s="33" t="s">
        <v>45</v>
      </c>
      <c r="C127" s="33" t="s">
        <v>733</v>
      </c>
      <c r="D127" s="33" t="s">
        <v>97</v>
      </c>
      <c r="E127" s="33" t="s">
        <v>30</v>
      </c>
      <c r="F127" s="33">
        <v>2</v>
      </c>
      <c r="G127" s="33" t="s">
        <v>606</v>
      </c>
      <c r="H127">
        <v>1</v>
      </c>
      <c r="I127" s="33" t="s">
        <v>732</v>
      </c>
      <c r="J127" s="33" t="str">
        <f t="shared" si="4"/>
        <v>2015-17Midlothian</v>
      </c>
      <c r="K127" s="33">
        <v>63.78</v>
      </c>
    </row>
    <row r="128" spans="1:11">
      <c r="A128" s="33" t="s">
        <v>157</v>
      </c>
      <c r="B128" s="33" t="s">
        <v>45</v>
      </c>
      <c r="C128" s="33" t="s">
        <v>733</v>
      </c>
      <c r="D128" s="33" t="s">
        <v>96</v>
      </c>
      <c r="E128" s="33" t="s">
        <v>31</v>
      </c>
      <c r="F128" s="33">
        <v>2</v>
      </c>
      <c r="G128" s="33" t="s">
        <v>606</v>
      </c>
      <c r="H128">
        <v>1</v>
      </c>
      <c r="I128" s="33" t="s">
        <v>732</v>
      </c>
      <c r="J128" s="33" t="str">
        <f t="shared" si="4"/>
        <v>2015-17Moray</v>
      </c>
      <c r="K128" s="33">
        <v>64.16</v>
      </c>
    </row>
    <row r="129" spans="1:11">
      <c r="A129" s="33" t="s">
        <v>157</v>
      </c>
      <c r="B129" s="33" t="s">
        <v>45</v>
      </c>
      <c r="C129" s="33" t="s">
        <v>733</v>
      </c>
      <c r="D129" s="33" t="s">
        <v>94</v>
      </c>
      <c r="E129" s="33" t="s">
        <v>33</v>
      </c>
      <c r="F129" s="33">
        <v>2</v>
      </c>
      <c r="G129" s="33" t="s">
        <v>606</v>
      </c>
      <c r="H129">
        <v>1</v>
      </c>
      <c r="I129" s="33" t="s">
        <v>732</v>
      </c>
      <c r="J129" s="33" t="str">
        <f t="shared" si="4"/>
        <v>2015-17North Ayrshire</v>
      </c>
      <c r="K129" s="33">
        <v>57.13</v>
      </c>
    </row>
    <row r="130" spans="1:11">
      <c r="A130" s="33" t="s">
        <v>157</v>
      </c>
      <c r="B130" s="33" t="s">
        <v>45</v>
      </c>
      <c r="C130" s="33" t="s">
        <v>733</v>
      </c>
      <c r="D130" s="33" t="s">
        <v>92</v>
      </c>
      <c r="E130" s="33" t="s">
        <v>35</v>
      </c>
      <c r="F130" s="33">
        <v>2</v>
      </c>
      <c r="G130" s="33" t="s">
        <v>606</v>
      </c>
      <c r="H130">
        <v>1</v>
      </c>
      <c r="I130" s="33" t="s">
        <v>732</v>
      </c>
      <c r="J130" s="33" t="str">
        <f t="shared" si="4"/>
        <v>2015-17Orkney Islands</v>
      </c>
      <c r="K130" s="33">
        <v>75.010000000000005</v>
      </c>
    </row>
    <row r="131" spans="1:11">
      <c r="A131" s="33" t="s">
        <v>157</v>
      </c>
      <c r="B131" s="33" t="s">
        <v>45</v>
      </c>
      <c r="C131" s="33" t="s">
        <v>733</v>
      </c>
      <c r="D131" s="33" t="s">
        <v>89</v>
      </c>
      <c r="E131" s="33" t="s">
        <v>38</v>
      </c>
      <c r="F131" s="33">
        <v>2</v>
      </c>
      <c r="G131" s="33" t="s">
        <v>606</v>
      </c>
      <c r="H131">
        <v>1</v>
      </c>
      <c r="I131" s="33" t="s">
        <v>732</v>
      </c>
      <c r="J131" s="33" t="str">
        <f t="shared" si="4"/>
        <v>2015-17Scottish Borders</v>
      </c>
      <c r="K131" s="33">
        <v>65.349999999999994</v>
      </c>
    </row>
    <row r="132" spans="1:11">
      <c r="A132" s="33" t="s">
        <v>157</v>
      </c>
      <c r="B132" s="33" t="s">
        <v>45</v>
      </c>
      <c r="C132" s="33" t="s">
        <v>733</v>
      </c>
      <c r="D132" s="33" t="s">
        <v>88</v>
      </c>
      <c r="E132" s="33" t="s">
        <v>39</v>
      </c>
      <c r="F132" s="33">
        <v>2</v>
      </c>
      <c r="G132" s="33" t="s">
        <v>606</v>
      </c>
      <c r="H132">
        <v>1</v>
      </c>
      <c r="I132" s="33" t="s">
        <v>732</v>
      </c>
      <c r="J132" s="33" t="str">
        <f t="shared" si="4"/>
        <v>2015-17Shetland Islands</v>
      </c>
      <c r="K132" s="33">
        <v>67.11</v>
      </c>
    </row>
    <row r="133" spans="1:11">
      <c r="A133" s="33" t="s">
        <v>157</v>
      </c>
      <c r="B133" s="33" t="s">
        <v>45</v>
      </c>
      <c r="C133" s="33" t="s">
        <v>733</v>
      </c>
      <c r="D133" s="33" t="s">
        <v>87</v>
      </c>
      <c r="E133" s="33" t="s">
        <v>40</v>
      </c>
      <c r="F133" s="33">
        <v>2</v>
      </c>
      <c r="G133" s="33" t="s">
        <v>606</v>
      </c>
      <c r="H133">
        <v>1</v>
      </c>
      <c r="I133" s="33" t="s">
        <v>732</v>
      </c>
      <c r="J133" s="33" t="str">
        <f t="shared" si="4"/>
        <v>2015-17South Ayrshire</v>
      </c>
      <c r="K133" s="33">
        <v>63.54</v>
      </c>
    </row>
    <row r="134" spans="1:11">
      <c r="A134" s="33" t="s">
        <v>157</v>
      </c>
      <c r="B134" s="33" t="s">
        <v>45</v>
      </c>
      <c r="C134" s="33" t="s">
        <v>733</v>
      </c>
      <c r="D134" s="33" t="s">
        <v>86</v>
      </c>
      <c r="E134" s="33" t="s">
        <v>41</v>
      </c>
      <c r="F134" s="33">
        <v>2</v>
      </c>
      <c r="G134" s="33" t="s">
        <v>606</v>
      </c>
      <c r="H134">
        <v>1</v>
      </c>
      <c r="I134" s="33" t="s">
        <v>732</v>
      </c>
      <c r="J134" s="33" t="str">
        <f t="shared" si="4"/>
        <v>2015-17South Lanarkshire</v>
      </c>
      <c r="K134" s="33">
        <v>62.98</v>
      </c>
    </row>
    <row r="135" spans="1:11">
      <c r="A135" s="33" t="s">
        <v>157</v>
      </c>
      <c r="B135" s="33" t="s">
        <v>45</v>
      </c>
      <c r="C135" s="33" t="s">
        <v>733</v>
      </c>
      <c r="D135" s="33" t="s">
        <v>85</v>
      </c>
      <c r="E135" s="33" t="s">
        <v>42</v>
      </c>
      <c r="F135" s="33">
        <v>2</v>
      </c>
      <c r="G135" s="33" t="s">
        <v>606</v>
      </c>
      <c r="H135">
        <v>1</v>
      </c>
      <c r="I135" s="33" t="s">
        <v>732</v>
      </c>
      <c r="J135" s="33" t="str">
        <f t="shared" si="4"/>
        <v>2015-17Stirling</v>
      </c>
      <c r="K135" s="33">
        <v>64.41</v>
      </c>
    </row>
    <row r="136" spans="1:11">
      <c r="A136" s="33" t="s">
        <v>157</v>
      </c>
      <c r="B136" s="33" t="s">
        <v>45</v>
      </c>
      <c r="C136" s="33" t="s">
        <v>733</v>
      </c>
      <c r="D136" s="33" t="s">
        <v>114</v>
      </c>
      <c r="E136" s="33" t="s">
        <v>14</v>
      </c>
      <c r="F136" s="33">
        <v>2</v>
      </c>
      <c r="G136" s="33" t="s">
        <v>606</v>
      </c>
      <c r="H136">
        <v>1</v>
      </c>
      <c r="I136" s="33" t="s">
        <v>732</v>
      </c>
      <c r="J136" s="33" t="str">
        <f t="shared" si="4"/>
        <v>2015-17Aberdeen City</v>
      </c>
      <c r="K136" s="33">
        <v>64.650000000000006</v>
      </c>
    </row>
    <row r="137" spans="1:11">
      <c r="A137" s="33" t="s">
        <v>157</v>
      </c>
      <c r="B137" s="33" t="s">
        <v>45</v>
      </c>
      <c r="C137" s="33" t="s">
        <v>733</v>
      </c>
      <c r="D137" s="33" t="s">
        <v>113</v>
      </c>
      <c r="E137" s="33" t="s">
        <v>15</v>
      </c>
      <c r="F137" s="33">
        <v>2</v>
      </c>
      <c r="G137" s="33" t="s">
        <v>606</v>
      </c>
      <c r="H137">
        <v>1</v>
      </c>
      <c r="I137" s="33" t="s">
        <v>732</v>
      </c>
      <c r="J137" s="33" t="str">
        <f t="shared" si="4"/>
        <v>2015-17Aberdeenshire</v>
      </c>
      <c r="K137" s="33">
        <v>67.010000000000005</v>
      </c>
    </row>
    <row r="138" spans="1:11">
      <c r="A138" s="33" t="s">
        <v>157</v>
      </c>
      <c r="B138" s="33" t="s">
        <v>45</v>
      </c>
      <c r="C138" s="33" t="s">
        <v>733</v>
      </c>
      <c r="D138" s="33" t="s">
        <v>111</v>
      </c>
      <c r="E138" s="33" t="s">
        <v>17</v>
      </c>
      <c r="F138" s="33">
        <v>2</v>
      </c>
      <c r="G138" s="33" t="s">
        <v>606</v>
      </c>
      <c r="H138">
        <v>1</v>
      </c>
      <c r="I138" s="33" t="s">
        <v>732</v>
      </c>
      <c r="J138" s="33" t="str">
        <f t="shared" si="4"/>
        <v>2015-17Argyll and Bute</v>
      </c>
      <c r="K138" s="33">
        <v>62.38</v>
      </c>
    </row>
    <row r="139" spans="1:11">
      <c r="A139" s="33" t="s">
        <v>157</v>
      </c>
      <c r="B139" s="33" t="s">
        <v>45</v>
      </c>
      <c r="C139" s="33" t="s">
        <v>733</v>
      </c>
      <c r="D139" s="33" t="s">
        <v>110</v>
      </c>
      <c r="E139" s="33" t="s">
        <v>586</v>
      </c>
      <c r="F139" s="33">
        <v>2</v>
      </c>
      <c r="G139" s="33" t="s">
        <v>606</v>
      </c>
      <c r="H139">
        <v>1</v>
      </c>
      <c r="I139" s="33" t="s">
        <v>732</v>
      </c>
      <c r="J139" s="33" t="str">
        <f t="shared" si="4"/>
        <v>2015-17City of Edinburgh</v>
      </c>
      <c r="K139" s="33">
        <v>65.150000000000006</v>
      </c>
    </row>
    <row r="140" spans="1:11">
      <c r="A140" s="33" t="s">
        <v>157</v>
      </c>
      <c r="B140" s="33" t="s">
        <v>45</v>
      </c>
      <c r="C140" s="33" t="s">
        <v>733</v>
      </c>
      <c r="D140" s="33" t="s">
        <v>90</v>
      </c>
      <c r="E140" s="33" t="s">
        <v>37</v>
      </c>
      <c r="F140" s="33">
        <v>2</v>
      </c>
      <c r="G140" s="33" t="s">
        <v>606</v>
      </c>
      <c r="H140">
        <v>1</v>
      </c>
      <c r="I140" s="33" t="s">
        <v>732</v>
      </c>
      <c r="J140" s="33" t="str">
        <f t="shared" si="4"/>
        <v>2015-17Renfrewshire</v>
      </c>
      <c r="K140" s="33">
        <v>60.79</v>
      </c>
    </row>
    <row r="141" spans="1:11">
      <c r="A141" s="33" t="s">
        <v>157</v>
      </c>
      <c r="B141" s="33" t="s">
        <v>45</v>
      </c>
      <c r="C141" s="33" t="s">
        <v>733</v>
      </c>
      <c r="D141" s="33" t="s">
        <v>84</v>
      </c>
      <c r="E141" s="33" t="s">
        <v>43</v>
      </c>
      <c r="F141" s="33">
        <v>2</v>
      </c>
      <c r="G141" s="33" t="s">
        <v>606</v>
      </c>
      <c r="H141">
        <v>1</v>
      </c>
      <c r="I141" s="33" t="s">
        <v>732</v>
      </c>
      <c r="J141" s="33" t="str">
        <f t="shared" si="4"/>
        <v>2015-17West Dunbartonshire</v>
      </c>
      <c r="K141" s="33">
        <v>59.66</v>
      </c>
    </row>
    <row r="142" spans="1:11">
      <c r="A142" s="33" t="s">
        <v>157</v>
      </c>
      <c r="B142" s="33" t="s">
        <v>45</v>
      </c>
      <c r="C142" s="33" t="s">
        <v>733</v>
      </c>
      <c r="D142" s="33" t="s">
        <v>83</v>
      </c>
      <c r="E142" s="33" t="s">
        <v>44</v>
      </c>
      <c r="F142" s="33">
        <v>2</v>
      </c>
      <c r="G142" s="33" t="s">
        <v>606</v>
      </c>
      <c r="H142">
        <v>1</v>
      </c>
      <c r="I142" s="33" t="s">
        <v>732</v>
      </c>
      <c r="J142" s="33" t="str">
        <f t="shared" si="4"/>
        <v>2015-17West Lothian</v>
      </c>
      <c r="K142" s="33">
        <v>62.15</v>
      </c>
    </row>
    <row r="143" spans="1:11">
      <c r="A143" s="33" t="s">
        <v>157</v>
      </c>
      <c r="B143" s="33" t="s">
        <v>45</v>
      </c>
      <c r="C143" s="33" t="s">
        <v>733</v>
      </c>
      <c r="D143" s="33" t="s">
        <v>112</v>
      </c>
      <c r="E143" s="33" t="s">
        <v>16</v>
      </c>
      <c r="F143" s="33">
        <v>2</v>
      </c>
      <c r="G143" s="33" t="s">
        <v>606</v>
      </c>
      <c r="H143">
        <v>1</v>
      </c>
      <c r="I143" s="33" t="s">
        <v>732</v>
      </c>
      <c r="J143" s="33" t="str">
        <f t="shared" si="4"/>
        <v>2015-17Angus</v>
      </c>
      <c r="K143" s="33">
        <v>63.1</v>
      </c>
    </row>
    <row r="144" spans="1:11">
      <c r="A144" s="33" t="s">
        <v>157</v>
      </c>
      <c r="B144" s="33" t="s">
        <v>45</v>
      </c>
      <c r="C144" s="33" t="s">
        <v>733</v>
      </c>
      <c r="D144" s="33" t="s">
        <v>107</v>
      </c>
      <c r="E144" s="33" t="s">
        <v>20</v>
      </c>
      <c r="F144" s="33">
        <v>2</v>
      </c>
      <c r="G144" s="33" t="s">
        <v>606</v>
      </c>
      <c r="H144">
        <v>1</v>
      </c>
      <c r="I144" s="33" t="s">
        <v>732</v>
      </c>
      <c r="J144" s="33" t="str">
        <f t="shared" si="4"/>
        <v>2015-17Dundee City</v>
      </c>
      <c r="K144" s="33">
        <v>59.81</v>
      </c>
    </row>
    <row r="145" spans="1:11">
      <c r="A145" s="33" t="s">
        <v>157</v>
      </c>
      <c r="B145" s="33" t="s">
        <v>45</v>
      </c>
      <c r="C145" s="33" t="s">
        <v>733</v>
      </c>
      <c r="D145" s="33" t="s">
        <v>105</v>
      </c>
      <c r="E145" s="33" t="s">
        <v>22</v>
      </c>
      <c r="F145" s="33">
        <v>2</v>
      </c>
      <c r="G145" s="33" t="s">
        <v>606</v>
      </c>
      <c r="H145">
        <v>1</v>
      </c>
      <c r="I145" s="33" t="s">
        <v>732</v>
      </c>
      <c r="J145" s="33" t="str">
        <f t="shared" si="4"/>
        <v>2015-17East Dunbartonshire</v>
      </c>
      <c r="K145" s="33">
        <v>68.2</v>
      </c>
    </row>
    <row r="146" spans="1:11">
      <c r="A146" s="33" t="s">
        <v>157</v>
      </c>
      <c r="B146" s="33" t="s">
        <v>45</v>
      </c>
      <c r="C146" s="33" t="s">
        <v>733</v>
      </c>
      <c r="D146" s="33" t="s">
        <v>101</v>
      </c>
      <c r="E146" s="33" t="s">
        <v>26</v>
      </c>
      <c r="F146" s="33">
        <v>2</v>
      </c>
      <c r="G146" s="33" t="s">
        <v>606</v>
      </c>
      <c r="H146">
        <v>1</v>
      </c>
      <c r="I146" s="33" t="s">
        <v>732</v>
      </c>
      <c r="J146" s="33" t="str">
        <f t="shared" si="4"/>
        <v>2015-17Fife</v>
      </c>
      <c r="K146" s="33">
        <v>61.87</v>
      </c>
    </row>
    <row r="147" spans="1:11">
      <c r="A147" s="33" t="s">
        <v>157</v>
      </c>
      <c r="B147" s="33" t="s">
        <v>45</v>
      </c>
      <c r="C147" s="33" t="s">
        <v>733</v>
      </c>
      <c r="D147" s="33" t="s">
        <v>91</v>
      </c>
      <c r="E147" s="33" t="s">
        <v>36</v>
      </c>
      <c r="F147" s="33">
        <v>2</v>
      </c>
      <c r="G147" s="33" t="s">
        <v>606</v>
      </c>
      <c r="H147">
        <v>1</v>
      </c>
      <c r="I147" s="33" t="s">
        <v>732</v>
      </c>
      <c r="J147" s="33" t="str">
        <f t="shared" si="4"/>
        <v>2015-17Perth and Kinross</v>
      </c>
      <c r="K147" s="33">
        <v>67.81</v>
      </c>
    </row>
    <row r="148" spans="1:11">
      <c r="A148" s="33" t="s">
        <v>157</v>
      </c>
      <c r="B148" s="33" t="s">
        <v>45</v>
      </c>
      <c r="C148" s="33" t="s">
        <v>733</v>
      </c>
      <c r="D148" s="33" t="s">
        <v>163</v>
      </c>
      <c r="E148" s="33" t="s">
        <v>27</v>
      </c>
      <c r="F148" s="33">
        <v>2</v>
      </c>
      <c r="G148" s="33" t="s">
        <v>606</v>
      </c>
      <c r="H148">
        <v>1</v>
      </c>
      <c r="I148" s="33" t="s">
        <v>732</v>
      </c>
      <c r="J148" s="33" t="str">
        <f t="shared" si="4"/>
        <v>2015-17Glasgow City</v>
      </c>
      <c r="K148" s="33">
        <v>58.89</v>
      </c>
    </row>
    <row r="149" spans="1:11">
      <c r="A149" s="33" t="s">
        <v>157</v>
      </c>
      <c r="B149" s="33" t="s">
        <v>45</v>
      </c>
      <c r="C149" s="33" t="s">
        <v>733</v>
      </c>
      <c r="D149" s="33" t="s">
        <v>162</v>
      </c>
      <c r="E149" s="33" t="s">
        <v>34</v>
      </c>
      <c r="F149" s="33">
        <v>2</v>
      </c>
      <c r="G149" s="33" t="s">
        <v>606</v>
      </c>
      <c r="H149">
        <v>1</v>
      </c>
      <c r="I149" s="33" t="s">
        <v>732</v>
      </c>
      <c r="J149" s="33" t="str">
        <f t="shared" si="4"/>
        <v>2015-17North Lanarkshire</v>
      </c>
      <c r="K149" s="33">
        <v>60.41</v>
      </c>
    </row>
    <row r="150" spans="1:11">
      <c r="A150" s="33" t="s">
        <v>157</v>
      </c>
      <c r="B150" s="33" t="s">
        <v>45</v>
      </c>
      <c r="C150" s="33" t="s">
        <v>725</v>
      </c>
      <c r="D150" s="33" t="s">
        <v>488</v>
      </c>
      <c r="E150" s="33" t="s">
        <v>45</v>
      </c>
      <c r="F150" s="33">
        <v>2</v>
      </c>
      <c r="G150" s="33" t="s">
        <v>606</v>
      </c>
      <c r="H150">
        <v>1</v>
      </c>
      <c r="I150" s="33" t="s">
        <v>732</v>
      </c>
      <c r="J150" s="33" t="str">
        <f t="shared" si="4"/>
        <v>2015-17Scotland</v>
      </c>
      <c r="K150" s="33">
        <v>62.64</v>
      </c>
    </row>
    <row r="151" spans="1:11">
      <c r="A151" s="33" t="s">
        <v>156</v>
      </c>
      <c r="B151" s="33" t="s">
        <v>46</v>
      </c>
      <c r="C151" s="33" t="s">
        <v>725</v>
      </c>
      <c r="D151" s="33" t="s">
        <v>608</v>
      </c>
      <c r="E151" s="33" t="s">
        <v>46</v>
      </c>
      <c r="F151" s="33">
        <v>2</v>
      </c>
      <c r="G151" s="33" t="s">
        <v>606</v>
      </c>
      <c r="H151">
        <v>1</v>
      </c>
      <c r="I151" s="33" t="s">
        <v>732</v>
      </c>
      <c r="J151" s="33" t="str">
        <f t="shared" si="4"/>
        <v>2016-18United Kingdom</v>
      </c>
      <c r="K151" s="33">
        <v>63.59</v>
      </c>
    </row>
    <row r="152" spans="1:11">
      <c r="A152" s="33" t="s">
        <v>156</v>
      </c>
      <c r="B152" s="33" t="s">
        <v>45</v>
      </c>
      <c r="C152" s="33" t="s">
        <v>733</v>
      </c>
      <c r="D152" s="33" t="s">
        <v>109</v>
      </c>
      <c r="E152" s="33" t="s">
        <v>18</v>
      </c>
      <c r="F152" s="33">
        <v>2</v>
      </c>
      <c r="G152" s="33" t="s">
        <v>606</v>
      </c>
      <c r="H152">
        <v>1</v>
      </c>
      <c r="I152" s="33" t="s">
        <v>732</v>
      </c>
      <c r="J152" s="33" t="str">
        <f t="shared" si="4"/>
        <v>2016-18Clackmannanshire</v>
      </c>
      <c r="K152" s="33">
        <v>61.56</v>
      </c>
    </row>
    <row r="153" spans="1:11">
      <c r="A153" s="33" t="s">
        <v>156</v>
      </c>
      <c r="B153" s="33" t="s">
        <v>45</v>
      </c>
      <c r="C153" s="33" t="s">
        <v>733</v>
      </c>
      <c r="D153" s="33" t="s">
        <v>108</v>
      </c>
      <c r="E153" s="33" t="s">
        <v>19</v>
      </c>
      <c r="F153" s="33">
        <v>2</v>
      </c>
      <c r="G153" s="33" t="s">
        <v>606</v>
      </c>
      <c r="H153">
        <v>1</v>
      </c>
      <c r="I153" s="33" t="s">
        <v>732</v>
      </c>
      <c r="J153" s="33" t="str">
        <f t="shared" si="4"/>
        <v>2016-18Dumfries and Galloway</v>
      </c>
      <c r="K153" s="33">
        <v>64.25</v>
      </c>
    </row>
    <row r="154" spans="1:11">
      <c r="A154" s="33" t="s">
        <v>156</v>
      </c>
      <c r="B154" s="33" t="s">
        <v>45</v>
      </c>
      <c r="C154" s="33" t="s">
        <v>733</v>
      </c>
      <c r="D154" s="33" t="s">
        <v>106</v>
      </c>
      <c r="E154" s="33" t="s">
        <v>21</v>
      </c>
      <c r="F154" s="33">
        <v>2</v>
      </c>
      <c r="G154" s="33" t="s">
        <v>606</v>
      </c>
      <c r="H154">
        <v>1</v>
      </c>
      <c r="I154" s="33" t="s">
        <v>732</v>
      </c>
      <c r="J154" s="33" t="str">
        <f t="shared" si="4"/>
        <v>2016-18East Ayrshire</v>
      </c>
      <c r="K154" s="33">
        <v>58.75</v>
      </c>
    </row>
    <row r="155" spans="1:11">
      <c r="A155" s="33" t="s">
        <v>156</v>
      </c>
      <c r="B155" s="33" t="s">
        <v>45</v>
      </c>
      <c r="C155" s="33" t="s">
        <v>733</v>
      </c>
      <c r="D155" s="33" t="s">
        <v>104</v>
      </c>
      <c r="E155" s="33" t="s">
        <v>23</v>
      </c>
      <c r="F155" s="33">
        <v>2</v>
      </c>
      <c r="G155" s="33" t="s">
        <v>606</v>
      </c>
      <c r="H155">
        <v>1</v>
      </c>
      <c r="I155" s="33" t="s">
        <v>732</v>
      </c>
      <c r="J155" s="33" t="str">
        <f t="shared" si="4"/>
        <v>2016-18East Lothian</v>
      </c>
      <c r="K155" s="33">
        <v>64.03</v>
      </c>
    </row>
    <row r="156" spans="1:11">
      <c r="A156" s="33" t="s">
        <v>156</v>
      </c>
      <c r="B156" s="33" t="s">
        <v>45</v>
      </c>
      <c r="C156" s="33" t="s">
        <v>733</v>
      </c>
      <c r="D156" s="33" t="s">
        <v>103</v>
      </c>
      <c r="E156" s="33" t="s">
        <v>24</v>
      </c>
      <c r="F156" s="33">
        <v>2</v>
      </c>
      <c r="G156" s="33" t="s">
        <v>606</v>
      </c>
      <c r="H156">
        <v>1</v>
      </c>
      <c r="I156" s="33" t="s">
        <v>732</v>
      </c>
      <c r="J156" s="33" t="str">
        <f t="shared" si="4"/>
        <v>2016-18East Renfrewshire</v>
      </c>
      <c r="K156" s="33">
        <v>66.14</v>
      </c>
    </row>
    <row r="157" spans="1:11">
      <c r="A157" s="33" t="s">
        <v>156</v>
      </c>
      <c r="B157" s="33" t="s">
        <v>45</v>
      </c>
      <c r="C157" s="33" t="s">
        <v>733</v>
      </c>
      <c r="D157" s="33" t="s">
        <v>95</v>
      </c>
      <c r="E157" s="33" t="s">
        <v>32</v>
      </c>
      <c r="F157" s="33">
        <v>2</v>
      </c>
      <c r="G157" s="33" t="s">
        <v>606</v>
      </c>
      <c r="H157">
        <v>1</v>
      </c>
      <c r="I157" s="33" t="s">
        <v>732</v>
      </c>
      <c r="J157" s="33" t="str">
        <f t="shared" si="4"/>
        <v>2016-18Na h-Eileanan Siar</v>
      </c>
      <c r="K157" s="33">
        <v>66.91</v>
      </c>
    </row>
    <row r="158" spans="1:11">
      <c r="A158" s="33" t="s">
        <v>156</v>
      </c>
      <c r="B158" s="33" t="s">
        <v>45</v>
      </c>
      <c r="C158" s="33" t="s">
        <v>733</v>
      </c>
      <c r="D158" s="33" t="s">
        <v>102</v>
      </c>
      <c r="E158" s="33" t="s">
        <v>25</v>
      </c>
      <c r="F158" s="33">
        <v>2</v>
      </c>
      <c r="G158" s="33" t="s">
        <v>606</v>
      </c>
      <c r="H158">
        <v>1</v>
      </c>
      <c r="I158" s="33" t="s">
        <v>732</v>
      </c>
      <c r="J158" s="33" t="str">
        <f t="shared" si="4"/>
        <v>2016-18Falkirk</v>
      </c>
      <c r="K158" s="33">
        <v>60.2</v>
      </c>
    </row>
    <row r="159" spans="1:11">
      <c r="A159" s="33" t="s">
        <v>156</v>
      </c>
      <c r="B159" s="33" t="s">
        <v>45</v>
      </c>
      <c r="C159" s="33" t="s">
        <v>733</v>
      </c>
      <c r="D159" s="33" t="s">
        <v>99</v>
      </c>
      <c r="E159" s="33" t="s">
        <v>28</v>
      </c>
      <c r="F159" s="33">
        <v>2</v>
      </c>
      <c r="G159" s="33" t="s">
        <v>606</v>
      </c>
      <c r="H159">
        <v>1</v>
      </c>
      <c r="I159" s="33" t="s">
        <v>732</v>
      </c>
      <c r="J159" s="33" t="str">
        <f t="shared" si="4"/>
        <v>2016-18Highland</v>
      </c>
      <c r="K159" s="33">
        <v>65.77</v>
      </c>
    </row>
    <row r="160" spans="1:11">
      <c r="A160" s="33" t="s">
        <v>156</v>
      </c>
      <c r="B160" s="33" t="s">
        <v>45</v>
      </c>
      <c r="C160" s="33" t="s">
        <v>733</v>
      </c>
      <c r="D160" s="33" t="s">
        <v>98</v>
      </c>
      <c r="E160" s="33" t="s">
        <v>29</v>
      </c>
      <c r="F160" s="33">
        <v>2</v>
      </c>
      <c r="G160" s="33" t="s">
        <v>606</v>
      </c>
      <c r="H160">
        <v>1</v>
      </c>
      <c r="I160" s="33" t="s">
        <v>732</v>
      </c>
      <c r="J160" s="33" t="str">
        <f t="shared" si="4"/>
        <v>2016-18Inverclyde</v>
      </c>
      <c r="K160" s="33">
        <v>59.71</v>
      </c>
    </row>
    <row r="161" spans="1:11">
      <c r="A161" s="33" t="s">
        <v>156</v>
      </c>
      <c r="B161" s="33" t="s">
        <v>45</v>
      </c>
      <c r="C161" s="33" t="s">
        <v>733</v>
      </c>
      <c r="D161" s="33" t="s">
        <v>97</v>
      </c>
      <c r="E161" s="33" t="s">
        <v>30</v>
      </c>
      <c r="F161" s="33">
        <v>2</v>
      </c>
      <c r="G161" s="33" t="s">
        <v>606</v>
      </c>
      <c r="H161">
        <v>1</v>
      </c>
      <c r="I161" s="33" t="s">
        <v>732</v>
      </c>
      <c r="J161" s="33" t="str">
        <f t="shared" si="4"/>
        <v>2016-18Midlothian</v>
      </c>
      <c r="K161" s="33">
        <v>63.46</v>
      </c>
    </row>
    <row r="162" spans="1:11">
      <c r="A162" s="33" t="s">
        <v>156</v>
      </c>
      <c r="B162" s="33" t="s">
        <v>45</v>
      </c>
      <c r="C162" s="33" t="s">
        <v>733</v>
      </c>
      <c r="D162" s="33" t="s">
        <v>96</v>
      </c>
      <c r="E162" s="33" t="s">
        <v>31</v>
      </c>
      <c r="F162" s="33">
        <v>2</v>
      </c>
      <c r="G162" s="33" t="s">
        <v>606</v>
      </c>
      <c r="H162">
        <v>1</v>
      </c>
      <c r="I162" s="33" t="s">
        <v>732</v>
      </c>
      <c r="J162" s="33" t="str">
        <f t="shared" si="4"/>
        <v>2016-18Moray</v>
      </c>
      <c r="K162" s="33">
        <v>62.11</v>
      </c>
    </row>
    <row r="163" spans="1:11">
      <c r="A163" s="33" t="s">
        <v>156</v>
      </c>
      <c r="B163" s="33" t="s">
        <v>45</v>
      </c>
      <c r="C163" s="33" t="s">
        <v>733</v>
      </c>
      <c r="D163" s="33" t="s">
        <v>94</v>
      </c>
      <c r="E163" s="33" t="s">
        <v>33</v>
      </c>
      <c r="F163" s="33">
        <v>2</v>
      </c>
      <c r="G163" s="33" t="s">
        <v>606</v>
      </c>
      <c r="H163">
        <v>1</v>
      </c>
      <c r="I163" s="33" t="s">
        <v>732</v>
      </c>
      <c r="J163" s="33" t="str">
        <f t="shared" si="4"/>
        <v>2016-18North Ayrshire</v>
      </c>
      <c r="K163" s="33">
        <v>56.01</v>
      </c>
    </row>
    <row r="164" spans="1:11">
      <c r="A164" s="33" t="s">
        <v>156</v>
      </c>
      <c r="B164" s="33" t="s">
        <v>45</v>
      </c>
      <c r="C164" s="33" t="s">
        <v>733</v>
      </c>
      <c r="D164" s="33" t="s">
        <v>92</v>
      </c>
      <c r="E164" s="33" t="s">
        <v>35</v>
      </c>
      <c r="F164" s="33">
        <v>2</v>
      </c>
      <c r="G164" s="33" t="s">
        <v>606</v>
      </c>
      <c r="H164">
        <v>1</v>
      </c>
      <c r="I164" s="33" t="s">
        <v>732</v>
      </c>
      <c r="J164" s="33" t="str">
        <f t="shared" si="4"/>
        <v>2016-18Orkney Islands</v>
      </c>
      <c r="K164" s="33">
        <v>73.319999999999993</v>
      </c>
    </row>
    <row r="165" spans="1:11">
      <c r="A165" s="33" t="s">
        <v>156</v>
      </c>
      <c r="B165" s="33" t="s">
        <v>45</v>
      </c>
      <c r="C165" s="33" t="s">
        <v>733</v>
      </c>
      <c r="D165" s="33" t="s">
        <v>89</v>
      </c>
      <c r="E165" s="33" t="s">
        <v>38</v>
      </c>
      <c r="F165" s="33">
        <v>2</v>
      </c>
      <c r="G165" s="33" t="s">
        <v>606</v>
      </c>
      <c r="H165">
        <v>1</v>
      </c>
      <c r="I165" s="33" t="s">
        <v>732</v>
      </c>
      <c r="J165" s="33" t="str">
        <f t="shared" si="4"/>
        <v>2016-18Scottish Borders</v>
      </c>
      <c r="K165" s="33">
        <v>65.319999999999993</v>
      </c>
    </row>
    <row r="166" spans="1:11">
      <c r="A166" s="33" t="s">
        <v>156</v>
      </c>
      <c r="B166" s="33" t="s">
        <v>45</v>
      </c>
      <c r="C166" s="33" t="s">
        <v>733</v>
      </c>
      <c r="D166" s="33" t="s">
        <v>88</v>
      </c>
      <c r="E166" s="33" t="s">
        <v>39</v>
      </c>
      <c r="F166" s="33">
        <v>2</v>
      </c>
      <c r="G166" s="33" t="s">
        <v>606</v>
      </c>
      <c r="H166">
        <v>1</v>
      </c>
      <c r="I166" s="33" t="s">
        <v>732</v>
      </c>
      <c r="J166" s="33" t="str">
        <f t="shared" si="4"/>
        <v>2016-18Shetland Islands</v>
      </c>
      <c r="K166" s="33">
        <v>58.36</v>
      </c>
    </row>
    <row r="167" spans="1:11">
      <c r="A167" s="33" t="s">
        <v>156</v>
      </c>
      <c r="B167" s="33" t="s">
        <v>45</v>
      </c>
      <c r="C167" s="33" t="s">
        <v>733</v>
      </c>
      <c r="D167" s="33" t="s">
        <v>87</v>
      </c>
      <c r="E167" s="33" t="s">
        <v>40</v>
      </c>
      <c r="F167" s="33">
        <v>2</v>
      </c>
      <c r="G167" s="33" t="s">
        <v>606</v>
      </c>
      <c r="H167">
        <v>1</v>
      </c>
      <c r="I167" s="33" t="s">
        <v>732</v>
      </c>
      <c r="J167" s="33" t="str">
        <f t="shared" si="4"/>
        <v>2016-18South Ayrshire</v>
      </c>
      <c r="K167" s="33">
        <v>63.69</v>
      </c>
    </row>
    <row r="168" spans="1:11">
      <c r="A168" s="33" t="s">
        <v>156</v>
      </c>
      <c r="B168" s="33" t="s">
        <v>45</v>
      </c>
      <c r="C168" s="33" t="s">
        <v>733</v>
      </c>
      <c r="D168" s="33" t="s">
        <v>86</v>
      </c>
      <c r="E168" s="33" t="s">
        <v>41</v>
      </c>
      <c r="F168" s="33">
        <v>2</v>
      </c>
      <c r="G168" s="33" t="s">
        <v>606</v>
      </c>
      <c r="H168">
        <v>1</v>
      </c>
      <c r="I168" s="33" t="s">
        <v>732</v>
      </c>
      <c r="J168" s="33" t="str">
        <f t="shared" si="4"/>
        <v>2016-18South Lanarkshire</v>
      </c>
      <c r="K168" s="33">
        <v>62.21</v>
      </c>
    </row>
    <row r="169" spans="1:11">
      <c r="A169" s="33" t="s">
        <v>156</v>
      </c>
      <c r="B169" s="33" t="s">
        <v>45</v>
      </c>
      <c r="C169" s="33" t="s">
        <v>733</v>
      </c>
      <c r="D169" s="33" t="s">
        <v>85</v>
      </c>
      <c r="E169" s="33" t="s">
        <v>42</v>
      </c>
      <c r="F169" s="33">
        <v>2</v>
      </c>
      <c r="G169" s="33" t="s">
        <v>606</v>
      </c>
      <c r="H169">
        <v>1</v>
      </c>
      <c r="I169" s="33" t="s">
        <v>732</v>
      </c>
      <c r="J169" s="33" t="str">
        <f t="shared" si="4"/>
        <v>2016-18Stirling</v>
      </c>
      <c r="K169" s="33">
        <v>64.38</v>
      </c>
    </row>
    <row r="170" spans="1:11">
      <c r="A170" s="33" t="s">
        <v>156</v>
      </c>
      <c r="B170" s="33" t="s">
        <v>45</v>
      </c>
      <c r="C170" s="33" t="s">
        <v>733</v>
      </c>
      <c r="D170" s="33" t="s">
        <v>114</v>
      </c>
      <c r="E170" s="33" t="s">
        <v>14</v>
      </c>
      <c r="F170" s="33">
        <v>2</v>
      </c>
      <c r="G170" s="33" t="s">
        <v>606</v>
      </c>
      <c r="H170">
        <v>1</v>
      </c>
      <c r="I170" s="33" t="s">
        <v>732</v>
      </c>
      <c r="J170" s="33" t="str">
        <f t="shared" si="4"/>
        <v>2016-18Aberdeen City</v>
      </c>
      <c r="K170" s="33">
        <v>63.41</v>
      </c>
    </row>
    <row r="171" spans="1:11">
      <c r="A171" s="33" t="s">
        <v>156</v>
      </c>
      <c r="B171" s="33" t="s">
        <v>45</v>
      </c>
      <c r="C171" s="33" t="s">
        <v>733</v>
      </c>
      <c r="D171" s="33" t="s">
        <v>113</v>
      </c>
      <c r="E171" s="33" t="s">
        <v>15</v>
      </c>
      <c r="F171" s="33">
        <v>2</v>
      </c>
      <c r="G171" s="33" t="s">
        <v>606</v>
      </c>
      <c r="H171">
        <v>1</v>
      </c>
      <c r="I171" s="33" t="s">
        <v>732</v>
      </c>
      <c r="J171" s="33" t="str">
        <f t="shared" si="4"/>
        <v>2016-18Aberdeenshire</v>
      </c>
      <c r="K171" s="33">
        <v>67.989999999999995</v>
      </c>
    </row>
    <row r="172" spans="1:11">
      <c r="A172" s="33" t="s">
        <v>156</v>
      </c>
      <c r="B172" s="33" t="s">
        <v>45</v>
      </c>
      <c r="C172" s="33" t="s">
        <v>733</v>
      </c>
      <c r="D172" s="33" t="s">
        <v>111</v>
      </c>
      <c r="E172" s="33" t="s">
        <v>17</v>
      </c>
      <c r="F172" s="33">
        <v>2</v>
      </c>
      <c r="G172" s="33" t="s">
        <v>606</v>
      </c>
      <c r="H172">
        <v>1</v>
      </c>
      <c r="I172" s="33" t="s">
        <v>732</v>
      </c>
      <c r="J172" s="33" t="str">
        <f t="shared" si="4"/>
        <v>2016-18Argyll and Bute</v>
      </c>
      <c r="K172" s="33">
        <v>62.95</v>
      </c>
    </row>
    <row r="173" spans="1:11">
      <c r="A173" s="33" t="s">
        <v>156</v>
      </c>
      <c r="B173" s="33" t="s">
        <v>45</v>
      </c>
      <c r="C173" s="33" t="s">
        <v>733</v>
      </c>
      <c r="D173" s="33" t="s">
        <v>110</v>
      </c>
      <c r="E173" s="33" t="s">
        <v>586</v>
      </c>
      <c r="F173" s="33">
        <v>2</v>
      </c>
      <c r="G173" s="33" t="s">
        <v>606</v>
      </c>
      <c r="H173">
        <v>1</v>
      </c>
      <c r="I173" s="33" t="s">
        <v>732</v>
      </c>
      <c r="J173" s="33" t="str">
        <f t="shared" si="4"/>
        <v>2016-18City of Edinburgh</v>
      </c>
      <c r="K173" s="33">
        <v>63.86</v>
      </c>
    </row>
    <row r="174" spans="1:11">
      <c r="A174" s="33" t="s">
        <v>156</v>
      </c>
      <c r="B174" s="33" t="s">
        <v>45</v>
      </c>
      <c r="C174" s="33" t="s">
        <v>733</v>
      </c>
      <c r="D174" s="33" t="s">
        <v>90</v>
      </c>
      <c r="E174" s="33" t="s">
        <v>37</v>
      </c>
      <c r="F174" s="33">
        <v>2</v>
      </c>
      <c r="G174" s="33" t="s">
        <v>606</v>
      </c>
      <c r="H174">
        <v>1</v>
      </c>
      <c r="I174" s="33" t="s">
        <v>732</v>
      </c>
      <c r="J174" s="33" t="str">
        <f t="shared" ref="J174:J237" si="5">CONCATENATE(A174,E174)</f>
        <v>2016-18Renfrewshire</v>
      </c>
      <c r="K174" s="33">
        <v>62.16</v>
      </c>
    </row>
    <row r="175" spans="1:11">
      <c r="A175" s="33" t="s">
        <v>156</v>
      </c>
      <c r="B175" s="33" t="s">
        <v>45</v>
      </c>
      <c r="C175" s="33" t="s">
        <v>733</v>
      </c>
      <c r="D175" s="33" t="s">
        <v>84</v>
      </c>
      <c r="E175" s="33" t="s">
        <v>43</v>
      </c>
      <c r="F175" s="33">
        <v>2</v>
      </c>
      <c r="G175" s="33" t="s">
        <v>606</v>
      </c>
      <c r="H175">
        <v>1</v>
      </c>
      <c r="I175" s="33" t="s">
        <v>732</v>
      </c>
      <c r="J175" s="33" t="str">
        <f t="shared" si="5"/>
        <v>2016-18West Dunbartonshire</v>
      </c>
      <c r="K175" s="33">
        <v>60.66</v>
      </c>
    </row>
    <row r="176" spans="1:11">
      <c r="A176" s="33" t="s">
        <v>156</v>
      </c>
      <c r="B176" s="33" t="s">
        <v>45</v>
      </c>
      <c r="C176" s="33" t="s">
        <v>733</v>
      </c>
      <c r="D176" s="33" t="s">
        <v>83</v>
      </c>
      <c r="E176" s="33" t="s">
        <v>44</v>
      </c>
      <c r="F176" s="33">
        <v>2</v>
      </c>
      <c r="G176" s="33" t="s">
        <v>606</v>
      </c>
      <c r="H176">
        <v>1</v>
      </c>
      <c r="I176" s="33" t="s">
        <v>732</v>
      </c>
      <c r="J176" s="33" t="str">
        <f t="shared" si="5"/>
        <v>2016-18West Lothian</v>
      </c>
      <c r="K176" s="33">
        <v>61.81</v>
      </c>
    </row>
    <row r="177" spans="1:11">
      <c r="A177" s="33" t="s">
        <v>156</v>
      </c>
      <c r="B177" s="33" t="s">
        <v>45</v>
      </c>
      <c r="C177" s="33" t="s">
        <v>733</v>
      </c>
      <c r="D177" s="33" t="s">
        <v>112</v>
      </c>
      <c r="E177" s="33" t="s">
        <v>16</v>
      </c>
      <c r="F177" s="33">
        <v>2</v>
      </c>
      <c r="G177" s="33" t="s">
        <v>606</v>
      </c>
      <c r="H177">
        <v>1</v>
      </c>
      <c r="I177" s="33" t="s">
        <v>732</v>
      </c>
      <c r="J177" s="33" t="str">
        <f t="shared" si="5"/>
        <v>2016-18Angus</v>
      </c>
      <c r="K177" s="33">
        <v>63.39</v>
      </c>
    </row>
    <row r="178" spans="1:11">
      <c r="A178" s="33" t="s">
        <v>156</v>
      </c>
      <c r="B178" s="33" t="s">
        <v>45</v>
      </c>
      <c r="C178" s="33" t="s">
        <v>733</v>
      </c>
      <c r="D178" s="33" t="s">
        <v>107</v>
      </c>
      <c r="E178" s="33" t="s">
        <v>20</v>
      </c>
      <c r="F178" s="33">
        <v>2</v>
      </c>
      <c r="G178" s="33" t="s">
        <v>606</v>
      </c>
      <c r="H178">
        <v>1</v>
      </c>
      <c r="I178" s="33" t="s">
        <v>732</v>
      </c>
      <c r="J178" s="33" t="str">
        <f t="shared" si="5"/>
        <v>2016-18Dundee City</v>
      </c>
      <c r="K178" s="33">
        <v>59.82</v>
      </c>
    </row>
    <row r="179" spans="1:11">
      <c r="A179" s="33" t="s">
        <v>156</v>
      </c>
      <c r="B179" s="33" t="s">
        <v>45</v>
      </c>
      <c r="C179" s="33" t="s">
        <v>733</v>
      </c>
      <c r="D179" s="33" t="s">
        <v>105</v>
      </c>
      <c r="E179" s="33" t="s">
        <v>22</v>
      </c>
      <c r="F179" s="33">
        <v>2</v>
      </c>
      <c r="G179" s="33" t="s">
        <v>606</v>
      </c>
      <c r="H179">
        <v>1</v>
      </c>
      <c r="I179" s="33" t="s">
        <v>732</v>
      </c>
      <c r="J179" s="33" t="str">
        <f t="shared" si="5"/>
        <v>2016-18East Dunbartonshire</v>
      </c>
      <c r="K179" s="33">
        <v>68.36</v>
      </c>
    </row>
    <row r="180" spans="1:11">
      <c r="A180" s="33" t="s">
        <v>156</v>
      </c>
      <c r="B180" s="33" t="s">
        <v>45</v>
      </c>
      <c r="C180" s="33" t="s">
        <v>733</v>
      </c>
      <c r="D180" s="33" t="s">
        <v>101</v>
      </c>
      <c r="E180" s="33" t="s">
        <v>26</v>
      </c>
      <c r="F180" s="33">
        <v>2</v>
      </c>
      <c r="G180" s="33" t="s">
        <v>606</v>
      </c>
      <c r="H180">
        <v>1</v>
      </c>
      <c r="I180" s="33" t="s">
        <v>732</v>
      </c>
      <c r="J180" s="33" t="str">
        <f t="shared" si="5"/>
        <v>2016-18Fife</v>
      </c>
      <c r="K180" s="33">
        <v>60.16</v>
      </c>
    </row>
    <row r="181" spans="1:11">
      <c r="A181" s="33" t="s">
        <v>156</v>
      </c>
      <c r="B181" s="33" t="s">
        <v>45</v>
      </c>
      <c r="C181" s="33" t="s">
        <v>733</v>
      </c>
      <c r="D181" s="33" t="s">
        <v>91</v>
      </c>
      <c r="E181" s="33" t="s">
        <v>36</v>
      </c>
      <c r="F181" s="33">
        <v>2</v>
      </c>
      <c r="G181" s="33" t="s">
        <v>606</v>
      </c>
      <c r="H181">
        <v>1</v>
      </c>
      <c r="I181" s="33" t="s">
        <v>732</v>
      </c>
      <c r="J181" s="33" t="str">
        <f t="shared" si="5"/>
        <v>2016-18Perth and Kinross</v>
      </c>
      <c r="K181" s="33">
        <v>65.989999999999995</v>
      </c>
    </row>
    <row r="182" spans="1:11">
      <c r="A182" s="33" t="s">
        <v>156</v>
      </c>
      <c r="B182" s="33" t="s">
        <v>45</v>
      </c>
      <c r="C182" s="33" t="s">
        <v>733</v>
      </c>
      <c r="D182" s="33" t="s">
        <v>163</v>
      </c>
      <c r="E182" s="33" t="s">
        <v>27</v>
      </c>
      <c r="F182" s="33">
        <v>2</v>
      </c>
      <c r="G182" s="33" t="s">
        <v>606</v>
      </c>
      <c r="H182">
        <v>1</v>
      </c>
      <c r="I182" s="33" t="s">
        <v>732</v>
      </c>
      <c r="J182" s="33" t="str">
        <f t="shared" si="5"/>
        <v>2016-18Glasgow City</v>
      </c>
      <c r="K182" s="33">
        <v>58.16</v>
      </c>
    </row>
    <row r="183" spans="1:11">
      <c r="A183" s="33" t="s">
        <v>156</v>
      </c>
      <c r="B183" s="33" t="s">
        <v>45</v>
      </c>
      <c r="C183" s="33" t="s">
        <v>733</v>
      </c>
      <c r="D183" s="33" t="s">
        <v>162</v>
      </c>
      <c r="E183" s="33" t="s">
        <v>34</v>
      </c>
      <c r="F183" s="33">
        <v>2</v>
      </c>
      <c r="G183" s="33" t="s">
        <v>606</v>
      </c>
      <c r="H183">
        <v>1</v>
      </c>
      <c r="I183" s="33" t="s">
        <v>732</v>
      </c>
      <c r="J183" s="33" t="str">
        <f t="shared" si="5"/>
        <v>2016-18North Lanarkshire</v>
      </c>
      <c r="K183" s="33">
        <v>58.94</v>
      </c>
    </row>
    <row r="184" spans="1:11">
      <c r="A184" s="33" t="s">
        <v>156</v>
      </c>
      <c r="B184" s="33" t="s">
        <v>45</v>
      </c>
      <c r="C184" s="33" t="s">
        <v>725</v>
      </c>
      <c r="D184" s="33" t="s">
        <v>488</v>
      </c>
      <c r="E184" s="33" t="s">
        <v>45</v>
      </c>
      <c r="F184" s="33">
        <v>2</v>
      </c>
      <c r="G184" s="33" t="s">
        <v>606</v>
      </c>
      <c r="H184">
        <v>1</v>
      </c>
      <c r="I184" s="33" t="s">
        <v>732</v>
      </c>
      <c r="J184" s="33" t="str">
        <f t="shared" si="5"/>
        <v>2016-18Scotland</v>
      </c>
      <c r="K184" s="33">
        <v>62.21</v>
      </c>
    </row>
    <row r="185" spans="1:11">
      <c r="A185" s="33" t="s">
        <v>155</v>
      </c>
      <c r="B185" s="33" t="s">
        <v>46</v>
      </c>
      <c r="C185" s="33" t="s">
        <v>725</v>
      </c>
      <c r="D185" s="33" t="s">
        <v>608</v>
      </c>
      <c r="E185" s="33" t="s">
        <v>46</v>
      </c>
      <c r="F185" s="33">
        <v>2</v>
      </c>
      <c r="G185" s="33" t="s">
        <v>606</v>
      </c>
      <c r="H185">
        <v>1</v>
      </c>
      <c r="I185" s="33" t="s">
        <v>732</v>
      </c>
      <c r="J185" s="33" t="str">
        <f t="shared" si="5"/>
        <v>2017-19United Kingdom</v>
      </c>
      <c r="K185" s="33">
        <v>63.28</v>
      </c>
    </row>
    <row r="186" spans="1:11">
      <c r="A186" s="33" t="s">
        <v>155</v>
      </c>
      <c r="B186" s="33" t="s">
        <v>45</v>
      </c>
      <c r="C186" s="33" t="s">
        <v>733</v>
      </c>
      <c r="D186" s="33" t="s">
        <v>109</v>
      </c>
      <c r="E186" s="33" t="s">
        <v>18</v>
      </c>
      <c r="F186" s="33">
        <v>2</v>
      </c>
      <c r="G186" s="33" t="s">
        <v>606</v>
      </c>
      <c r="H186">
        <v>1</v>
      </c>
      <c r="I186" s="33" t="s">
        <v>732</v>
      </c>
      <c r="J186" s="33" t="str">
        <f t="shared" si="5"/>
        <v>2017-19Clackmannanshire</v>
      </c>
      <c r="K186" s="33">
        <v>62.41</v>
      </c>
    </row>
    <row r="187" spans="1:11">
      <c r="A187" s="33" t="s">
        <v>155</v>
      </c>
      <c r="B187" s="33" t="s">
        <v>45</v>
      </c>
      <c r="C187" s="33" t="s">
        <v>733</v>
      </c>
      <c r="D187" s="33" t="s">
        <v>108</v>
      </c>
      <c r="E187" s="33" t="s">
        <v>19</v>
      </c>
      <c r="F187" s="33">
        <v>2</v>
      </c>
      <c r="G187" s="33" t="s">
        <v>606</v>
      </c>
      <c r="H187">
        <v>1</v>
      </c>
      <c r="I187" s="33" t="s">
        <v>732</v>
      </c>
      <c r="J187" s="33" t="str">
        <f t="shared" si="5"/>
        <v>2017-19Dumfries and Galloway</v>
      </c>
      <c r="K187" s="33">
        <v>62.53</v>
      </c>
    </row>
    <row r="188" spans="1:11">
      <c r="A188" s="33" t="s">
        <v>155</v>
      </c>
      <c r="B188" s="33" t="s">
        <v>45</v>
      </c>
      <c r="C188" s="33" t="s">
        <v>733</v>
      </c>
      <c r="D188" s="33" t="s">
        <v>106</v>
      </c>
      <c r="E188" s="33" t="s">
        <v>21</v>
      </c>
      <c r="F188" s="33">
        <v>2</v>
      </c>
      <c r="G188" s="33" t="s">
        <v>606</v>
      </c>
      <c r="H188">
        <v>1</v>
      </c>
      <c r="I188" s="33" t="s">
        <v>732</v>
      </c>
      <c r="J188" s="33" t="str">
        <f t="shared" si="5"/>
        <v>2017-19East Ayrshire</v>
      </c>
      <c r="K188" s="33">
        <v>58.24</v>
      </c>
    </row>
    <row r="189" spans="1:11">
      <c r="A189" s="33" t="s">
        <v>155</v>
      </c>
      <c r="B189" s="33" t="s">
        <v>45</v>
      </c>
      <c r="C189" s="33" t="s">
        <v>733</v>
      </c>
      <c r="D189" s="33" t="s">
        <v>104</v>
      </c>
      <c r="E189" s="33" t="s">
        <v>23</v>
      </c>
      <c r="F189" s="33">
        <v>2</v>
      </c>
      <c r="G189" s="33" t="s">
        <v>606</v>
      </c>
      <c r="H189">
        <v>1</v>
      </c>
      <c r="I189" s="33" t="s">
        <v>732</v>
      </c>
      <c r="J189" s="33" t="str">
        <f t="shared" si="5"/>
        <v>2017-19East Lothian</v>
      </c>
      <c r="K189" s="33">
        <v>64.61</v>
      </c>
    </row>
    <row r="190" spans="1:11">
      <c r="A190" s="33" t="s">
        <v>155</v>
      </c>
      <c r="B190" s="33" t="s">
        <v>45</v>
      </c>
      <c r="C190" s="33" t="s">
        <v>733</v>
      </c>
      <c r="D190" s="33" t="s">
        <v>103</v>
      </c>
      <c r="E190" s="33" t="s">
        <v>24</v>
      </c>
      <c r="F190" s="33">
        <v>2</v>
      </c>
      <c r="G190" s="33" t="s">
        <v>606</v>
      </c>
      <c r="H190">
        <v>1</v>
      </c>
      <c r="I190" s="33" t="s">
        <v>732</v>
      </c>
      <c r="J190" s="33" t="str">
        <f t="shared" si="5"/>
        <v>2017-19East Renfrewshire</v>
      </c>
      <c r="K190" s="33">
        <v>67.19</v>
      </c>
    </row>
    <row r="191" spans="1:11">
      <c r="A191" s="33" t="s">
        <v>155</v>
      </c>
      <c r="B191" s="33" t="s">
        <v>45</v>
      </c>
      <c r="C191" s="33" t="s">
        <v>733</v>
      </c>
      <c r="D191" s="33" t="s">
        <v>95</v>
      </c>
      <c r="E191" s="33" t="s">
        <v>32</v>
      </c>
      <c r="F191" s="33">
        <v>2</v>
      </c>
      <c r="G191" s="33" t="s">
        <v>606</v>
      </c>
      <c r="H191">
        <v>1</v>
      </c>
      <c r="I191" s="33" t="s">
        <v>732</v>
      </c>
      <c r="J191" s="33" t="str">
        <f t="shared" si="5"/>
        <v>2017-19Na h-Eileanan Siar</v>
      </c>
      <c r="K191" s="33">
        <v>69.58</v>
      </c>
    </row>
    <row r="192" spans="1:11">
      <c r="A192" s="33" t="s">
        <v>155</v>
      </c>
      <c r="B192" s="33" t="s">
        <v>45</v>
      </c>
      <c r="C192" s="33" t="s">
        <v>733</v>
      </c>
      <c r="D192" s="33" t="s">
        <v>102</v>
      </c>
      <c r="E192" s="33" t="s">
        <v>25</v>
      </c>
      <c r="F192" s="33">
        <v>2</v>
      </c>
      <c r="G192" s="33" t="s">
        <v>606</v>
      </c>
      <c r="H192">
        <v>1</v>
      </c>
      <c r="I192" s="33" t="s">
        <v>732</v>
      </c>
      <c r="J192" s="33" t="str">
        <f t="shared" si="5"/>
        <v>2017-19Falkirk</v>
      </c>
      <c r="K192" s="33">
        <v>59.71</v>
      </c>
    </row>
    <row r="193" spans="1:11">
      <c r="A193" s="33" t="s">
        <v>155</v>
      </c>
      <c r="B193" s="33" t="s">
        <v>45</v>
      </c>
      <c r="C193" s="33" t="s">
        <v>733</v>
      </c>
      <c r="D193" s="33" t="s">
        <v>99</v>
      </c>
      <c r="E193" s="33" t="s">
        <v>28</v>
      </c>
      <c r="F193" s="33">
        <v>2</v>
      </c>
      <c r="G193" s="33" t="s">
        <v>606</v>
      </c>
      <c r="H193">
        <v>1</v>
      </c>
      <c r="I193" s="33" t="s">
        <v>732</v>
      </c>
      <c r="J193" s="33" t="str">
        <f t="shared" si="5"/>
        <v>2017-19Highland</v>
      </c>
      <c r="K193" s="33">
        <v>64.36</v>
      </c>
    </row>
    <row r="194" spans="1:11">
      <c r="A194" s="33" t="s">
        <v>155</v>
      </c>
      <c r="B194" s="33" t="s">
        <v>45</v>
      </c>
      <c r="C194" s="33" t="s">
        <v>733</v>
      </c>
      <c r="D194" s="33" t="s">
        <v>98</v>
      </c>
      <c r="E194" s="33" t="s">
        <v>29</v>
      </c>
      <c r="F194" s="33">
        <v>2</v>
      </c>
      <c r="G194" s="33" t="s">
        <v>606</v>
      </c>
      <c r="H194">
        <v>1</v>
      </c>
      <c r="I194" s="33" t="s">
        <v>732</v>
      </c>
      <c r="J194" s="33" t="str">
        <f t="shared" si="5"/>
        <v>2017-19Inverclyde</v>
      </c>
      <c r="K194" s="33">
        <v>59.65</v>
      </c>
    </row>
    <row r="195" spans="1:11">
      <c r="A195" s="33" t="s">
        <v>155</v>
      </c>
      <c r="B195" s="33" t="s">
        <v>45</v>
      </c>
      <c r="C195" s="33" t="s">
        <v>733</v>
      </c>
      <c r="D195" s="33" t="s">
        <v>97</v>
      </c>
      <c r="E195" s="33" t="s">
        <v>30</v>
      </c>
      <c r="F195" s="33">
        <v>2</v>
      </c>
      <c r="G195" s="33" t="s">
        <v>606</v>
      </c>
      <c r="H195">
        <v>1</v>
      </c>
      <c r="I195" s="33" t="s">
        <v>732</v>
      </c>
      <c r="J195" s="33" t="str">
        <f t="shared" si="5"/>
        <v>2017-19Midlothian</v>
      </c>
      <c r="K195" s="33">
        <v>63.97</v>
      </c>
    </row>
    <row r="196" spans="1:11">
      <c r="A196" s="33" t="s">
        <v>155</v>
      </c>
      <c r="B196" s="33" t="s">
        <v>45</v>
      </c>
      <c r="C196" s="33" t="s">
        <v>733</v>
      </c>
      <c r="D196" s="33" t="s">
        <v>96</v>
      </c>
      <c r="E196" s="33" t="s">
        <v>31</v>
      </c>
      <c r="F196" s="33">
        <v>2</v>
      </c>
      <c r="G196" s="33" t="s">
        <v>606</v>
      </c>
      <c r="H196">
        <v>1</v>
      </c>
      <c r="I196" s="33" t="s">
        <v>732</v>
      </c>
      <c r="J196" s="33" t="str">
        <f t="shared" si="5"/>
        <v>2017-19Moray</v>
      </c>
      <c r="K196" s="33">
        <v>61.38</v>
      </c>
    </row>
    <row r="197" spans="1:11">
      <c r="A197" s="33" t="s">
        <v>155</v>
      </c>
      <c r="B197" s="33" t="s">
        <v>45</v>
      </c>
      <c r="C197" s="33" t="s">
        <v>733</v>
      </c>
      <c r="D197" s="33" t="s">
        <v>94</v>
      </c>
      <c r="E197" s="33" t="s">
        <v>33</v>
      </c>
      <c r="F197" s="33">
        <v>2</v>
      </c>
      <c r="G197" s="33" t="s">
        <v>606</v>
      </c>
      <c r="H197">
        <v>1</v>
      </c>
      <c r="I197" s="33" t="s">
        <v>732</v>
      </c>
      <c r="J197" s="33" t="str">
        <f t="shared" si="5"/>
        <v>2017-19North Ayrshire</v>
      </c>
      <c r="K197" s="33">
        <v>56.34</v>
      </c>
    </row>
    <row r="198" spans="1:11">
      <c r="A198" s="33" t="s">
        <v>155</v>
      </c>
      <c r="B198" s="33" t="s">
        <v>45</v>
      </c>
      <c r="C198" s="33" t="s">
        <v>733</v>
      </c>
      <c r="D198" s="33" t="s">
        <v>92</v>
      </c>
      <c r="E198" s="33" t="s">
        <v>35</v>
      </c>
      <c r="F198" s="33">
        <v>2</v>
      </c>
      <c r="G198" s="33" t="s">
        <v>606</v>
      </c>
      <c r="H198">
        <v>1</v>
      </c>
      <c r="I198" s="33" t="s">
        <v>732</v>
      </c>
      <c r="J198" s="33" t="str">
        <f t="shared" si="5"/>
        <v>2017-19Orkney Islands</v>
      </c>
      <c r="K198" s="33">
        <v>75.05</v>
      </c>
    </row>
    <row r="199" spans="1:11">
      <c r="A199" s="33" t="s">
        <v>155</v>
      </c>
      <c r="B199" s="33" t="s">
        <v>45</v>
      </c>
      <c r="C199" s="33" t="s">
        <v>733</v>
      </c>
      <c r="D199" s="33" t="s">
        <v>89</v>
      </c>
      <c r="E199" s="33" t="s">
        <v>38</v>
      </c>
      <c r="F199" s="33">
        <v>2</v>
      </c>
      <c r="G199" s="33" t="s">
        <v>606</v>
      </c>
      <c r="H199">
        <v>1</v>
      </c>
      <c r="I199" s="33" t="s">
        <v>732</v>
      </c>
      <c r="J199" s="33" t="str">
        <f t="shared" si="5"/>
        <v>2017-19Scottish Borders</v>
      </c>
      <c r="K199" s="33">
        <v>63.81</v>
      </c>
    </row>
    <row r="200" spans="1:11">
      <c r="A200" s="33" t="s">
        <v>155</v>
      </c>
      <c r="B200" s="33" t="s">
        <v>45</v>
      </c>
      <c r="C200" s="33" t="s">
        <v>733</v>
      </c>
      <c r="D200" s="33" t="s">
        <v>88</v>
      </c>
      <c r="E200" s="33" t="s">
        <v>39</v>
      </c>
      <c r="F200" s="33">
        <v>2</v>
      </c>
      <c r="G200" s="33" t="s">
        <v>606</v>
      </c>
      <c r="H200">
        <v>1</v>
      </c>
      <c r="I200" s="33" t="s">
        <v>732</v>
      </c>
      <c r="J200" s="33" t="str">
        <f t="shared" si="5"/>
        <v>2017-19Shetland Islands</v>
      </c>
      <c r="K200" s="33">
        <v>61.87</v>
      </c>
    </row>
    <row r="201" spans="1:11">
      <c r="A201" s="33" t="s">
        <v>155</v>
      </c>
      <c r="B201" s="33" t="s">
        <v>45</v>
      </c>
      <c r="C201" s="33" t="s">
        <v>733</v>
      </c>
      <c r="D201" s="33" t="s">
        <v>87</v>
      </c>
      <c r="E201" s="33" t="s">
        <v>40</v>
      </c>
      <c r="F201" s="33">
        <v>2</v>
      </c>
      <c r="G201" s="33" t="s">
        <v>606</v>
      </c>
      <c r="H201">
        <v>1</v>
      </c>
      <c r="I201" s="33" t="s">
        <v>732</v>
      </c>
      <c r="J201" s="33" t="str">
        <f t="shared" si="5"/>
        <v>2017-19South Ayrshire</v>
      </c>
      <c r="K201" s="33">
        <v>63.28</v>
      </c>
    </row>
    <row r="202" spans="1:11">
      <c r="A202" s="33" t="s">
        <v>155</v>
      </c>
      <c r="B202" s="33" t="s">
        <v>45</v>
      </c>
      <c r="C202" s="33" t="s">
        <v>733</v>
      </c>
      <c r="D202" s="33" t="s">
        <v>86</v>
      </c>
      <c r="E202" s="33" t="s">
        <v>41</v>
      </c>
      <c r="F202" s="33">
        <v>2</v>
      </c>
      <c r="G202" s="33" t="s">
        <v>606</v>
      </c>
      <c r="H202">
        <v>1</v>
      </c>
      <c r="I202" s="33" t="s">
        <v>732</v>
      </c>
      <c r="J202" s="33" t="str">
        <f t="shared" si="5"/>
        <v>2017-19South Lanarkshire</v>
      </c>
      <c r="K202" s="33">
        <v>62.98</v>
      </c>
    </row>
    <row r="203" spans="1:11">
      <c r="A203" s="33" t="s">
        <v>155</v>
      </c>
      <c r="B203" s="33" t="s">
        <v>45</v>
      </c>
      <c r="C203" s="33" t="s">
        <v>733</v>
      </c>
      <c r="D203" s="33" t="s">
        <v>85</v>
      </c>
      <c r="E203" s="33" t="s">
        <v>42</v>
      </c>
      <c r="F203" s="33">
        <v>2</v>
      </c>
      <c r="G203" s="33" t="s">
        <v>606</v>
      </c>
      <c r="H203">
        <v>1</v>
      </c>
      <c r="I203" s="33" t="s">
        <v>732</v>
      </c>
      <c r="J203" s="33" t="str">
        <f t="shared" si="5"/>
        <v>2017-19Stirling</v>
      </c>
      <c r="K203" s="33">
        <v>64.900000000000006</v>
      </c>
    </row>
    <row r="204" spans="1:11">
      <c r="A204" s="33" t="s">
        <v>155</v>
      </c>
      <c r="B204" s="33" t="s">
        <v>45</v>
      </c>
      <c r="C204" s="33" t="s">
        <v>733</v>
      </c>
      <c r="D204" s="33" t="s">
        <v>114</v>
      </c>
      <c r="E204" s="33" t="s">
        <v>14</v>
      </c>
      <c r="F204" s="33">
        <v>2</v>
      </c>
      <c r="G204" s="33" t="s">
        <v>606</v>
      </c>
      <c r="H204">
        <v>1</v>
      </c>
      <c r="I204" s="33" t="s">
        <v>732</v>
      </c>
      <c r="J204" s="33" t="str">
        <f t="shared" si="5"/>
        <v>2017-19Aberdeen City</v>
      </c>
      <c r="K204" s="33">
        <v>62.52</v>
      </c>
    </row>
    <row r="205" spans="1:11">
      <c r="A205" s="33" t="s">
        <v>155</v>
      </c>
      <c r="B205" s="33" t="s">
        <v>45</v>
      </c>
      <c r="C205" s="33" t="s">
        <v>733</v>
      </c>
      <c r="D205" s="33" t="s">
        <v>113</v>
      </c>
      <c r="E205" s="33" t="s">
        <v>15</v>
      </c>
      <c r="F205" s="33">
        <v>2</v>
      </c>
      <c r="G205" s="33" t="s">
        <v>606</v>
      </c>
      <c r="H205">
        <v>1</v>
      </c>
      <c r="I205" s="33" t="s">
        <v>732</v>
      </c>
      <c r="J205" s="33" t="str">
        <f t="shared" si="5"/>
        <v>2017-19Aberdeenshire</v>
      </c>
      <c r="K205" s="33">
        <v>65.959999999999994</v>
      </c>
    </row>
    <row r="206" spans="1:11">
      <c r="A206" s="33" t="s">
        <v>155</v>
      </c>
      <c r="B206" s="33" t="s">
        <v>45</v>
      </c>
      <c r="C206" s="33" t="s">
        <v>733</v>
      </c>
      <c r="D206" s="33" t="s">
        <v>111</v>
      </c>
      <c r="E206" s="33" t="s">
        <v>17</v>
      </c>
      <c r="F206" s="33">
        <v>2</v>
      </c>
      <c r="G206" s="33" t="s">
        <v>606</v>
      </c>
      <c r="H206">
        <v>1</v>
      </c>
      <c r="I206" s="33" t="s">
        <v>732</v>
      </c>
      <c r="J206" s="33" t="str">
        <f t="shared" si="5"/>
        <v>2017-19Argyll and Bute</v>
      </c>
      <c r="K206" s="33">
        <v>63.43</v>
      </c>
    </row>
    <row r="207" spans="1:11">
      <c r="A207" s="33" t="s">
        <v>155</v>
      </c>
      <c r="B207" s="33" t="s">
        <v>45</v>
      </c>
      <c r="C207" s="33" t="s">
        <v>733</v>
      </c>
      <c r="D207" s="33" t="s">
        <v>110</v>
      </c>
      <c r="E207" s="33" t="s">
        <v>586</v>
      </c>
      <c r="F207" s="33">
        <v>2</v>
      </c>
      <c r="G207" s="33" t="s">
        <v>606</v>
      </c>
      <c r="H207">
        <v>1</v>
      </c>
      <c r="I207" s="33" t="s">
        <v>732</v>
      </c>
      <c r="J207" s="33" t="str">
        <f t="shared" si="5"/>
        <v>2017-19City of Edinburgh</v>
      </c>
      <c r="K207" s="33">
        <v>64.989999999999995</v>
      </c>
    </row>
    <row r="208" spans="1:11">
      <c r="A208" s="33" t="s">
        <v>155</v>
      </c>
      <c r="B208" s="33" t="s">
        <v>45</v>
      </c>
      <c r="C208" s="33" t="s">
        <v>733</v>
      </c>
      <c r="D208" s="33" t="s">
        <v>90</v>
      </c>
      <c r="E208" s="33" t="s">
        <v>37</v>
      </c>
      <c r="F208" s="33">
        <v>2</v>
      </c>
      <c r="G208" s="33" t="s">
        <v>606</v>
      </c>
      <c r="H208">
        <v>1</v>
      </c>
      <c r="I208" s="33" t="s">
        <v>732</v>
      </c>
      <c r="J208" s="33" t="str">
        <f t="shared" si="5"/>
        <v>2017-19Renfrewshire</v>
      </c>
      <c r="K208" s="33">
        <v>62.26</v>
      </c>
    </row>
    <row r="209" spans="1:11">
      <c r="A209" s="33" t="s">
        <v>155</v>
      </c>
      <c r="B209" s="33" t="s">
        <v>45</v>
      </c>
      <c r="C209" s="33" t="s">
        <v>733</v>
      </c>
      <c r="D209" s="33" t="s">
        <v>84</v>
      </c>
      <c r="E209" s="33" t="s">
        <v>43</v>
      </c>
      <c r="F209" s="33">
        <v>2</v>
      </c>
      <c r="G209" s="33" t="s">
        <v>606</v>
      </c>
      <c r="H209">
        <v>1</v>
      </c>
      <c r="I209" s="33" t="s">
        <v>732</v>
      </c>
      <c r="J209" s="33" t="str">
        <f t="shared" si="5"/>
        <v>2017-19West Dunbartonshire</v>
      </c>
      <c r="K209" s="33">
        <v>60.55</v>
      </c>
    </row>
    <row r="210" spans="1:11">
      <c r="A210" s="33" t="s">
        <v>155</v>
      </c>
      <c r="B210" s="33" t="s">
        <v>45</v>
      </c>
      <c r="C210" s="33" t="s">
        <v>733</v>
      </c>
      <c r="D210" s="33" t="s">
        <v>83</v>
      </c>
      <c r="E210" s="33" t="s">
        <v>44</v>
      </c>
      <c r="F210" s="33">
        <v>2</v>
      </c>
      <c r="G210" s="33" t="s">
        <v>606</v>
      </c>
      <c r="H210">
        <v>1</v>
      </c>
      <c r="I210" s="33" t="s">
        <v>732</v>
      </c>
      <c r="J210" s="33" t="str">
        <f t="shared" si="5"/>
        <v>2017-19West Lothian</v>
      </c>
      <c r="K210" s="33">
        <v>59.07</v>
      </c>
    </row>
    <row r="211" spans="1:11">
      <c r="A211" s="33" t="s">
        <v>155</v>
      </c>
      <c r="B211" s="33" t="s">
        <v>45</v>
      </c>
      <c r="C211" s="33" t="s">
        <v>733</v>
      </c>
      <c r="D211" s="33" t="s">
        <v>112</v>
      </c>
      <c r="E211" s="33" t="s">
        <v>16</v>
      </c>
      <c r="F211" s="33">
        <v>2</v>
      </c>
      <c r="G211" s="33" t="s">
        <v>606</v>
      </c>
      <c r="H211">
        <v>1</v>
      </c>
      <c r="I211" s="33" t="s">
        <v>732</v>
      </c>
      <c r="J211" s="33" t="str">
        <f t="shared" si="5"/>
        <v>2017-19Angus</v>
      </c>
      <c r="K211" s="33">
        <v>63.09</v>
      </c>
    </row>
    <row r="212" spans="1:11">
      <c r="A212" s="33" t="s">
        <v>155</v>
      </c>
      <c r="B212" s="33" t="s">
        <v>45</v>
      </c>
      <c r="C212" s="33" t="s">
        <v>733</v>
      </c>
      <c r="D212" s="33" t="s">
        <v>107</v>
      </c>
      <c r="E212" s="33" t="s">
        <v>20</v>
      </c>
      <c r="F212" s="33">
        <v>2</v>
      </c>
      <c r="G212" s="33" t="s">
        <v>606</v>
      </c>
      <c r="H212">
        <v>1</v>
      </c>
      <c r="I212" s="33" t="s">
        <v>732</v>
      </c>
      <c r="J212" s="33" t="str">
        <f t="shared" si="5"/>
        <v>2017-19Dundee City</v>
      </c>
      <c r="K212" s="33">
        <v>57.88</v>
      </c>
    </row>
    <row r="213" spans="1:11">
      <c r="A213" s="33" t="s">
        <v>155</v>
      </c>
      <c r="B213" s="33" t="s">
        <v>45</v>
      </c>
      <c r="C213" s="33" t="s">
        <v>733</v>
      </c>
      <c r="D213" s="33" t="s">
        <v>105</v>
      </c>
      <c r="E213" s="33" t="s">
        <v>22</v>
      </c>
      <c r="F213" s="33">
        <v>2</v>
      </c>
      <c r="G213" s="33" t="s">
        <v>606</v>
      </c>
      <c r="H213">
        <v>1</v>
      </c>
      <c r="I213" s="33" t="s">
        <v>732</v>
      </c>
      <c r="J213" s="33" t="str">
        <f t="shared" si="5"/>
        <v>2017-19East Dunbartonshire</v>
      </c>
      <c r="K213" s="33">
        <v>66.53</v>
      </c>
    </row>
    <row r="214" spans="1:11">
      <c r="A214" s="33" t="s">
        <v>155</v>
      </c>
      <c r="B214" s="33" t="s">
        <v>45</v>
      </c>
      <c r="C214" s="33" t="s">
        <v>733</v>
      </c>
      <c r="D214" s="33" t="s">
        <v>101</v>
      </c>
      <c r="E214" s="33" t="s">
        <v>26</v>
      </c>
      <c r="F214" s="33">
        <v>2</v>
      </c>
      <c r="G214" s="33" t="s">
        <v>606</v>
      </c>
      <c r="H214">
        <v>1</v>
      </c>
      <c r="I214" s="33" t="s">
        <v>732</v>
      </c>
      <c r="J214" s="33" t="str">
        <f t="shared" si="5"/>
        <v>2017-19Fife</v>
      </c>
      <c r="K214" s="33">
        <v>61.27</v>
      </c>
    </row>
    <row r="215" spans="1:11">
      <c r="A215" s="33" t="s">
        <v>155</v>
      </c>
      <c r="B215" s="33" t="s">
        <v>45</v>
      </c>
      <c r="C215" s="33" t="s">
        <v>733</v>
      </c>
      <c r="D215" s="33" t="s">
        <v>91</v>
      </c>
      <c r="E215" s="33" t="s">
        <v>36</v>
      </c>
      <c r="F215" s="33">
        <v>2</v>
      </c>
      <c r="G215" s="33" t="s">
        <v>606</v>
      </c>
      <c r="H215">
        <v>1</v>
      </c>
      <c r="I215" s="33" t="s">
        <v>732</v>
      </c>
      <c r="J215" s="33" t="str">
        <f t="shared" si="5"/>
        <v>2017-19Perth and Kinross</v>
      </c>
      <c r="K215" s="33">
        <v>63.66</v>
      </c>
    </row>
    <row r="216" spans="1:11">
      <c r="A216" s="33" t="s">
        <v>155</v>
      </c>
      <c r="B216" s="33" t="s">
        <v>45</v>
      </c>
      <c r="C216" s="33" t="s">
        <v>733</v>
      </c>
      <c r="D216" s="33" t="s">
        <v>163</v>
      </c>
      <c r="E216" s="33" t="s">
        <v>27</v>
      </c>
      <c r="F216" s="33">
        <v>2</v>
      </c>
      <c r="G216" s="33" t="s">
        <v>606</v>
      </c>
      <c r="H216">
        <v>1</v>
      </c>
      <c r="I216" s="33" t="s">
        <v>732</v>
      </c>
      <c r="J216" s="33" t="str">
        <f t="shared" si="5"/>
        <v>2017-19Glasgow City</v>
      </c>
      <c r="K216" s="33">
        <v>57.59</v>
      </c>
    </row>
    <row r="217" spans="1:11">
      <c r="A217" s="33" t="s">
        <v>155</v>
      </c>
      <c r="B217" s="33" t="s">
        <v>45</v>
      </c>
      <c r="C217" s="33" t="s">
        <v>733</v>
      </c>
      <c r="D217" s="33" t="s">
        <v>162</v>
      </c>
      <c r="E217" s="33" t="s">
        <v>34</v>
      </c>
      <c r="F217" s="33">
        <v>2</v>
      </c>
      <c r="G217" s="33" t="s">
        <v>606</v>
      </c>
      <c r="H217">
        <v>1</v>
      </c>
      <c r="I217" s="33" t="s">
        <v>732</v>
      </c>
      <c r="J217" s="33" t="str">
        <f t="shared" si="5"/>
        <v>2017-19North Lanarkshire</v>
      </c>
      <c r="K217" s="33">
        <v>57.77</v>
      </c>
    </row>
    <row r="218" spans="1:11">
      <c r="A218" s="33" t="s">
        <v>155</v>
      </c>
      <c r="B218" s="33" t="s">
        <v>45</v>
      </c>
      <c r="C218" s="33" t="s">
        <v>725</v>
      </c>
      <c r="D218" s="33" t="s">
        <v>488</v>
      </c>
      <c r="E218" s="33" t="s">
        <v>45</v>
      </c>
      <c r="F218" s="33">
        <v>2</v>
      </c>
      <c r="G218" s="33" t="s">
        <v>606</v>
      </c>
      <c r="H218">
        <v>1</v>
      </c>
      <c r="I218" s="33" t="s">
        <v>732</v>
      </c>
      <c r="J218" s="33" t="str">
        <f t="shared" si="5"/>
        <v>2017-19Scotland</v>
      </c>
      <c r="K218" s="33">
        <v>61.94</v>
      </c>
    </row>
    <row r="219" spans="1:11">
      <c r="A219" s="33" t="s">
        <v>607</v>
      </c>
      <c r="B219" s="33" t="s">
        <v>46</v>
      </c>
      <c r="C219" s="33" t="s">
        <v>725</v>
      </c>
      <c r="D219" s="33" t="s">
        <v>608</v>
      </c>
      <c r="E219" s="33" t="s">
        <v>46</v>
      </c>
      <c r="F219" s="33">
        <v>2</v>
      </c>
      <c r="G219" s="33" t="s">
        <v>606</v>
      </c>
      <c r="H219">
        <v>1</v>
      </c>
      <c r="I219" s="33" t="s">
        <v>732</v>
      </c>
      <c r="J219" s="33" t="str">
        <f t="shared" si="5"/>
        <v>2018-20United Kingdom</v>
      </c>
      <c r="K219" s="33">
        <v>63.59</v>
      </c>
    </row>
    <row r="220" spans="1:11">
      <c r="A220" s="33" t="s">
        <v>607</v>
      </c>
      <c r="B220" s="33" t="s">
        <v>45</v>
      </c>
      <c r="C220" s="33" t="s">
        <v>733</v>
      </c>
      <c r="D220" s="33" t="s">
        <v>109</v>
      </c>
      <c r="E220" s="33" t="s">
        <v>18</v>
      </c>
      <c r="F220" s="33">
        <v>2</v>
      </c>
      <c r="G220" s="33" t="s">
        <v>606</v>
      </c>
      <c r="H220">
        <v>1</v>
      </c>
      <c r="I220" s="33" t="s">
        <v>732</v>
      </c>
      <c r="J220" s="33" t="str">
        <f t="shared" si="5"/>
        <v>2018-20Clackmannanshire</v>
      </c>
      <c r="K220" s="33">
        <v>62.66</v>
      </c>
    </row>
    <row r="221" spans="1:11">
      <c r="A221" s="33" t="s">
        <v>607</v>
      </c>
      <c r="B221" s="33" t="s">
        <v>45</v>
      </c>
      <c r="C221" s="33" t="s">
        <v>733</v>
      </c>
      <c r="D221" s="33" t="s">
        <v>108</v>
      </c>
      <c r="E221" s="33" t="s">
        <v>19</v>
      </c>
      <c r="F221" s="33">
        <v>2</v>
      </c>
      <c r="G221" s="33" t="s">
        <v>606</v>
      </c>
      <c r="H221">
        <v>1</v>
      </c>
      <c r="I221" s="33" t="s">
        <v>732</v>
      </c>
      <c r="J221" s="33" t="str">
        <f t="shared" si="5"/>
        <v>2018-20Dumfries and Galloway</v>
      </c>
      <c r="K221" s="33">
        <v>61.41</v>
      </c>
    </row>
    <row r="222" spans="1:11">
      <c r="A222" s="33" t="s">
        <v>607</v>
      </c>
      <c r="B222" s="33" t="s">
        <v>45</v>
      </c>
      <c r="C222" s="33" t="s">
        <v>733</v>
      </c>
      <c r="D222" s="33" t="s">
        <v>106</v>
      </c>
      <c r="E222" s="33" t="s">
        <v>21</v>
      </c>
      <c r="F222" s="33">
        <v>2</v>
      </c>
      <c r="G222" s="33" t="s">
        <v>606</v>
      </c>
      <c r="H222">
        <v>1</v>
      </c>
      <c r="I222" s="33" t="s">
        <v>732</v>
      </c>
      <c r="J222" s="33" t="str">
        <f t="shared" si="5"/>
        <v>2018-20East Ayrshire</v>
      </c>
      <c r="K222" s="33">
        <v>59.13</v>
      </c>
    </row>
    <row r="223" spans="1:11">
      <c r="A223" s="33" t="s">
        <v>607</v>
      </c>
      <c r="B223" s="33" t="s">
        <v>45</v>
      </c>
      <c r="C223" s="33" t="s">
        <v>733</v>
      </c>
      <c r="D223" s="33" t="s">
        <v>104</v>
      </c>
      <c r="E223" s="33" t="s">
        <v>23</v>
      </c>
      <c r="F223" s="33">
        <v>2</v>
      </c>
      <c r="G223" s="33" t="s">
        <v>606</v>
      </c>
      <c r="H223">
        <v>1</v>
      </c>
      <c r="I223" s="33" t="s">
        <v>732</v>
      </c>
      <c r="J223" s="33" t="str">
        <f t="shared" si="5"/>
        <v>2018-20East Lothian</v>
      </c>
      <c r="K223" s="33">
        <v>65.31</v>
      </c>
    </row>
    <row r="224" spans="1:11">
      <c r="A224" s="33" t="s">
        <v>607</v>
      </c>
      <c r="B224" s="33" t="s">
        <v>45</v>
      </c>
      <c r="C224" s="33" t="s">
        <v>733</v>
      </c>
      <c r="D224" s="33" t="s">
        <v>103</v>
      </c>
      <c r="E224" s="33" t="s">
        <v>24</v>
      </c>
      <c r="F224" s="33">
        <v>2</v>
      </c>
      <c r="G224" s="33" t="s">
        <v>606</v>
      </c>
      <c r="H224">
        <v>1</v>
      </c>
      <c r="I224" s="33" t="s">
        <v>732</v>
      </c>
      <c r="J224" s="33" t="str">
        <f t="shared" si="5"/>
        <v>2018-20East Renfrewshire</v>
      </c>
      <c r="K224" s="33">
        <v>67.03</v>
      </c>
    </row>
    <row r="225" spans="1:11">
      <c r="A225" s="33" t="s">
        <v>607</v>
      </c>
      <c r="B225" s="33" t="s">
        <v>45</v>
      </c>
      <c r="C225" s="33" t="s">
        <v>733</v>
      </c>
      <c r="D225" s="33" t="s">
        <v>95</v>
      </c>
      <c r="E225" s="33" t="s">
        <v>32</v>
      </c>
      <c r="F225" s="33">
        <v>2</v>
      </c>
      <c r="G225" s="33" t="s">
        <v>606</v>
      </c>
      <c r="H225">
        <v>1</v>
      </c>
      <c r="I225" s="33" t="s">
        <v>732</v>
      </c>
      <c r="J225" s="33" t="str">
        <f t="shared" si="5"/>
        <v>2018-20Na h-Eileanan Siar</v>
      </c>
      <c r="K225" s="33">
        <v>67.52</v>
      </c>
    </row>
    <row r="226" spans="1:11">
      <c r="A226" s="33" t="s">
        <v>607</v>
      </c>
      <c r="B226" s="33" t="s">
        <v>45</v>
      </c>
      <c r="C226" s="33" t="s">
        <v>733</v>
      </c>
      <c r="D226" s="33" t="s">
        <v>102</v>
      </c>
      <c r="E226" s="33" t="s">
        <v>25</v>
      </c>
      <c r="F226" s="33">
        <v>2</v>
      </c>
      <c r="G226" s="33" t="s">
        <v>606</v>
      </c>
      <c r="H226">
        <v>1</v>
      </c>
      <c r="I226" s="33" t="s">
        <v>732</v>
      </c>
      <c r="J226" s="33" t="str">
        <f t="shared" si="5"/>
        <v>2018-20Falkirk</v>
      </c>
      <c r="K226" s="33">
        <v>59.49</v>
      </c>
    </row>
    <row r="227" spans="1:11">
      <c r="A227" s="33" t="s">
        <v>607</v>
      </c>
      <c r="B227" s="33" t="s">
        <v>45</v>
      </c>
      <c r="C227" s="33" t="s">
        <v>733</v>
      </c>
      <c r="D227" s="33" t="s">
        <v>99</v>
      </c>
      <c r="E227" s="33" t="s">
        <v>28</v>
      </c>
      <c r="F227" s="33">
        <v>2</v>
      </c>
      <c r="G227" s="33" t="s">
        <v>606</v>
      </c>
      <c r="H227">
        <v>1</v>
      </c>
      <c r="I227" s="33" t="s">
        <v>732</v>
      </c>
      <c r="J227" s="33" t="str">
        <f t="shared" si="5"/>
        <v>2018-20Highland</v>
      </c>
      <c r="K227" s="33">
        <v>65.319999999999993</v>
      </c>
    </row>
    <row r="228" spans="1:11">
      <c r="A228" s="33" t="s">
        <v>607</v>
      </c>
      <c r="B228" s="33" t="s">
        <v>45</v>
      </c>
      <c r="C228" s="33" t="s">
        <v>733</v>
      </c>
      <c r="D228" s="33" t="s">
        <v>98</v>
      </c>
      <c r="E228" s="33" t="s">
        <v>29</v>
      </c>
      <c r="F228" s="33">
        <v>2</v>
      </c>
      <c r="G228" s="33" t="s">
        <v>606</v>
      </c>
      <c r="H228">
        <v>1</v>
      </c>
      <c r="I228" s="33" t="s">
        <v>732</v>
      </c>
      <c r="J228" s="33" t="str">
        <f t="shared" si="5"/>
        <v>2018-20Inverclyde</v>
      </c>
      <c r="K228" s="33">
        <v>59.38</v>
      </c>
    </row>
    <row r="229" spans="1:11">
      <c r="A229" s="33" t="s">
        <v>607</v>
      </c>
      <c r="B229" s="33" t="s">
        <v>45</v>
      </c>
      <c r="C229" s="33" t="s">
        <v>733</v>
      </c>
      <c r="D229" s="33" t="s">
        <v>97</v>
      </c>
      <c r="E229" s="33" t="s">
        <v>30</v>
      </c>
      <c r="F229" s="33">
        <v>2</v>
      </c>
      <c r="G229" s="33" t="s">
        <v>606</v>
      </c>
      <c r="H229">
        <v>1</v>
      </c>
      <c r="I229" s="33" t="s">
        <v>732</v>
      </c>
      <c r="J229" s="33" t="str">
        <f t="shared" si="5"/>
        <v>2018-20Midlothian</v>
      </c>
      <c r="K229" s="33">
        <v>63.67</v>
      </c>
    </row>
    <row r="230" spans="1:11">
      <c r="A230" s="33" t="s">
        <v>607</v>
      </c>
      <c r="B230" s="33" t="s">
        <v>45</v>
      </c>
      <c r="C230" s="33" t="s">
        <v>733</v>
      </c>
      <c r="D230" s="33" t="s">
        <v>96</v>
      </c>
      <c r="E230" s="33" t="s">
        <v>31</v>
      </c>
      <c r="F230" s="33">
        <v>2</v>
      </c>
      <c r="G230" s="33" t="s">
        <v>606</v>
      </c>
      <c r="H230">
        <v>1</v>
      </c>
      <c r="I230" s="33" t="s">
        <v>732</v>
      </c>
      <c r="J230" s="33" t="str">
        <f t="shared" si="5"/>
        <v>2018-20Moray</v>
      </c>
      <c r="K230" s="33">
        <v>62.56</v>
      </c>
    </row>
    <row r="231" spans="1:11">
      <c r="A231" s="33" t="s">
        <v>607</v>
      </c>
      <c r="B231" s="33" t="s">
        <v>45</v>
      </c>
      <c r="C231" s="33" t="s">
        <v>733</v>
      </c>
      <c r="D231" s="33" t="s">
        <v>94</v>
      </c>
      <c r="E231" s="33" t="s">
        <v>33</v>
      </c>
      <c r="F231" s="33">
        <v>2</v>
      </c>
      <c r="G231" s="33" t="s">
        <v>606</v>
      </c>
      <c r="H231">
        <v>1</v>
      </c>
      <c r="I231" s="33" t="s">
        <v>732</v>
      </c>
      <c r="J231" s="33" t="str">
        <f t="shared" si="5"/>
        <v>2018-20North Ayrshire</v>
      </c>
      <c r="K231" s="33">
        <v>54.04</v>
      </c>
    </row>
    <row r="232" spans="1:11">
      <c r="A232" s="33" t="s">
        <v>607</v>
      </c>
      <c r="B232" s="33" t="s">
        <v>45</v>
      </c>
      <c r="C232" s="33" t="s">
        <v>733</v>
      </c>
      <c r="D232" s="33" t="s">
        <v>92</v>
      </c>
      <c r="E232" s="33" t="s">
        <v>35</v>
      </c>
      <c r="F232" s="33">
        <v>2</v>
      </c>
      <c r="G232" s="33" t="s">
        <v>606</v>
      </c>
      <c r="H232">
        <v>1</v>
      </c>
      <c r="I232" s="33" t="s">
        <v>732</v>
      </c>
      <c r="J232" s="33" t="str">
        <f t="shared" si="5"/>
        <v>2018-20Orkney Islands</v>
      </c>
      <c r="K232" s="33">
        <v>77.489999999999995</v>
      </c>
    </row>
    <row r="233" spans="1:11">
      <c r="A233" s="33" t="s">
        <v>607</v>
      </c>
      <c r="B233" s="33" t="s">
        <v>45</v>
      </c>
      <c r="C233" s="33" t="s">
        <v>733</v>
      </c>
      <c r="D233" s="33" t="s">
        <v>89</v>
      </c>
      <c r="E233" s="33" t="s">
        <v>38</v>
      </c>
      <c r="F233" s="33">
        <v>2</v>
      </c>
      <c r="G233" s="33" t="s">
        <v>606</v>
      </c>
      <c r="H233">
        <v>1</v>
      </c>
      <c r="I233" s="33" t="s">
        <v>732</v>
      </c>
      <c r="J233" s="33" t="str">
        <f t="shared" si="5"/>
        <v>2018-20Scottish Borders</v>
      </c>
      <c r="K233" s="33">
        <v>65.3</v>
      </c>
    </row>
    <row r="234" spans="1:11">
      <c r="A234" s="33" t="s">
        <v>607</v>
      </c>
      <c r="B234" s="33" t="s">
        <v>45</v>
      </c>
      <c r="C234" s="33" t="s">
        <v>733</v>
      </c>
      <c r="D234" s="33" t="s">
        <v>88</v>
      </c>
      <c r="E234" s="33" t="s">
        <v>39</v>
      </c>
      <c r="F234" s="33">
        <v>2</v>
      </c>
      <c r="G234" s="33" t="s">
        <v>606</v>
      </c>
      <c r="H234">
        <v>1</v>
      </c>
      <c r="I234" s="33" t="s">
        <v>732</v>
      </c>
      <c r="J234" s="33" t="str">
        <f t="shared" si="5"/>
        <v>2018-20Shetland Islands</v>
      </c>
      <c r="K234" s="33">
        <v>62.5</v>
      </c>
    </row>
    <row r="235" spans="1:11">
      <c r="A235" s="33" t="s">
        <v>607</v>
      </c>
      <c r="B235" s="33" t="s">
        <v>45</v>
      </c>
      <c r="C235" s="33" t="s">
        <v>733</v>
      </c>
      <c r="D235" s="33" t="s">
        <v>87</v>
      </c>
      <c r="E235" s="33" t="s">
        <v>40</v>
      </c>
      <c r="F235" s="33">
        <v>2</v>
      </c>
      <c r="G235" s="33" t="s">
        <v>606</v>
      </c>
      <c r="H235">
        <v>1</v>
      </c>
      <c r="I235" s="33" t="s">
        <v>732</v>
      </c>
      <c r="J235" s="33" t="str">
        <f t="shared" si="5"/>
        <v>2018-20South Ayrshire</v>
      </c>
      <c r="K235" s="33">
        <v>63.66</v>
      </c>
    </row>
    <row r="236" spans="1:11">
      <c r="A236" s="33" t="s">
        <v>607</v>
      </c>
      <c r="B236" s="33" t="s">
        <v>45</v>
      </c>
      <c r="C236" s="33" t="s">
        <v>733</v>
      </c>
      <c r="D236" s="33" t="s">
        <v>86</v>
      </c>
      <c r="E236" s="33" t="s">
        <v>41</v>
      </c>
      <c r="F236" s="33">
        <v>2</v>
      </c>
      <c r="G236" s="33" t="s">
        <v>606</v>
      </c>
      <c r="H236">
        <v>1</v>
      </c>
      <c r="I236" s="33" t="s">
        <v>732</v>
      </c>
      <c r="J236" s="33" t="str">
        <f t="shared" si="5"/>
        <v>2018-20South Lanarkshire</v>
      </c>
      <c r="K236" s="33">
        <v>62.66</v>
      </c>
    </row>
    <row r="237" spans="1:11">
      <c r="A237" s="33" t="s">
        <v>607</v>
      </c>
      <c r="B237" s="33" t="s">
        <v>45</v>
      </c>
      <c r="C237" s="33" t="s">
        <v>733</v>
      </c>
      <c r="D237" s="33" t="s">
        <v>85</v>
      </c>
      <c r="E237" s="33" t="s">
        <v>42</v>
      </c>
      <c r="F237" s="33">
        <v>2</v>
      </c>
      <c r="G237" s="33" t="s">
        <v>606</v>
      </c>
      <c r="H237">
        <v>1</v>
      </c>
      <c r="I237" s="33" t="s">
        <v>732</v>
      </c>
      <c r="J237" s="33" t="str">
        <f t="shared" si="5"/>
        <v>2018-20Stirling</v>
      </c>
      <c r="K237" s="33">
        <v>64.709999999999994</v>
      </c>
    </row>
    <row r="238" spans="1:11">
      <c r="A238" s="33" t="s">
        <v>607</v>
      </c>
      <c r="B238" s="33" t="s">
        <v>45</v>
      </c>
      <c r="C238" s="33" t="s">
        <v>733</v>
      </c>
      <c r="D238" s="33" t="s">
        <v>114</v>
      </c>
      <c r="E238" s="33" t="s">
        <v>14</v>
      </c>
      <c r="F238" s="33">
        <v>2</v>
      </c>
      <c r="G238" s="33" t="s">
        <v>606</v>
      </c>
      <c r="H238">
        <v>1</v>
      </c>
      <c r="I238" s="33" t="s">
        <v>732</v>
      </c>
      <c r="J238" s="33" t="str">
        <f t="shared" ref="J238:J252" si="6">CONCATENATE(A238,E238)</f>
        <v>2018-20Aberdeen City</v>
      </c>
      <c r="K238" s="33">
        <v>61.25</v>
      </c>
    </row>
    <row r="239" spans="1:11">
      <c r="A239" s="33" t="s">
        <v>607</v>
      </c>
      <c r="B239" s="33" t="s">
        <v>45</v>
      </c>
      <c r="C239" s="33" t="s">
        <v>733</v>
      </c>
      <c r="D239" s="33" t="s">
        <v>113</v>
      </c>
      <c r="E239" s="33" t="s">
        <v>15</v>
      </c>
      <c r="F239" s="33">
        <v>2</v>
      </c>
      <c r="G239" s="33" t="s">
        <v>606</v>
      </c>
      <c r="H239">
        <v>1</v>
      </c>
      <c r="I239" s="33" t="s">
        <v>732</v>
      </c>
      <c r="J239" s="33" t="str">
        <f t="shared" si="6"/>
        <v>2018-20Aberdeenshire</v>
      </c>
      <c r="K239" s="33">
        <v>65.86</v>
      </c>
    </row>
    <row r="240" spans="1:11">
      <c r="A240" s="33" t="s">
        <v>607</v>
      </c>
      <c r="B240" s="33" t="s">
        <v>45</v>
      </c>
      <c r="C240" s="33" t="s">
        <v>733</v>
      </c>
      <c r="D240" s="33" t="s">
        <v>111</v>
      </c>
      <c r="E240" s="33" t="s">
        <v>17</v>
      </c>
      <c r="F240" s="33">
        <v>2</v>
      </c>
      <c r="G240" s="33" t="s">
        <v>606</v>
      </c>
      <c r="H240">
        <v>1</v>
      </c>
      <c r="I240" s="33" t="s">
        <v>732</v>
      </c>
      <c r="J240" s="33" t="str">
        <f t="shared" si="6"/>
        <v>2018-20Argyll and Bute</v>
      </c>
      <c r="K240" s="33">
        <v>64.63</v>
      </c>
    </row>
    <row r="241" spans="1:11">
      <c r="A241" s="33" t="s">
        <v>607</v>
      </c>
      <c r="B241" s="33" t="s">
        <v>45</v>
      </c>
      <c r="C241" s="33" t="s">
        <v>733</v>
      </c>
      <c r="D241" s="33" t="s">
        <v>110</v>
      </c>
      <c r="E241" s="33" t="s">
        <v>586</v>
      </c>
      <c r="F241" s="33">
        <v>2</v>
      </c>
      <c r="G241" s="33" t="s">
        <v>606</v>
      </c>
      <c r="H241">
        <v>1</v>
      </c>
      <c r="I241" s="33" t="s">
        <v>732</v>
      </c>
      <c r="J241" s="33" t="str">
        <f t="shared" si="6"/>
        <v>2018-20City of Edinburgh</v>
      </c>
      <c r="K241" s="33">
        <v>66.48</v>
      </c>
    </row>
    <row r="242" spans="1:11">
      <c r="A242" s="33" t="s">
        <v>607</v>
      </c>
      <c r="B242" s="33" t="s">
        <v>45</v>
      </c>
      <c r="C242" s="33" t="s">
        <v>733</v>
      </c>
      <c r="D242" s="33" t="s">
        <v>90</v>
      </c>
      <c r="E242" s="33" t="s">
        <v>37</v>
      </c>
      <c r="F242" s="33">
        <v>2</v>
      </c>
      <c r="G242" s="33" t="s">
        <v>606</v>
      </c>
      <c r="H242">
        <v>1</v>
      </c>
      <c r="I242" s="33" t="s">
        <v>732</v>
      </c>
      <c r="J242" s="33" t="str">
        <f t="shared" si="6"/>
        <v>2018-20Renfrewshire</v>
      </c>
      <c r="K242" s="33">
        <v>61.59</v>
      </c>
    </row>
    <row r="243" spans="1:11">
      <c r="A243" s="33" t="s">
        <v>607</v>
      </c>
      <c r="B243" s="33" t="s">
        <v>45</v>
      </c>
      <c r="C243" s="33" t="s">
        <v>733</v>
      </c>
      <c r="D243" s="33" t="s">
        <v>84</v>
      </c>
      <c r="E243" s="33" t="s">
        <v>43</v>
      </c>
      <c r="F243" s="33">
        <v>2</v>
      </c>
      <c r="G243" s="33" t="s">
        <v>606</v>
      </c>
      <c r="H243">
        <v>1</v>
      </c>
      <c r="I243" s="33" t="s">
        <v>732</v>
      </c>
      <c r="J243" s="33" t="str">
        <f t="shared" si="6"/>
        <v>2018-20West Dunbartonshire</v>
      </c>
      <c r="K243" s="33">
        <v>58.47</v>
      </c>
    </row>
    <row r="244" spans="1:11">
      <c r="A244" s="33" t="s">
        <v>607</v>
      </c>
      <c r="B244" s="33" t="s">
        <v>45</v>
      </c>
      <c r="C244" s="33" t="s">
        <v>733</v>
      </c>
      <c r="D244" s="33" t="s">
        <v>83</v>
      </c>
      <c r="E244" s="33" t="s">
        <v>44</v>
      </c>
      <c r="F244" s="33">
        <v>2</v>
      </c>
      <c r="G244" s="33" t="s">
        <v>606</v>
      </c>
      <c r="H244">
        <v>1</v>
      </c>
      <c r="I244" s="33" t="s">
        <v>732</v>
      </c>
      <c r="J244" s="33" t="str">
        <f t="shared" si="6"/>
        <v>2018-20West Lothian</v>
      </c>
      <c r="K244" s="33">
        <v>60.98</v>
      </c>
    </row>
    <row r="245" spans="1:11">
      <c r="A245" s="33" t="s">
        <v>607</v>
      </c>
      <c r="B245" s="33" t="s">
        <v>45</v>
      </c>
      <c r="C245" s="33" t="s">
        <v>733</v>
      </c>
      <c r="D245" s="33" t="s">
        <v>112</v>
      </c>
      <c r="E245" s="33" t="s">
        <v>16</v>
      </c>
      <c r="F245" s="33">
        <v>2</v>
      </c>
      <c r="G245" s="33" t="s">
        <v>606</v>
      </c>
      <c r="H245">
        <v>1</v>
      </c>
      <c r="I245" s="33" t="s">
        <v>732</v>
      </c>
      <c r="J245" s="33" t="str">
        <f t="shared" si="6"/>
        <v>2018-20Angus</v>
      </c>
      <c r="K245" s="33">
        <v>62.56</v>
      </c>
    </row>
    <row r="246" spans="1:11">
      <c r="A246" s="33" t="s">
        <v>607</v>
      </c>
      <c r="B246" s="33" t="s">
        <v>45</v>
      </c>
      <c r="C246" s="33" t="s">
        <v>733</v>
      </c>
      <c r="D246" s="33" t="s">
        <v>107</v>
      </c>
      <c r="E246" s="33" t="s">
        <v>20</v>
      </c>
      <c r="F246" s="33">
        <v>2</v>
      </c>
      <c r="G246" s="33" t="s">
        <v>606</v>
      </c>
      <c r="H246">
        <v>1</v>
      </c>
      <c r="I246" s="33" t="s">
        <v>732</v>
      </c>
      <c r="J246" s="33" t="str">
        <f t="shared" si="6"/>
        <v>2018-20Dundee City</v>
      </c>
      <c r="K246" s="33">
        <v>58.01</v>
      </c>
    </row>
    <row r="247" spans="1:11">
      <c r="A247" s="33" t="s">
        <v>607</v>
      </c>
      <c r="B247" s="33" t="s">
        <v>45</v>
      </c>
      <c r="C247" s="33" t="s">
        <v>733</v>
      </c>
      <c r="D247" s="33" t="s">
        <v>105</v>
      </c>
      <c r="E247" s="33" t="s">
        <v>22</v>
      </c>
      <c r="F247" s="33">
        <v>2</v>
      </c>
      <c r="G247" s="33" t="s">
        <v>606</v>
      </c>
      <c r="H247">
        <v>1</v>
      </c>
      <c r="I247" s="33" t="s">
        <v>732</v>
      </c>
      <c r="J247" s="33" t="str">
        <f t="shared" si="6"/>
        <v>2018-20East Dunbartonshire</v>
      </c>
      <c r="K247" s="33">
        <v>66.38</v>
      </c>
    </row>
    <row r="248" spans="1:11">
      <c r="A248" s="33" t="s">
        <v>607</v>
      </c>
      <c r="B248" s="33" t="s">
        <v>45</v>
      </c>
      <c r="C248" s="33" t="s">
        <v>733</v>
      </c>
      <c r="D248" s="33" t="s">
        <v>101</v>
      </c>
      <c r="E248" s="33" t="s">
        <v>26</v>
      </c>
      <c r="F248" s="33">
        <v>2</v>
      </c>
      <c r="G248" s="33" t="s">
        <v>606</v>
      </c>
      <c r="H248">
        <v>1</v>
      </c>
      <c r="I248" s="33" t="s">
        <v>732</v>
      </c>
      <c r="J248" s="33" t="str">
        <f t="shared" si="6"/>
        <v>2018-20Fife</v>
      </c>
      <c r="K248" s="33">
        <v>58.98</v>
      </c>
    </row>
    <row r="249" spans="1:11">
      <c r="A249" s="33" t="s">
        <v>607</v>
      </c>
      <c r="B249" s="33" t="s">
        <v>45</v>
      </c>
      <c r="C249" s="33" t="s">
        <v>733</v>
      </c>
      <c r="D249" s="33" t="s">
        <v>91</v>
      </c>
      <c r="E249" s="33" t="s">
        <v>36</v>
      </c>
      <c r="F249" s="33">
        <v>2</v>
      </c>
      <c r="G249" s="33" t="s">
        <v>606</v>
      </c>
      <c r="H249">
        <v>1</v>
      </c>
      <c r="I249" s="33" t="s">
        <v>732</v>
      </c>
      <c r="J249" s="33" t="str">
        <f t="shared" si="6"/>
        <v>2018-20Perth and Kinross</v>
      </c>
      <c r="K249" s="33">
        <v>62.32</v>
      </c>
    </row>
    <row r="250" spans="1:11">
      <c r="A250" s="33" t="s">
        <v>607</v>
      </c>
      <c r="B250" s="33" t="s">
        <v>45</v>
      </c>
      <c r="C250" s="33" t="s">
        <v>733</v>
      </c>
      <c r="D250" s="33" t="s">
        <v>163</v>
      </c>
      <c r="E250" s="33" t="s">
        <v>27</v>
      </c>
      <c r="F250" s="33">
        <v>2</v>
      </c>
      <c r="G250" s="33" t="s">
        <v>606</v>
      </c>
      <c r="H250">
        <v>1</v>
      </c>
      <c r="I250" s="33" t="s">
        <v>732</v>
      </c>
      <c r="J250" s="33" t="str">
        <f t="shared" si="6"/>
        <v>2018-20Glasgow City</v>
      </c>
      <c r="K250" s="33">
        <v>57.43</v>
      </c>
    </row>
    <row r="251" spans="1:11">
      <c r="A251" s="33" t="s">
        <v>607</v>
      </c>
      <c r="B251" s="33" t="s">
        <v>45</v>
      </c>
      <c r="C251" s="33" t="s">
        <v>733</v>
      </c>
      <c r="D251" s="33" t="s">
        <v>162</v>
      </c>
      <c r="E251" s="33" t="s">
        <v>34</v>
      </c>
      <c r="F251" s="33">
        <v>2</v>
      </c>
      <c r="G251" s="33" t="s">
        <v>606</v>
      </c>
      <c r="H251">
        <v>1</v>
      </c>
      <c r="I251" s="33" t="s">
        <v>732</v>
      </c>
      <c r="J251" s="33" t="str">
        <f t="shared" si="6"/>
        <v>2018-20North Lanarkshire</v>
      </c>
      <c r="K251" s="33">
        <v>55.49</v>
      </c>
    </row>
    <row r="252" spans="1:11">
      <c r="A252" s="33" t="s">
        <v>607</v>
      </c>
      <c r="B252" s="33" t="s">
        <v>45</v>
      </c>
      <c r="C252" s="33" t="s">
        <v>725</v>
      </c>
      <c r="D252" s="33" t="s">
        <v>488</v>
      </c>
      <c r="E252" s="33" t="s">
        <v>45</v>
      </c>
      <c r="F252" s="33">
        <v>2</v>
      </c>
      <c r="G252" s="33" t="s">
        <v>606</v>
      </c>
      <c r="H252">
        <v>1</v>
      </c>
      <c r="I252" s="33" t="s">
        <v>732</v>
      </c>
      <c r="J252" s="33" t="str">
        <f t="shared" si="6"/>
        <v>2018-20Scotland</v>
      </c>
      <c r="K252" s="33">
        <v>61.79</v>
      </c>
    </row>
    <row r="253" spans="1:11">
      <c r="H253"/>
    </row>
    <row r="254" spans="1:11">
      <c r="H254"/>
    </row>
    <row r="255" spans="1:11">
      <c r="H255"/>
    </row>
    <row r="256" spans="1:11">
      <c r="H256"/>
    </row>
    <row r="257" spans="8:8">
      <c r="H257"/>
    </row>
    <row r="258" spans="8:8">
      <c r="H258"/>
    </row>
    <row r="259" spans="8:8">
      <c r="H259"/>
    </row>
    <row r="260" spans="8:8">
      <c r="H260"/>
    </row>
    <row r="261" spans="8:8">
      <c r="H261"/>
    </row>
    <row r="262" spans="8:8">
      <c r="H262"/>
    </row>
    <row r="263" spans="8:8">
      <c r="H263"/>
    </row>
    <row r="264" spans="8:8">
      <c r="H264"/>
    </row>
    <row r="265" spans="8:8">
      <c r="H265"/>
    </row>
    <row r="266" spans="8:8">
      <c r="H266"/>
    </row>
    <row r="267" spans="8:8">
      <c r="H267"/>
    </row>
    <row r="268" spans="8:8">
      <c r="H268"/>
    </row>
    <row r="269" spans="8:8">
      <c r="H269"/>
    </row>
    <row r="270" spans="8:8">
      <c r="H270"/>
    </row>
    <row r="271" spans="8:8">
      <c r="H271"/>
    </row>
    <row r="272" spans="8:8">
      <c r="H272"/>
    </row>
    <row r="273" spans="8:8">
      <c r="H273"/>
    </row>
    <row r="274" spans="8:8">
      <c r="H274"/>
    </row>
    <row r="275" spans="8:8">
      <c r="H275"/>
    </row>
    <row r="276" spans="8:8">
      <c r="H276"/>
    </row>
    <row r="277" spans="8:8">
      <c r="H277"/>
    </row>
    <row r="278" spans="8:8">
      <c r="H278"/>
    </row>
    <row r="279" spans="8:8">
      <c r="H279"/>
    </row>
    <row r="280" spans="8:8">
      <c r="H280"/>
    </row>
    <row r="281" spans="8:8">
      <c r="H281"/>
    </row>
    <row r="282" spans="8:8">
      <c r="H282"/>
    </row>
    <row r="283" spans="8:8">
      <c r="H283"/>
    </row>
    <row r="284" spans="8:8">
      <c r="H284"/>
    </row>
    <row r="285" spans="8:8">
      <c r="H285"/>
    </row>
    <row r="286" spans="8:8">
      <c r="H286"/>
    </row>
    <row r="287" spans="8:8">
      <c r="H287"/>
    </row>
    <row r="288" spans="8:8">
      <c r="H288"/>
    </row>
    <row r="289" spans="8:8">
      <c r="H289"/>
    </row>
    <row r="290" spans="8:8">
      <c r="H290"/>
    </row>
    <row r="291" spans="8:8">
      <c r="H291"/>
    </row>
    <row r="292" spans="8:8">
      <c r="H292"/>
    </row>
    <row r="293" spans="8:8">
      <c r="H293"/>
    </row>
    <row r="294" spans="8:8">
      <c r="H294"/>
    </row>
    <row r="295" spans="8:8">
      <c r="H295"/>
    </row>
    <row r="296" spans="8:8">
      <c r="H296"/>
    </row>
    <row r="297" spans="8:8">
      <c r="H297"/>
    </row>
    <row r="298" spans="8:8">
      <c r="H298"/>
    </row>
    <row r="299" spans="8:8">
      <c r="H299"/>
    </row>
    <row r="300" spans="8:8">
      <c r="H300"/>
    </row>
    <row r="301" spans="8:8">
      <c r="H301"/>
    </row>
    <row r="302" spans="8:8">
      <c r="H302"/>
    </row>
    <row r="303" spans="8:8">
      <c r="H303"/>
    </row>
    <row r="304" spans="8:8">
      <c r="H304"/>
    </row>
    <row r="305" spans="8:8">
      <c r="H305"/>
    </row>
    <row r="306" spans="8:8">
      <c r="H306"/>
    </row>
    <row r="307" spans="8:8">
      <c r="H307"/>
    </row>
    <row r="308" spans="8:8">
      <c r="H308"/>
    </row>
    <row r="309" spans="8:8">
      <c r="H309"/>
    </row>
    <row r="310" spans="8:8">
      <c r="H310"/>
    </row>
    <row r="311" spans="8:8">
      <c r="H311"/>
    </row>
    <row r="312" spans="8:8">
      <c r="H312"/>
    </row>
    <row r="313" spans="8:8">
      <c r="H313"/>
    </row>
    <row r="314" spans="8:8">
      <c r="H314"/>
    </row>
    <row r="315" spans="8:8">
      <c r="H315"/>
    </row>
    <row r="316" spans="8:8">
      <c r="H316"/>
    </row>
    <row r="317" spans="8:8">
      <c r="H317"/>
    </row>
    <row r="318" spans="8:8">
      <c r="H318"/>
    </row>
    <row r="319" spans="8:8">
      <c r="H319"/>
    </row>
    <row r="320" spans="8:8">
      <c r="H320"/>
    </row>
    <row r="321" spans="8:8">
      <c r="H321"/>
    </row>
    <row r="322" spans="8:8">
      <c r="H322"/>
    </row>
    <row r="323" spans="8:8">
      <c r="H323"/>
    </row>
    <row r="324" spans="8:8">
      <c r="H324"/>
    </row>
    <row r="325" spans="8:8">
      <c r="H325"/>
    </row>
    <row r="326" spans="8:8">
      <c r="H326"/>
    </row>
    <row r="327" spans="8:8">
      <c r="H327"/>
    </row>
    <row r="328" spans="8:8">
      <c r="H328"/>
    </row>
    <row r="329" spans="8:8">
      <c r="H329"/>
    </row>
    <row r="330" spans="8:8">
      <c r="H330"/>
    </row>
    <row r="331" spans="8:8">
      <c r="H331"/>
    </row>
    <row r="332" spans="8:8">
      <c r="H332"/>
    </row>
    <row r="333" spans="8:8">
      <c r="H333"/>
    </row>
    <row r="334" spans="8:8">
      <c r="H334"/>
    </row>
    <row r="335" spans="8:8">
      <c r="H335"/>
    </row>
    <row r="336" spans="8:8">
      <c r="H336"/>
    </row>
    <row r="337" spans="8:8">
      <c r="H337"/>
    </row>
    <row r="338" spans="8:8">
      <c r="H338"/>
    </row>
    <row r="339" spans="8:8">
      <c r="H339"/>
    </row>
    <row r="340" spans="8:8">
      <c r="H340"/>
    </row>
    <row r="341" spans="8:8">
      <c r="H341"/>
    </row>
    <row r="342" spans="8:8">
      <c r="H342"/>
    </row>
    <row r="343" spans="8:8">
      <c r="H343"/>
    </row>
    <row r="344" spans="8:8">
      <c r="H344"/>
    </row>
    <row r="345" spans="8:8">
      <c r="H345"/>
    </row>
    <row r="346" spans="8:8">
      <c r="H346"/>
    </row>
    <row r="347" spans="8:8">
      <c r="H347"/>
    </row>
    <row r="348" spans="8:8">
      <c r="H348"/>
    </row>
    <row r="349" spans="8:8">
      <c r="H349"/>
    </row>
    <row r="350" spans="8:8">
      <c r="H350"/>
    </row>
    <row r="351" spans="8:8">
      <c r="H351"/>
    </row>
    <row r="352" spans="8:8">
      <c r="H352"/>
    </row>
    <row r="353" spans="8:8">
      <c r="H353"/>
    </row>
    <row r="354" spans="8:8">
      <c r="H354"/>
    </row>
    <row r="355" spans="8:8">
      <c r="H355"/>
    </row>
    <row r="356" spans="8:8">
      <c r="H356"/>
    </row>
    <row r="357" spans="8:8">
      <c r="H357"/>
    </row>
    <row r="358" spans="8:8">
      <c r="H358"/>
    </row>
    <row r="359" spans="8:8">
      <c r="H359"/>
    </row>
    <row r="360" spans="8:8">
      <c r="H360"/>
    </row>
    <row r="361" spans="8:8">
      <c r="H361"/>
    </row>
    <row r="362" spans="8:8">
      <c r="H362"/>
    </row>
    <row r="363" spans="8:8">
      <c r="H363"/>
    </row>
    <row r="364" spans="8:8">
      <c r="H364"/>
    </row>
    <row r="365" spans="8:8">
      <c r="H365"/>
    </row>
    <row r="366" spans="8:8">
      <c r="H366"/>
    </row>
    <row r="367" spans="8:8">
      <c r="H367"/>
    </row>
    <row r="368" spans="8:8">
      <c r="H368"/>
    </row>
    <row r="369" spans="8:8">
      <c r="H369"/>
    </row>
    <row r="370" spans="8:8">
      <c r="H370"/>
    </row>
    <row r="371" spans="8:8">
      <c r="H371"/>
    </row>
    <row r="372" spans="8:8">
      <c r="H372"/>
    </row>
    <row r="373" spans="8:8">
      <c r="H373"/>
    </row>
    <row r="374" spans="8:8">
      <c r="H374"/>
    </row>
    <row r="375" spans="8:8">
      <c r="H375"/>
    </row>
    <row r="376" spans="8:8">
      <c r="H376"/>
    </row>
    <row r="377" spans="8:8">
      <c r="H377"/>
    </row>
    <row r="378" spans="8:8">
      <c r="H378"/>
    </row>
    <row r="379" spans="8:8">
      <c r="H379"/>
    </row>
    <row r="380" spans="8:8">
      <c r="H380"/>
    </row>
    <row r="381" spans="8:8">
      <c r="H381"/>
    </row>
    <row r="382" spans="8:8">
      <c r="H382"/>
    </row>
    <row r="383" spans="8:8">
      <c r="H383"/>
    </row>
    <row r="384" spans="8:8">
      <c r="H384"/>
    </row>
    <row r="385" spans="8:8">
      <c r="H385"/>
    </row>
    <row r="386" spans="8:8">
      <c r="H386"/>
    </row>
    <row r="387" spans="8:8">
      <c r="H387"/>
    </row>
    <row r="388" spans="8:8">
      <c r="H388"/>
    </row>
    <row r="389" spans="8:8">
      <c r="H389"/>
    </row>
    <row r="390" spans="8:8">
      <c r="H390"/>
    </row>
    <row r="391" spans="8:8">
      <c r="H391"/>
    </row>
    <row r="392" spans="8:8">
      <c r="H392"/>
    </row>
    <row r="393" spans="8:8">
      <c r="H393"/>
    </row>
    <row r="394" spans="8:8">
      <c r="H394"/>
    </row>
    <row r="395" spans="8:8">
      <c r="H395"/>
    </row>
    <row r="396" spans="8:8">
      <c r="H396"/>
    </row>
    <row r="397" spans="8:8">
      <c r="H397"/>
    </row>
    <row r="398" spans="8:8">
      <c r="H398"/>
    </row>
    <row r="399" spans="8:8">
      <c r="H399"/>
    </row>
    <row r="400" spans="8:8">
      <c r="H400"/>
    </row>
    <row r="401" spans="8:8">
      <c r="H401"/>
    </row>
    <row r="402" spans="8:8">
      <c r="H402"/>
    </row>
    <row r="403" spans="8:8">
      <c r="H403"/>
    </row>
    <row r="404" spans="8:8">
      <c r="H404"/>
    </row>
    <row r="405" spans="8:8">
      <c r="H405"/>
    </row>
    <row r="406" spans="8:8">
      <c r="H406"/>
    </row>
    <row r="407" spans="8:8">
      <c r="H407"/>
    </row>
    <row r="408" spans="8:8">
      <c r="H408"/>
    </row>
    <row r="409" spans="8:8">
      <c r="H409"/>
    </row>
    <row r="410" spans="8:8">
      <c r="H410"/>
    </row>
    <row r="411" spans="8:8">
      <c r="H411"/>
    </row>
    <row r="412" spans="8:8">
      <c r="H412"/>
    </row>
    <row r="413" spans="8:8">
      <c r="H413"/>
    </row>
    <row r="414" spans="8:8">
      <c r="H414"/>
    </row>
    <row r="415" spans="8:8">
      <c r="H415"/>
    </row>
    <row r="416" spans="8:8">
      <c r="H416"/>
    </row>
    <row r="417" spans="8:8">
      <c r="H417"/>
    </row>
    <row r="418" spans="8:8">
      <c r="H418"/>
    </row>
    <row r="419" spans="8:8">
      <c r="H419"/>
    </row>
    <row r="420" spans="8:8">
      <c r="H420"/>
    </row>
    <row r="421" spans="8:8">
      <c r="H421"/>
    </row>
    <row r="422" spans="8:8">
      <c r="H422"/>
    </row>
    <row r="423" spans="8:8">
      <c r="H423"/>
    </row>
    <row r="424" spans="8:8">
      <c r="H424"/>
    </row>
    <row r="425" spans="8:8">
      <c r="H425"/>
    </row>
    <row r="426" spans="8:8">
      <c r="H426"/>
    </row>
    <row r="427" spans="8:8">
      <c r="H427"/>
    </row>
    <row r="428" spans="8:8">
      <c r="H428"/>
    </row>
    <row r="429" spans="8:8">
      <c r="H429"/>
    </row>
    <row r="430" spans="8:8">
      <c r="H430"/>
    </row>
    <row r="431" spans="8:8">
      <c r="H431"/>
    </row>
    <row r="432" spans="8:8">
      <c r="H432"/>
    </row>
    <row r="433" spans="8:8">
      <c r="H433"/>
    </row>
    <row r="434" spans="8:8">
      <c r="H434"/>
    </row>
    <row r="435" spans="8:8">
      <c r="H435"/>
    </row>
    <row r="436" spans="8:8">
      <c r="H436"/>
    </row>
    <row r="437" spans="8:8">
      <c r="H437"/>
    </row>
    <row r="438" spans="8:8">
      <c r="H438"/>
    </row>
    <row r="439" spans="8:8">
      <c r="H439"/>
    </row>
    <row r="440" spans="8:8">
      <c r="H440"/>
    </row>
    <row r="441" spans="8:8">
      <c r="H441"/>
    </row>
    <row r="442" spans="8:8">
      <c r="H442"/>
    </row>
    <row r="443" spans="8:8">
      <c r="H443"/>
    </row>
    <row r="444" spans="8:8">
      <c r="H444"/>
    </row>
    <row r="445" spans="8:8">
      <c r="H445"/>
    </row>
    <row r="446" spans="8:8">
      <c r="H446"/>
    </row>
    <row r="447" spans="8:8">
      <c r="H447"/>
    </row>
    <row r="448" spans="8:8">
      <c r="H448"/>
    </row>
    <row r="449" spans="8:8">
      <c r="H449"/>
    </row>
    <row r="450" spans="8:8">
      <c r="H450"/>
    </row>
    <row r="451" spans="8:8">
      <c r="H451"/>
    </row>
    <row r="452" spans="8:8">
      <c r="H452"/>
    </row>
    <row r="453" spans="8:8">
      <c r="H453"/>
    </row>
    <row r="454" spans="8:8">
      <c r="H454"/>
    </row>
    <row r="455" spans="8:8">
      <c r="H455"/>
    </row>
    <row r="456" spans="8:8">
      <c r="H456"/>
    </row>
    <row r="457" spans="8:8">
      <c r="H457"/>
    </row>
    <row r="458" spans="8:8">
      <c r="H458"/>
    </row>
    <row r="459" spans="8:8">
      <c r="H459"/>
    </row>
    <row r="460" spans="8:8">
      <c r="H460"/>
    </row>
    <row r="461" spans="8:8">
      <c r="H461"/>
    </row>
    <row r="462" spans="8:8">
      <c r="H462"/>
    </row>
    <row r="463" spans="8:8">
      <c r="H463"/>
    </row>
    <row r="464" spans="8:8">
      <c r="H464"/>
    </row>
    <row r="465" spans="8:8">
      <c r="H465"/>
    </row>
    <row r="466" spans="8:8">
      <c r="H466"/>
    </row>
    <row r="467" spans="8:8">
      <c r="H467"/>
    </row>
    <row r="468" spans="8:8">
      <c r="H468"/>
    </row>
    <row r="469" spans="8:8">
      <c r="H469"/>
    </row>
    <row r="470" spans="8:8">
      <c r="H470"/>
    </row>
    <row r="471" spans="8:8">
      <c r="H471"/>
    </row>
    <row r="472" spans="8:8">
      <c r="H472"/>
    </row>
    <row r="473" spans="8:8">
      <c r="H473"/>
    </row>
    <row r="474" spans="8:8">
      <c r="H474"/>
    </row>
    <row r="475" spans="8:8">
      <c r="H475"/>
    </row>
    <row r="476" spans="8:8">
      <c r="H476"/>
    </row>
    <row r="477" spans="8:8">
      <c r="H477"/>
    </row>
    <row r="478" spans="8:8">
      <c r="H478"/>
    </row>
    <row r="479" spans="8:8">
      <c r="H479"/>
    </row>
    <row r="480" spans="8:8">
      <c r="H480"/>
    </row>
    <row r="481" spans="8:8">
      <c r="H481"/>
    </row>
    <row r="482" spans="8:8">
      <c r="H482"/>
    </row>
    <row r="483" spans="8:8">
      <c r="H483"/>
    </row>
    <row r="484" spans="8:8">
      <c r="H484"/>
    </row>
    <row r="485" spans="8:8">
      <c r="H485"/>
    </row>
    <row r="486" spans="8:8">
      <c r="H486"/>
    </row>
    <row r="487" spans="8:8">
      <c r="H487"/>
    </row>
    <row r="488" spans="8:8">
      <c r="H488"/>
    </row>
    <row r="489" spans="8:8">
      <c r="H489"/>
    </row>
    <row r="490" spans="8:8">
      <c r="H490"/>
    </row>
    <row r="491" spans="8:8">
      <c r="H491"/>
    </row>
    <row r="492" spans="8:8">
      <c r="H492"/>
    </row>
    <row r="493" spans="8:8">
      <c r="H493"/>
    </row>
    <row r="494" spans="8:8">
      <c r="H494"/>
    </row>
    <row r="495" spans="8:8">
      <c r="H495"/>
    </row>
    <row r="496" spans="8:8">
      <c r="H496"/>
    </row>
    <row r="497" spans="8:8">
      <c r="H497"/>
    </row>
    <row r="498" spans="8:8">
      <c r="H498"/>
    </row>
    <row r="499" spans="8:8">
      <c r="H499"/>
    </row>
    <row r="500" spans="8:8">
      <c r="H500"/>
    </row>
    <row r="501" spans="8:8">
      <c r="H501"/>
    </row>
    <row r="502" spans="8:8">
      <c r="H502"/>
    </row>
    <row r="503" spans="8:8">
      <c r="H503"/>
    </row>
    <row r="504" spans="8:8">
      <c r="H504"/>
    </row>
    <row r="505" spans="8:8">
      <c r="H505"/>
    </row>
    <row r="506" spans="8:8">
      <c r="H506"/>
    </row>
    <row r="507" spans="8:8">
      <c r="H507"/>
    </row>
    <row r="508" spans="8:8">
      <c r="H508"/>
    </row>
    <row r="509" spans="8:8">
      <c r="H509"/>
    </row>
    <row r="510" spans="8:8">
      <c r="H510"/>
    </row>
    <row r="511" spans="8:8">
      <c r="H511"/>
    </row>
    <row r="512" spans="8:8">
      <c r="H512"/>
    </row>
    <row r="513" spans="8:8">
      <c r="H513"/>
    </row>
    <row r="514" spans="8:8">
      <c r="H514"/>
    </row>
    <row r="515" spans="8:8">
      <c r="H515"/>
    </row>
    <row r="516" spans="8:8">
      <c r="H516"/>
    </row>
    <row r="517" spans="8:8">
      <c r="H517"/>
    </row>
    <row r="518" spans="8:8">
      <c r="H518"/>
    </row>
    <row r="519" spans="8:8">
      <c r="H519"/>
    </row>
    <row r="520" spans="8:8">
      <c r="H520"/>
    </row>
    <row r="521" spans="8:8">
      <c r="H521"/>
    </row>
    <row r="522" spans="8:8">
      <c r="H522"/>
    </row>
    <row r="523" spans="8:8">
      <c r="H523"/>
    </row>
    <row r="524" spans="8:8">
      <c r="H524"/>
    </row>
    <row r="525" spans="8:8">
      <c r="H525"/>
    </row>
    <row r="526" spans="8:8">
      <c r="H526"/>
    </row>
    <row r="527" spans="8:8">
      <c r="H527"/>
    </row>
    <row r="528" spans="8:8">
      <c r="H528"/>
    </row>
    <row r="529" spans="8:8">
      <c r="H529"/>
    </row>
    <row r="530" spans="8:8">
      <c r="H530"/>
    </row>
    <row r="531" spans="8:8">
      <c r="H531"/>
    </row>
    <row r="532" spans="8:8">
      <c r="H532"/>
    </row>
    <row r="533" spans="8:8">
      <c r="H533"/>
    </row>
    <row r="534" spans="8:8">
      <c r="H534"/>
    </row>
    <row r="535" spans="8:8">
      <c r="H535"/>
    </row>
    <row r="536" spans="8:8">
      <c r="H536"/>
    </row>
    <row r="537" spans="8:8">
      <c r="H537"/>
    </row>
    <row r="538" spans="8:8">
      <c r="H538"/>
    </row>
    <row r="539" spans="8:8">
      <c r="H539"/>
    </row>
    <row r="540" spans="8:8">
      <c r="H540"/>
    </row>
    <row r="541" spans="8:8">
      <c r="H541"/>
    </row>
    <row r="542" spans="8:8">
      <c r="H542"/>
    </row>
    <row r="543" spans="8:8">
      <c r="H543"/>
    </row>
    <row r="544" spans="8:8">
      <c r="H544"/>
    </row>
    <row r="545" spans="8:8">
      <c r="H545"/>
    </row>
    <row r="546" spans="8:8">
      <c r="H546"/>
    </row>
    <row r="547" spans="8:8">
      <c r="H547"/>
    </row>
    <row r="548" spans="8:8">
      <c r="H548"/>
    </row>
    <row r="549" spans="8:8">
      <c r="H549"/>
    </row>
    <row r="550" spans="8:8">
      <c r="H550"/>
    </row>
    <row r="551" spans="8:8">
      <c r="H551"/>
    </row>
    <row r="552" spans="8:8">
      <c r="H552"/>
    </row>
    <row r="553" spans="8:8">
      <c r="H553"/>
    </row>
    <row r="554" spans="8:8">
      <c r="H554"/>
    </row>
    <row r="555" spans="8:8">
      <c r="H555"/>
    </row>
    <row r="556" spans="8:8">
      <c r="H556"/>
    </row>
    <row r="557" spans="8:8">
      <c r="H557"/>
    </row>
    <row r="558" spans="8:8">
      <c r="H558"/>
    </row>
    <row r="559" spans="8:8">
      <c r="H559"/>
    </row>
    <row r="560" spans="8:8">
      <c r="H560"/>
    </row>
    <row r="561" spans="8:8">
      <c r="H561"/>
    </row>
    <row r="562" spans="8:8">
      <c r="H562"/>
    </row>
    <row r="563" spans="8:8">
      <c r="H563"/>
    </row>
    <row r="564" spans="8:8">
      <c r="H564"/>
    </row>
    <row r="565" spans="8:8">
      <c r="H565"/>
    </row>
    <row r="566" spans="8:8">
      <c r="H566"/>
    </row>
    <row r="567" spans="8:8">
      <c r="H567"/>
    </row>
    <row r="568" spans="8:8">
      <c r="H568"/>
    </row>
    <row r="569" spans="8:8">
      <c r="H569"/>
    </row>
    <row r="570" spans="8:8">
      <c r="H570"/>
    </row>
    <row r="571" spans="8:8">
      <c r="H571"/>
    </row>
    <row r="572" spans="8:8">
      <c r="H572"/>
    </row>
    <row r="573" spans="8:8">
      <c r="H573"/>
    </row>
    <row r="574" spans="8:8">
      <c r="H574"/>
    </row>
    <row r="575" spans="8:8">
      <c r="H575"/>
    </row>
    <row r="576" spans="8:8">
      <c r="H576"/>
    </row>
    <row r="577" spans="8:8">
      <c r="H577"/>
    </row>
    <row r="578" spans="8:8">
      <c r="H578"/>
    </row>
    <row r="579" spans="8:8">
      <c r="H579"/>
    </row>
    <row r="580" spans="8:8">
      <c r="H580"/>
    </row>
    <row r="581" spans="8:8">
      <c r="H581"/>
    </row>
    <row r="582" spans="8:8">
      <c r="H582"/>
    </row>
    <row r="583" spans="8:8">
      <c r="H583"/>
    </row>
    <row r="584" spans="8:8">
      <c r="H584"/>
    </row>
    <row r="585" spans="8:8">
      <c r="H585"/>
    </row>
    <row r="586" spans="8:8">
      <c r="H586"/>
    </row>
    <row r="587" spans="8:8">
      <c r="H587"/>
    </row>
    <row r="588" spans="8:8">
      <c r="H588"/>
    </row>
    <row r="589" spans="8:8">
      <c r="H589"/>
    </row>
    <row r="590" spans="8:8">
      <c r="H590"/>
    </row>
    <row r="591" spans="8:8">
      <c r="H591"/>
    </row>
    <row r="592" spans="8:8">
      <c r="H592"/>
    </row>
    <row r="593" spans="8:8">
      <c r="H593"/>
    </row>
    <row r="594" spans="8:8">
      <c r="H594"/>
    </row>
    <row r="595" spans="8:8">
      <c r="H595"/>
    </row>
    <row r="596" spans="8:8">
      <c r="H596"/>
    </row>
    <row r="597" spans="8:8">
      <c r="H597"/>
    </row>
    <row r="598" spans="8:8">
      <c r="H598"/>
    </row>
    <row r="599" spans="8:8">
      <c r="H599"/>
    </row>
    <row r="600" spans="8:8">
      <c r="H600"/>
    </row>
    <row r="601" spans="8:8">
      <c r="H601"/>
    </row>
    <row r="602" spans="8:8">
      <c r="H602"/>
    </row>
    <row r="603" spans="8:8">
      <c r="H603"/>
    </row>
    <row r="604" spans="8:8">
      <c r="H604"/>
    </row>
    <row r="605" spans="8:8">
      <c r="H605"/>
    </row>
    <row r="606" spans="8:8">
      <c r="H606"/>
    </row>
    <row r="607" spans="8:8">
      <c r="H607"/>
    </row>
    <row r="608" spans="8:8">
      <c r="H608"/>
    </row>
    <row r="609" spans="8:8">
      <c r="H609"/>
    </row>
    <row r="610" spans="8:8">
      <c r="H610"/>
    </row>
    <row r="611" spans="8:8">
      <c r="H611"/>
    </row>
    <row r="612" spans="8:8">
      <c r="H612"/>
    </row>
    <row r="613" spans="8:8">
      <c r="H613"/>
    </row>
    <row r="614" spans="8:8">
      <c r="H614"/>
    </row>
    <row r="615" spans="8:8">
      <c r="H615"/>
    </row>
    <row r="616" spans="8:8">
      <c r="H616"/>
    </row>
    <row r="617" spans="8:8">
      <c r="H617"/>
    </row>
    <row r="618" spans="8:8">
      <c r="H618"/>
    </row>
    <row r="619" spans="8:8">
      <c r="H619"/>
    </row>
    <row r="620" spans="8:8">
      <c r="H620"/>
    </row>
    <row r="621" spans="8:8">
      <c r="H621"/>
    </row>
    <row r="622" spans="8:8">
      <c r="H622"/>
    </row>
    <row r="623" spans="8:8">
      <c r="H623"/>
    </row>
    <row r="624" spans="8:8">
      <c r="H624"/>
    </row>
    <row r="625" spans="8:8">
      <c r="H625"/>
    </row>
    <row r="626" spans="8:8">
      <c r="H626"/>
    </row>
    <row r="627" spans="8:8">
      <c r="H627"/>
    </row>
    <row r="628" spans="8:8">
      <c r="H628"/>
    </row>
    <row r="629" spans="8:8">
      <c r="H629"/>
    </row>
    <row r="630" spans="8:8">
      <c r="H630"/>
    </row>
    <row r="631" spans="8:8">
      <c r="H631"/>
    </row>
    <row r="632" spans="8:8">
      <c r="H632"/>
    </row>
    <row r="633" spans="8:8">
      <c r="H633"/>
    </row>
    <row r="634" spans="8:8">
      <c r="H634"/>
    </row>
    <row r="635" spans="8:8">
      <c r="H635"/>
    </row>
    <row r="636" spans="8:8">
      <c r="H636"/>
    </row>
    <row r="637" spans="8:8">
      <c r="H637"/>
    </row>
    <row r="638" spans="8:8">
      <c r="H638"/>
    </row>
    <row r="639" spans="8:8">
      <c r="H639"/>
    </row>
    <row r="640" spans="8:8">
      <c r="H640"/>
    </row>
    <row r="641" spans="8:8">
      <c r="H641"/>
    </row>
    <row r="642" spans="8:8">
      <c r="H642"/>
    </row>
    <row r="643" spans="8:8">
      <c r="H643"/>
    </row>
    <row r="644" spans="8:8">
      <c r="H644"/>
    </row>
    <row r="645" spans="8:8">
      <c r="H645"/>
    </row>
    <row r="646" spans="8:8">
      <c r="H646"/>
    </row>
    <row r="647" spans="8:8">
      <c r="H647"/>
    </row>
    <row r="648" spans="8:8">
      <c r="H648"/>
    </row>
    <row r="649" spans="8:8">
      <c r="H649"/>
    </row>
    <row r="650" spans="8:8">
      <c r="H650"/>
    </row>
    <row r="651" spans="8:8">
      <c r="H651"/>
    </row>
    <row r="652" spans="8:8">
      <c r="H652"/>
    </row>
    <row r="653" spans="8:8">
      <c r="H653"/>
    </row>
    <row r="654" spans="8:8">
      <c r="H654"/>
    </row>
    <row r="655" spans="8:8">
      <c r="H655"/>
    </row>
    <row r="656" spans="8:8">
      <c r="H656"/>
    </row>
    <row r="657" spans="8:8">
      <c r="H657"/>
    </row>
    <row r="658" spans="8:8">
      <c r="H658"/>
    </row>
    <row r="659" spans="8:8">
      <c r="H659"/>
    </row>
    <row r="660" spans="8:8">
      <c r="H660"/>
    </row>
    <row r="661" spans="8:8">
      <c r="H661"/>
    </row>
    <row r="662" spans="8:8">
      <c r="H662"/>
    </row>
    <row r="663" spans="8:8">
      <c r="H663"/>
    </row>
    <row r="664" spans="8:8">
      <c r="H664"/>
    </row>
    <row r="665" spans="8:8">
      <c r="H665"/>
    </row>
    <row r="666" spans="8:8">
      <c r="H666"/>
    </row>
    <row r="667" spans="8:8">
      <c r="H667"/>
    </row>
    <row r="668" spans="8:8">
      <c r="H668"/>
    </row>
    <row r="669" spans="8:8">
      <c r="H669"/>
    </row>
    <row r="670" spans="8:8">
      <c r="H670"/>
    </row>
    <row r="671" spans="8:8">
      <c r="H671"/>
    </row>
    <row r="672" spans="8:8">
      <c r="H672"/>
    </row>
    <row r="673" spans="8:8">
      <c r="H673"/>
    </row>
    <row r="674" spans="8:8">
      <c r="H674"/>
    </row>
    <row r="675" spans="8:8">
      <c r="H675"/>
    </row>
    <row r="676" spans="8:8">
      <c r="H676"/>
    </row>
    <row r="677" spans="8:8">
      <c r="H677"/>
    </row>
    <row r="678" spans="8:8">
      <c r="H678"/>
    </row>
    <row r="679" spans="8:8">
      <c r="H679"/>
    </row>
    <row r="680" spans="8:8">
      <c r="H680"/>
    </row>
    <row r="681" spans="8:8">
      <c r="H681"/>
    </row>
    <row r="682" spans="8:8">
      <c r="H682"/>
    </row>
    <row r="683" spans="8:8">
      <c r="H683"/>
    </row>
    <row r="684" spans="8:8">
      <c r="H684"/>
    </row>
    <row r="685" spans="8:8">
      <c r="H685"/>
    </row>
    <row r="686" spans="8:8">
      <c r="H686"/>
    </row>
    <row r="687" spans="8:8">
      <c r="H687"/>
    </row>
    <row r="688" spans="8:8">
      <c r="H688"/>
    </row>
    <row r="689" spans="8:8">
      <c r="H689"/>
    </row>
    <row r="690" spans="8:8">
      <c r="H690"/>
    </row>
    <row r="691" spans="8:8">
      <c r="H691"/>
    </row>
    <row r="692" spans="8:8">
      <c r="H692"/>
    </row>
    <row r="693" spans="8:8">
      <c r="H693"/>
    </row>
    <row r="694" spans="8:8">
      <c r="H694"/>
    </row>
    <row r="695" spans="8:8">
      <c r="H695"/>
    </row>
    <row r="696" spans="8:8">
      <c r="H696"/>
    </row>
    <row r="697" spans="8:8">
      <c r="H697"/>
    </row>
    <row r="698" spans="8:8">
      <c r="H698"/>
    </row>
    <row r="699" spans="8:8">
      <c r="H699"/>
    </row>
    <row r="700" spans="8:8">
      <c r="H700"/>
    </row>
    <row r="701" spans="8:8">
      <c r="H701"/>
    </row>
    <row r="702" spans="8:8">
      <c r="H702"/>
    </row>
    <row r="703" spans="8:8">
      <c r="H703"/>
    </row>
    <row r="704" spans="8:8">
      <c r="H704"/>
    </row>
    <row r="705" spans="8:8">
      <c r="H705"/>
    </row>
    <row r="706" spans="8:8">
      <c r="H706"/>
    </row>
    <row r="707" spans="8:8">
      <c r="H707"/>
    </row>
    <row r="708" spans="8:8">
      <c r="H708"/>
    </row>
    <row r="709" spans="8:8">
      <c r="H709"/>
    </row>
    <row r="710" spans="8:8">
      <c r="H710"/>
    </row>
    <row r="711" spans="8:8">
      <c r="H711"/>
    </row>
    <row r="712" spans="8:8">
      <c r="H712"/>
    </row>
    <row r="713" spans="8:8">
      <c r="H713"/>
    </row>
    <row r="714" spans="8:8">
      <c r="H714"/>
    </row>
    <row r="715" spans="8:8">
      <c r="H715"/>
    </row>
    <row r="716" spans="8:8">
      <c r="H716"/>
    </row>
    <row r="717" spans="8:8">
      <c r="H717"/>
    </row>
    <row r="718" spans="8:8">
      <c r="H718"/>
    </row>
    <row r="719" spans="8:8">
      <c r="H719"/>
    </row>
    <row r="720" spans="8:8">
      <c r="H720"/>
    </row>
    <row r="721" spans="8:8">
      <c r="H721"/>
    </row>
    <row r="722" spans="8:8">
      <c r="H722"/>
    </row>
    <row r="723" spans="8:8">
      <c r="H723"/>
    </row>
    <row r="724" spans="8:8">
      <c r="H724"/>
    </row>
    <row r="725" spans="8:8">
      <c r="H725"/>
    </row>
    <row r="726" spans="8:8">
      <c r="H726"/>
    </row>
    <row r="727" spans="8:8">
      <c r="H727"/>
    </row>
    <row r="728" spans="8:8">
      <c r="H728"/>
    </row>
    <row r="729" spans="8:8">
      <c r="H729"/>
    </row>
    <row r="730" spans="8:8">
      <c r="H730"/>
    </row>
    <row r="731" spans="8:8">
      <c r="H731"/>
    </row>
    <row r="732" spans="8:8">
      <c r="H732"/>
    </row>
    <row r="733" spans="8:8">
      <c r="H733"/>
    </row>
    <row r="734" spans="8:8">
      <c r="H734"/>
    </row>
    <row r="735" spans="8:8">
      <c r="H735"/>
    </row>
    <row r="736" spans="8:8">
      <c r="H736"/>
    </row>
    <row r="737" spans="8:8">
      <c r="H737"/>
    </row>
    <row r="738" spans="8:8">
      <c r="H738"/>
    </row>
    <row r="739" spans="8:8">
      <c r="H739"/>
    </row>
    <row r="740" spans="8:8">
      <c r="H740"/>
    </row>
    <row r="741" spans="8:8">
      <c r="H741"/>
    </row>
    <row r="742" spans="8:8">
      <c r="H742"/>
    </row>
    <row r="743" spans="8:8">
      <c r="H743"/>
    </row>
    <row r="744" spans="8:8">
      <c r="H744"/>
    </row>
    <row r="745" spans="8:8">
      <c r="H745"/>
    </row>
    <row r="746" spans="8:8">
      <c r="H746"/>
    </row>
    <row r="747" spans="8:8">
      <c r="H747"/>
    </row>
    <row r="748" spans="8:8">
      <c r="H748"/>
    </row>
    <row r="749" spans="8:8">
      <c r="H749"/>
    </row>
    <row r="750" spans="8:8">
      <c r="H750"/>
    </row>
    <row r="751" spans="8:8">
      <c r="H751"/>
    </row>
    <row r="752" spans="8:8">
      <c r="H752"/>
    </row>
    <row r="753" spans="8:8">
      <c r="H753"/>
    </row>
    <row r="754" spans="8:8">
      <c r="H754"/>
    </row>
    <row r="755" spans="8:8">
      <c r="H755"/>
    </row>
    <row r="756" spans="8:8">
      <c r="H756"/>
    </row>
    <row r="757" spans="8:8">
      <c r="H757"/>
    </row>
    <row r="758" spans="8:8">
      <c r="H758"/>
    </row>
    <row r="759" spans="8:8">
      <c r="H759"/>
    </row>
    <row r="760" spans="8:8">
      <c r="H760"/>
    </row>
    <row r="761" spans="8:8">
      <c r="H761"/>
    </row>
    <row r="762" spans="8:8">
      <c r="H762"/>
    </row>
    <row r="763" spans="8:8">
      <c r="H763"/>
    </row>
    <row r="764" spans="8:8">
      <c r="H764"/>
    </row>
    <row r="765" spans="8:8">
      <c r="H765"/>
    </row>
    <row r="766" spans="8:8">
      <c r="H766"/>
    </row>
    <row r="767" spans="8:8">
      <c r="H767"/>
    </row>
    <row r="768" spans="8:8">
      <c r="H768"/>
    </row>
    <row r="769" spans="8:8">
      <c r="H769"/>
    </row>
    <row r="770" spans="8:8">
      <c r="H770"/>
    </row>
    <row r="771" spans="8:8">
      <c r="H771"/>
    </row>
    <row r="772" spans="8:8">
      <c r="H772"/>
    </row>
    <row r="773" spans="8:8">
      <c r="H773"/>
    </row>
    <row r="774" spans="8:8">
      <c r="H774"/>
    </row>
    <row r="775" spans="8:8">
      <c r="H775"/>
    </row>
    <row r="776" spans="8:8">
      <c r="H776"/>
    </row>
    <row r="777" spans="8:8">
      <c r="H777"/>
    </row>
    <row r="778" spans="8:8">
      <c r="H778"/>
    </row>
    <row r="779" spans="8:8">
      <c r="H779"/>
    </row>
    <row r="780" spans="8:8">
      <c r="H780"/>
    </row>
    <row r="781" spans="8:8">
      <c r="H781"/>
    </row>
    <row r="782" spans="8:8">
      <c r="H782"/>
    </row>
    <row r="783" spans="8:8">
      <c r="H783"/>
    </row>
    <row r="784" spans="8:8">
      <c r="H784"/>
    </row>
    <row r="785" spans="8:8">
      <c r="H785"/>
    </row>
    <row r="786" spans="8:8">
      <c r="H786"/>
    </row>
    <row r="787" spans="8:8">
      <c r="H787"/>
    </row>
    <row r="788" spans="8:8">
      <c r="H788"/>
    </row>
    <row r="789" spans="8:8">
      <c r="H789"/>
    </row>
    <row r="790" spans="8:8">
      <c r="H790"/>
    </row>
    <row r="791" spans="8:8">
      <c r="H791"/>
    </row>
    <row r="792" spans="8:8">
      <c r="H792"/>
    </row>
    <row r="793" spans="8:8">
      <c r="H793"/>
    </row>
    <row r="794" spans="8:8">
      <c r="H794"/>
    </row>
    <row r="795" spans="8:8">
      <c r="H795"/>
    </row>
    <row r="796" spans="8:8">
      <c r="H796"/>
    </row>
    <row r="797" spans="8:8">
      <c r="H797"/>
    </row>
    <row r="798" spans="8:8">
      <c r="H798"/>
    </row>
    <row r="799" spans="8:8">
      <c r="H799"/>
    </row>
    <row r="800" spans="8:8">
      <c r="H800"/>
    </row>
    <row r="801" spans="8:8">
      <c r="H801"/>
    </row>
    <row r="802" spans="8:8">
      <c r="H802"/>
    </row>
    <row r="803" spans="8:8">
      <c r="H803"/>
    </row>
    <row r="804" spans="8:8">
      <c r="H804"/>
    </row>
    <row r="805" spans="8:8">
      <c r="H805"/>
    </row>
    <row r="806" spans="8:8">
      <c r="H806"/>
    </row>
    <row r="807" spans="8:8">
      <c r="H807"/>
    </row>
    <row r="808" spans="8:8">
      <c r="H808"/>
    </row>
    <row r="809" spans="8:8">
      <c r="H809"/>
    </row>
    <row r="810" spans="8:8">
      <c r="H810"/>
    </row>
    <row r="811" spans="8:8">
      <c r="H811"/>
    </row>
    <row r="812" spans="8:8">
      <c r="H812"/>
    </row>
    <row r="813" spans="8:8">
      <c r="H813"/>
    </row>
    <row r="814" spans="8:8">
      <c r="H814"/>
    </row>
    <row r="815" spans="8:8">
      <c r="H815"/>
    </row>
    <row r="816" spans="8:8">
      <c r="H816"/>
    </row>
    <row r="817" spans="8:8">
      <c r="H817"/>
    </row>
    <row r="818" spans="8:8">
      <c r="H818"/>
    </row>
    <row r="819" spans="8:8">
      <c r="H819"/>
    </row>
    <row r="820" spans="8:8">
      <c r="H820"/>
    </row>
    <row r="821" spans="8:8">
      <c r="H821"/>
    </row>
    <row r="822" spans="8:8">
      <c r="H822"/>
    </row>
    <row r="823" spans="8:8">
      <c r="H823"/>
    </row>
    <row r="824" spans="8:8">
      <c r="H824"/>
    </row>
    <row r="825" spans="8:8">
      <c r="H825"/>
    </row>
    <row r="826" spans="8:8">
      <c r="H826"/>
    </row>
    <row r="827" spans="8:8">
      <c r="H827"/>
    </row>
    <row r="828" spans="8:8">
      <c r="H828"/>
    </row>
    <row r="829" spans="8:8">
      <c r="H829"/>
    </row>
    <row r="830" spans="8:8">
      <c r="H830"/>
    </row>
    <row r="831" spans="8:8">
      <c r="H831"/>
    </row>
    <row r="832" spans="8:8">
      <c r="H832"/>
    </row>
    <row r="833" spans="8:8">
      <c r="H833"/>
    </row>
    <row r="834" spans="8:8">
      <c r="H834"/>
    </row>
    <row r="835" spans="8:8">
      <c r="H835"/>
    </row>
    <row r="836" spans="8:8">
      <c r="H836"/>
    </row>
    <row r="837" spans="8:8">
      <c r="H837"/>
    </row>
    <row r="838" spans="8:8">
      <c r="H838"/>
    </row>
    <row r="839" spans="8:8">
      <c r="H839"/>
    </row>
    <row r="840" spans="8:8">
      <c r="H840"/>
    </row>
    <row r="841" spans="8:8">
      <c r="H841"/>
    </row>
    <row r="842" spans="8:8">
      <c r="H842"/>
    </row>
    <row r="843" spans="8:8">
      <c r="H843"/>
    </row>
    <row r="844" spans="8:8">
      <c r="H844"/>
    </row>
    <row r="845" spans="8:8">
      <c r="H845"/>
    </row>
    <row r="846" spans="8:8">
      <c r="H846"/>
    </row>
    <row r="847" spans="8:8">
      <c r="H847"/>
    </row>
    <row r="848" spans="8:8">
      <c r="H848"/>
    </row>
    <row r="849" spans="8:8">
      <c r="H849"/>
    </row>
    <row r="850" spans="8:8">
      <c r="H850"/>
    </row>
    <row r="851" spans="8:8">
      <c r="H851"/>
    </row>
    <row r="852" spans="8:8">
      <c r="H852"/>
    </row>
    <row r="853" spans="8:8">
      <c r="H853"/>
    </row>
    <row r="854" spans="8:8">
      <c r="H854"/>
    </row>
    <row r="855" spans="8:8">
      <c r="H855"/>
    </row>
    <row r="856" spans="8:8">
      <c r="H856"/>
    </row>
    <row r="857" spans="8:8">
      <c r="H857"/>
    </row>
    <row r="858" spans="8:8">
      <c r="H858"/>
    </row>
    <row r="859" spans="8:8">
      <c r="H859"/>
    </row>
    <row r="860" spans="8:8">
      <c r="H860"/>
    </row>
    <row r="861" spans="8:8">
      <c r="H861"/>
    </row>
    <row r="862" spans="8:8">
      <c r="H862"/>
    </row>
    <row r="863" spans="8:8">
      <c r="H863"/>
    </row>
    <row r="864" spans="8:8">
      <c r="H864"/>
    </row>
    <row r="865" spans="8:8">
      <c r="H865"/>
    </row>
    <row r="866" spans="8:8">
      <c r="H866"/>
    </row>
    <row r="867" spans="8:8">
      <c r="H867"/>
    </row>
    <row r="868" spans="8:8">
      <c r="H868"/>
    </row>
    <row r="869" spans="8:8">
      <c r="H869"/>
    </row>
    <row r="870" spans="8:8">
      <c r="H870"/>
    </row>
    <row r="871" spans="8:8">
      <c r="H871"/>
    </row>
    <row r="872" spans="8:8">
      <c r="H872"/>
    </row>
    <row r="873" spans="8:8">
      <c r="H873"/>
    </row>
    <row r="874" spans="8:8">
      <c r="H874"/>
    </row>
    <row r="875" spans="8:8">
      <c r="H875"/>
    </row>
    <row r="876" spans="8:8">
      <c r="H876"/>
    </row>
    <row r="877" spans="8:8">
      <c r="H877"/>
    </row>
    <row r="878" spans="8:8">
      <c r="H878"/>
    </row>
    <row r="879" spans="8:8">
      <c r="H879"/>
    </row>
    <row r="880" spans="8:8">
      <c r="H880"/>
    </row>
    <row r="881" spans="8:8">
      <c r="H881"/>
    </row>
    <row r="882" spans="8:8">
      <c r="H882"/>
    </row>
    <row r="883" spans="8:8">
      <c r="H883"/>
    </row>
    <row r="884" spans="8:8">
      <c r="H884"/>
    </row>
    <row r="885" spans="8:8">
      <c r="H885"/>
    </row>
    <row r="886" spans="8:8">
      <c r="H886"/>
    </row>
    <row r="887" spans="8:8">
      <c r="H887"/>
    </row>
    <row r="888" spans="8:8">
      <c r="H888"/>
    </row>
    <row r="889" spans="8:8">
      <c r="H889"/>
    </row>
    <row r="890" spans="8:8">
      <c r="H890"/>
    </row>
    <row r="891" spans="8:8">
      <c r="H891"/>
    </row>
    <row r="892" spans="8:8">
      <c r="H892"/>
    </row>
    <row r="893" spans="8:8">
      <c r="H893"/>
    </row>
    <row r="894" spans="8:8">
      <c r="H894"/>
    </row>
    <row r="895" spans="8:8">
      <c r="H895"/>
    </row>
    <row r="896" spans="8:8">
      <c r="H896"/>
    </row>
    <row r="897" spans="8:8">
      <c r="H897"/>
    </row>
    <row r="898" spans="8:8">
      <c r="H898"/>
    </row>
    <row r="899" spans="8:8">
      <c r="H899"/>
    </row>
    <row r="900" spans="8:8">
      <c r="H900"/>
    </row>
    <row r="901" spans="8:8">
      <c r="H901"/>
    </row>
    <row r="902" spans="8:8">
      <c r="H902"/>
    </row>
    <row r="903" spans="8:8">
      <c r="H903"/>
    </row>
    <row r="904" spans="8:8">
      <c r="H904"/>
    </row>
    <row r="905" spans="8:8">
      <c r="H905"/>
    </row>
    <row r="906" spans="8:8">
      <c r="H906"/>
    </row>
    <row r="907" spans="8:8">
      <c r="H907"/>
    </row>
    <row r="908" spans="8:8">
      <c r="H908"/>
    </row>
    <row r="909" spans="8:8">
      <c r="H909"/>
    </row>
    <row r="910" spans="8:8">
      <c r="H910"/>
    </row>
    <row r="911" spans="8:8">
      <c r="H911"/>
    </row>
    <row r="912" spans="8:8">
      <c r="H912"/>
    </row>
    <row r="913" spans="8:8">
      <c r="H913"/>
    </row>
    <row r="914" spans="8:8">
      <c r="H914"/>
    </row>
    <row r="915" spans="8:8">
      <c r="H915"/>
    </row>
    <row r="916" spans="8:8">
      <c r="H916"/>
    </row>
    <row r="917" spans="8:8">
      <c r="H917"/>
    </row>
    <row r="918" spans="8:8">
      <c r="H918"/>
    </row>
    <row r="919" spans="8:8">
      <c r="H919"/>
    </row>
    <row r="920" spans="8:8">
      <c r="H920"/>
    </row>
    <row r="921" spans="8:8">
      <c r="H921"/>
    </row>
    <row r="922" spans="8:8">
      <c r="H922"/>
    </row>
    <row r="923" spans="8:8">
      <c r="H923"/>
    </row>
    <row r="924" spans="8:8">
      <c r="H924"/>
    </row>
    <row r="925" spans="8:8">
      <c r="H925"/>
    </row>
    <row r="926" spans="8:8">
      <c r="H926"/>
    </row>
    <row r="927" spans="8:8">
      <c r="H927"/>
    </row>
    <row r="928" spans="8:8">
      <c r="H928"/>
    </row>
    <row r="929" spans="8:8">
      <c r="H929"/>
    </row>
    <row r="930" spans="8:8">
      <c r="H930"/>
    </row>
    <row r="931" spans="8:8">
      <c r="H931"/>
    </row>
    <row r="932" spans="8:8">
      <c r="H932"/>
    </row>
    <row r="933" spans="8:8">
      <c r="H933"/>
    </row>
    <row r="934" spans="8:8">
      <c r="H934"/>
    </row>
    <row r="935" spans="8:8">
      <c r="H935"/>
    </row>
    <row r="936" spans="8:8">
      <c r="H936"/>
    </row>
    <row r="937" spans="8:8">
      <c r="H937"/>
    </row>
    <row r="938" spans="8:8">
      <c r="H938"/>
    </row>
    <row r="939" spans="8:8">
      <c r="H939"/>
    </row>
    <row r="940" spans="8:8">
      <c r="H940"/>
    </row>
    <row r="941" spans="8:8">
      <c r="H941"/>
    </row>
    <row r="942" spans="8:8">
      <c r="H942"/>
    </row>
    <row r="943" spans="8:8">
      <c r="H943"/>
    </row>
    <row r="944" spans="8:8">
      <c r="H944"/>
    </row>
    <row r="945" spans="8:8">
      <c r="H945"/>
    </row>
    <row r="946" spans="8:8">
      <c r="H946"/>
    </row>
    <row r="947" spans="8:8">
      <c r="H947"/>
    </row>
    <row r="948" spans="8:8">
      <c r="H948"/>
    </row>
    <row r="949" spans="8:8">
      <c r="H949"/>
    </row>
    <row r="950" spans="8:8">
      <c r="H950"/>
    </row>
    <row r="951" spans="8:8">
      <c r="H951"/>
    </row>
    <row r="952" spans="8:8">
      <c r="H952"/>
    </row>
    <row r="953" spans="8:8">
      <c r="H953"/>
    </row>
    <row r="954" spans="8:8">
      <c r="H954"/>
    </row>
    <row r="955" spans="8:8">
      <c r="H955"/>
    </row>
    <row r="956" spans="8:8">
      <c r="H956"/>
    </row>
    <row r="957" spans="8:8">
      <c r="H957"/>
    </row>
    <row r="958" spans="8:8">
      <c r="H958"/>
    </row>
    <row r="959" spans="8:8">
      <c r="H959"/>
    </row>
    <row r="960" spans="8:8">
      <c r="H960"/>
    </row>
    <row r="961" spans="8:8">
      <c r="H961"/>
    </row>
    <row r="962" spans="8:8">
      <c r="H962"/>
    </row>
    <row r="963" spans="8:8">
      <c r="H963"/>
    </row>
    <row r="964" spans="8:8">
      <c r="H964"/>
    </row>
    <row r="965" spans="8:8">
      <c r="H965"/>
    </row>
    <row r="966" spans="8:8">
      <c r="H966"/>
    </row>
    <row r="967" spans="8:8">
      <c r="H967"/>
    </row>
    <row r="968" spans="8:8">
      <c r="H968"/>
    </row>
    <row r="969" spans="8:8">
      <c r="H969"/>
    </row>
    <row r="970" spans="8:8">
      <c r="H970"/>
    </row>
    <row r="971" spans="8:8">
      <c r="H971"/>
    </row>
    <row r="972" spans="8:8">
      <c r="H972"/>
    </row>
    <row r="973" spans="8:8">
      <c r="H973"/>
    </row>
    <row r="974" spans="8:8">
      <c r="H974"/>
    </row>
    <row r="975" spans="8:8">
      <c r="H975"/>
    </row>
    <row r="976" spans="8:8">
      <c r="H976"/>
    </row>
    <row r="977" spans="8:8">
      <c r="H977"/>
    </row>
    <row r="978" spans="8:8">
      <c r="H978"/>
    </row>
    <row r="979" spans="8:8">
      <c r="H979"/>
    </row>
    <row r="980" spans="8:8">
      <c r="H980"/>
    </row>
    <row r="981" spans="8:8">
      <c r="H981"/>
    </row>
    <row r="982" spans="8:8">
      <c r="H982"/>
    </row>
    <row r="983" spans="8:8">
      <c r="H983"/>
    </row>
    <row r="984" spans="8:8">
      <c r="H984"/>
    </row>
    <row r="985" spans="8:8">
      <c r="H985"/>
    </row>
    <row r="986" spans="8:8">
      <c r="H986"/>
    </row>
    <row r="987" spans="8:8">
      <c r="H987"/>
    </row>
    <row r="988" spans="8:8">
      <c r="H988"/>
    </row>
    <row r="989" spans="8:8">
      <c r="H989"/>
    </row>
    <row r="990" spans="8:8">
      <c r="H990"/>
    </row>
    <row r="991" spans="8:8">
      <c r="H991"/>
    </row>
    <row r="992" spans="8:8">
      <c r="H992"/>
    </row>
    <row r="993" spans="8:8">
      <c r="H993"/>
    </row>
    <row r="994" spans="8:8">
      <c r="H994"/>
    </row>
    <row r="995" spans="8:8">
      <c r="H995"/>
    </row>
    <row r="996" spans="8:8">
      <c r="H996"/>
    </row>
    <row r="997" spans="8:8">
      <c r="H997"/>
    </row>
    <row r="998" spans="8:8">
      <c r="H998"/>
    </row>
    <row r="999" spans="8:8">
      <c r="H999"/>
    </row>
    <row r="1000" spans="8:8">
      <c r="H1000"/>
    </row>
    <row r="1001" spans="8:8">
      <c r="H1001"/>
    </row>
    <row r="1002" spans="8:8">
      <c r="H1002"/>
    </row>
    <row r="1003" spans="8:8">
      <c r="H1003"/>
    </row>
    <row r="1004" spans="8:8">
      <c r="H1004"/>
    </row>
    <row r="1005" spans="8:8">
      <c r="H1005"/>
    </row>
    <row r="1006" spans="8:8">
      <c r="H1006"/>
    </row>
    <row r="1007" spans="8:8">
      <c r="H1007"/>
    </row>
    <row r="1008" spans="8:8">
      <c r="H1008"/>
    </row>
    <row r="1009" spans="8:8">
      <c r="H1009"/>
    </row>
    <row r="1010" spans="8:8">
      <c r="H1010"/>
    </row>
    <row r="1011" spans="8:8">
      <c r="H1011"/>
    </row>
    <row r="1012" spans="8:8">
      <c r="H1012"/>
    </row>
    <row r="1013" spans="8:8">
      <c r="H1013"/>
    </row>
    <row r="1014" spans="8:8">
      <c r="H1014"/>
    </row>
    <row r="1015" spans="8:8">
      <c r="H1015"/>
    </row>
    <row r="1016" spans="8:8">
      <c r="H1016"/>
    </row>
    <row r="1017" spans="8:8">
      <c r="H1017"/>
    </row>
    <row r="1018" spans="8:8">
      <c r="H1018"/>
    </row>
    <row r="1019" spans="8:8">
      <c r="H1019"/>
    </row>
    <row r="1020" spans="8:8">
      <c r="H1020"/>
    </row>
    <row r="1021" spans="8:8">
      <c r="H1021"/>
    </row>
    <row r="1022" spans="8:8">
      <c r="H1022"/>
    </row>
    <row r="1023" spans="8:8">
      <c r="H1023"/>
    </row>
    <row r="1024" spans="8:8">
      <c r="H1024"/>
    </row>
    <row r="1025" spans="8:8">
      <c r="H1025"/>
    </row>
    <row r="1026" spans="8:8">
      <c r="H1026"/>
    </row>
    <row r="1027" spans="8:8">
      <c r="H1027"/>
    </row>
    <row r="1028" spans="8:8">
      <c r="H1028"/>
    </row>
    <row r="1029" spans="8:8">
      <c r="H1029"/>
    </row>
    <row r="1030" spans="8:8">
      <c r="H1030"/>
    </row>
    <row r="1031" spans="8:8">
      <c r="H1031"/>
    </row>
    <row r="1032" spans="8:8">
      <c r="H1032"/>
    </row>
    <row r="1033" spans="8:8">
      <c r="H1033"/>
    </row>
    <row r="1034" spans="8:8">
      <c r="H1034"/>
    </row>
    <row r="1035" spans="8:8">
      <c r="H1035"/>
    </row>
    <row r="1036" spans="8:8">
      <c r="H1036"/>
    </row>
    <row r="1037" spans="8:8">
      <c r="H1037"/>
    </row>
    <row r="1038" spans="8:8">
      <c r="H1038"/>
    </row>
    <row r="1039" spans="8:8">
      <c r="H1039"/>
    </row>
    <row r="1040" spans="8:8">
      <c r="H1040"/>
    </row>
    <row r="1041" spans="8:8">
      <c r="H1041"/>
    </row>
    <row r="1042" spans="8:8">
      <c r="H1042"/>
    </row>
    <row r="1043" spans="8:8">
      <c r="H1043"/>
    </row>
    <row r="1044" spans="8:8">
      <c r="H1044"/>
    </row>
    <row r="1045" spans="8:8">
      <c r="H1045"/>
    </row>
    <row r="1046" spans="8:8">
      <c r="H1046"/>
    </row>
    <row r="1047" spans="8:8">
      <c r="H1047"/>
    </row>
    <row r="1048" spans="8:8">
      <c r="H1048"/>
    </row>
    <row r="1049" spans="8:8">
      <c r="H1049"/>
    </row>
    <row r="1050" spans="8:8">
      <c r="H1050"/>
    </row>
    <row r="1051" spans="8:8">
      <c r="H1051"/>
    </row>
    <row r="1052" spans="8:8">
      <c r="H1052"/>
    </row>
    <row r="1053" spans="8:8">
      <c r="H1053"/>
    </row>
    <row r="1054" spans="8:8">
      <c r="H1054"/>
    </row>
    <row r="1055" spans="8:8">
      <c r="H1055"/>
    </row>
    <row r="1056" spans="8:8">
      <c r="H1056"/>
    </row>
    <row r="1057" spans="8:8">
      <c r="H1057"/>
    </row>
    <row r="1058" spans="8:8">
      <c r="H1058"/>
    </row>
    <row r="1059" spans="8:8">
      <c r="H1059"/>
    </row>
    <row r="1060" spans="8:8">
      <c r="H1060"/>
    </row>
    <row r="1061" spans="8:8">
      <c r="H1061"/>
    </row>
    <row r="1062" spans="8:8">
      <c r="H1062"/>
    </row>
    <row r="1063" spans="8:8">
      <c r="H1063"/>
    </row>
    <row r="1064" spans="8:8">
      <c r="H1064"/>
    </row>
    <row r="1065" spans="8:8">
      <c r="H1065"/>
    </row>
    <row r="1066" spans="8:8">
      <c r="H1066"/>
    </row>
    <row r="1067" spans="8:8">
      <c r="H1067"/>
    </row>
    <row r="1068" spans="8:8">
      <c r="H1068"/>
    </row>
    <row r="1069" spans="8:8">
      <c r="H1069"/>
    </row>
    <row r="1070" spans="8:8">
      <c r="H1070"/>
    </row>
    <row r="1071" spans="8:8">
      <c r="H1071"/>
    </row>
    <row r="1072" spans="8:8">
      <c r="H1072"/>
    </row>
    <row r="1073" spans="8:8">
      <c r="H1073"/>
    </row>
    <row r="1074" spans="8:8">
      <c r="H1074"/>
    </row>
    <row r="1075" spans="8:8">
      <c r="H1075"/>
    </row>
    <row r="1076" spans="8:8">
      <c r="H1076"/>
    </row>
    <row r="1077" spans="8:8">
      <c r="H1077"/>
    </row>
    <row r="1078" spans="8:8">
      <c r="H1078"/>
    </row>
    <row r="1079" spans="8:8">
      <c r="H1079"/>
    </row>
    <row r="1080" spans="8:8">
      <c r="H1080"/>
    </row>
    <row r="1081" spans="8:8">
      <c r="H1081"/>
    </row>
    <row r="1082" spans="8:8">
      <c r="H1082"/>
    </row>
    <row r="1083" spans="8:8">
      <c r="H1083"/>
    </row>
    <row r="1084" spans="8:8">
      <c r="H1084"/>
    </row>
    <row r="1085" spans="8:8">
      <c r="H1085"/>
    </row>
    <row r="1086" spans="8:8">
      <c r="H1086"/>
    </row>
    <row r="1087" spans="8:8">
      <c r="H1087"/>
    </row>
    <row r="1088" spans="8:8">
      <c r="H1088"/>
    </row>
    <row r="1089" spans="8:8">
      <c r="H1089"/>
    </row>
    <row r="1090" spans="8:8">
      <c r="H1090"/>
    </row>
    <row r="1091" spans="8:8">
      <c r="H1091"/>
    </row>
    <row r="1092" spans="8:8">
      <c r="H1092"/>
    </row>
    <row r="1093" spans="8:8">
      <c r="H1093"/>
    </row>
    <row r="1094" spans="8:8">
      <c r="H1094"/>
    </row>
    <row r="1095" spans="8:8">
      <c r="H1095"/>
    </row>
    <row r="1096" spans="8:8">
      <c r="H1096"/>
    </row>
    <row r="1097" spans="8:8">
      <c r="H1097"/>
    </row>
    <row r="1098" spans="8:8">
      <c r="H1098"/>
    </row>
    <row r="1099" spans="8:8">
      <c r="H1099"/>
    </row>
    <row r="1100" spans="8:8">
      <c r="H1100"/>
    </row>
    <row r="1101" spans="8:8">
      <c r="H1101"/>
    </row>
    <row r="1102" spans="8:8">
      <c r="H1102"/>
    </row>
    <row r="1103" spans="8:8">
      <c r="H1103"/>
    </row>
    <row r="1104" spans="8:8">
      <c r="H1104"/>
    </row>
    <row r="1105" spans="8:8">
      <c r="H1105"/>
    </row>
    <row r="1106" spans="8:8">
      <c r="H1106"/>
    </row>
    <row r="1107" spans="8:8">
      <c r="H1107"/>
    </row>
    <row r="1108" spans="8:8">
      <c r="H1108"/>
    </row>
    <row r="1109" spans="8:8">
      <c r="H1109"/>
    </row>
    <row r="1110" spans="8:8">
      <c r="H1110"/>
    </row>
    <row r="1111" spans="8:8">
      <c r="H1111"/>
    </row>
    <row r="1112" spans="8:8">
      <c r="H1112"/>
    </row>
    <row r="1113" spans="8:8">
      <c r="H1113"/>
    </row>
    <row r="1114" spans="8:8">
      <c r="H1114"/>
    </row>
    <row r="1115" spans="8:8">
      <c r="H1115"/>
    </row>
    <row r="1116" spans="8:8">
      <c r="H1116"/>
    </row>
    <row r="1117" spans="8:8">
      <c r="H1117"/>
    </row>
    <row r="1118" spans="8:8">
      <c r="H1118"/>
    </row>
    <row r="1119" spans="8:8">
      <c r="H1119"/>
    </row>
    <row r="1120" spans="8:8">
      <c r="H1120"/>
    </row>
    <row r="1121" spans="8:8">
      <c r="H1121"/>
    </row>
    <row r="1122" spans="8:8">
      <c r="H1122"/>
    </row>
    <row r="1123" spans="8:8">
      <c r="H1123"/>
    </row>
    <row r="1124" spans="8:8">
      <c r="H1124"/>
    </row>
    <row r="1125" spans="8:8">
      <c r="H1125"/>
    </row>
    <row r="1126" spans="8:8">
      <c r="H1126"/>
    </row>
    <row r="1127" spans="8:8">
      <c r="H1127"/>
    </row>
    <row r="1128" spans="8:8">
      <c r="H1128"/>
    </row>
    <row r="1129" spans="8:8">
      <c r="H1129"/>
    </row>
    <row r="1130" spans="8:8">
      <c r="H1130"/>
    </row>
    <row r="1131" spans="8:8">
      <c r="H1131"/>
    </row>
    <row r="1132" spans="8:8">
      <c r="H1132"/>
    </row>
    <row r="1133" spans="8:8">
      <c r="H1133"/>
    </row>
    <row r="1134" spans="8:8">
      <c r="H1134"/>
    </row>
    <row r="1135" spans="8:8">
      <c r="H1135"/>
    </row>
    <row r="1136" spans="8:8">
      <c r="H1136"/>
    </row>
    <row r="1137" spans="8:8">
      <c r="H1137"/>
    </row>
    <row r="1138" spans="8:8">
      <c r="H1138"/>
    </row>
    <row r="1139" spans="8:8">
      <c r="H1139"/>
    </row>
    <row r="1140" spans="8:8">
      <c r="H1140"/>
    </row>
    <row r="1141" spans="8:8">
      <c r="H1141"/>
    </row>
    <row r="1142" spans="8:8">
      <c r="H1142"/>
    </row>
    <row r="1143" spans="8:8">
      <c r="H1143"/>
    </row>
    <row r="1144" spans="8:8">
      <c r="H1144"/>
    </row>
    <row r="1145" spans="8:8">
      <c r="H1145"/>
    </row>
    <row r="1146" spans="8:8">
      <c r="H1146"/>
    </row>
    <row r="1147" spans="8:8">
      <c r="H1147"/>
    </row>
    <row r="1148" spans="8:8">
      <c r="H1148"/>
    </row>
    <row r="1149" spans="8:8">
      <c r="H1149"/>
    </row>
    <row r="1150" spans="8:8">
      <c r="H1150"/>
    </row>
    <row r="1151" spans="8:8">
      <c r="H1151"/>
    </row>
    <row r="1152" spans="8:8">
      <c r="H1152"/>
    </row>
    <row r="1153" spans="8:8">
      <c r="H1153"/>
    </row>
    <row r="1154" spans="8:8">
      <c r="H1154"/>
    </row>
    <row r="1155" spans="8:8">
      <c r="H1155"/>
    </row>
    <row r="1156" spans="8:8">
      <c r="H1156"/>
    </row>
    <row r="1157" spans="8:8">
      <c r="H1157"/>
    </row>
    <row r="1158" spans="8:8">
      <c r="H1158"/>
    </row>
    <row r="1159" spans="8:8">
      <c r="H1159"/>
    </row>
    <row r="1160" spans="8:8">
      <c r="H1160"/>
    </row>
    <row r="1161" spans="8:8">
      <c r="H1161"/>
    </row>
    <row r="1162" spans="8:8">
      <c r="H1162"/>
    </row>
    <row r="1163" spans="8:8">
      <c r="H1163"/>
    </row>
    <row r="1164" spans="8:8">
      <c r="H1164"/>
    </row>
    <row r="1165" spans="8:8">
      <c r="H1165"/>
    </row>
    <row r="1166" spans="8:8">
      <c r="H1166"/>
    </row>
    <row r="1167" spans="8:8">
      <c r="H1167"/>
    </row>
    <row r="1168" spans="8:8">
      <c r="H1168"/>
    </row>
    <row r="1169" spans="8:8">
      <c r="H1169"/>
    </row>
    <row r="1170" spans="8:8">
      <c r="H1170"/>
    </row>
    <row r="1171" spans="8:8">
      <c r="H1171"/>
    </row>
    <row r="1172" spans="8:8">
      <c r="H1172"/>
    </row>
    <row r="1173" spans="8:8">
      <c r="H1173"/>
    </row>
    <row r="1174" spans="8:8">
      <c r="H1174"/>
    </row>
    <row r="1175" spans="8:8">
      <c r="H1175"/>
    </row>
    <row r="1176" spans="8:8">
      <c r="H1176"/>
    </row>
    <row r="1177" spans="8:8">
      <c r="H1177"/>
    </row>
    <row r="1178" spans="8:8">
      <c r="H1178"/>
    </row>
    <row r="1179" spans="8:8">
      <c r="H1179"/>
    </row>
    <row r="1180" spans="8:8">
      <c r="H1180"/>
    </row>
    <row r="1181" spans="8:8">
      <c r="H1181"/>
    </row>
    <row r="1182" spans="8:8">
      <c r="H1182"/>
    </row>
    <row r="1183" spans="8:8">
      <c r="H1183"/>
    </row>
    <row r="1184" spans="8:8">
      <c r="H1184"/>
    </row>
    <row r="1185" spans="8:8">
      <c r="H1185"/>
    </row>
    <row r="1186" spans="8:8">
      <c r="H1186"/>
    </row>
    <row r="1187" spans="8:8">
      <c r="H1187"/>
    </row>
    <row r="1188" spans="8:8">
      <c r="H1188"/>
    </row>
    <row r="1189" spans="8:8">
      <c r="H1189"/>
    </row>
    <row r="1190" spans="8:8">
      <c r="H1190"/>
    </row>
    <row r="1191" spans="8:8">
      <c r="H1191"/>
    </row>
    <row r="1192" spans="8:8">
      <c r="H1192"/>
    </row>
    <row r="1193" spans="8:8">
      <c r="H1193"/>
    </row>
    <row r="1194" spans="8:8">
      <c r="H1194"/>
    </row>
    <row r="1195" spans="8:8">
      <c r="H1195"/>
    </row>
    <row r="1196" spans="8:8">
      <c r="H1196"/>
    </row>
    <row r="1197" spans="8:8">
      <c r="H1197"/>
    </row>
    <row r="1198" spans="8:8">
      <c r="H1198"/>
    </row>
    <row r="1199" spans="8:8">
      <c r="H1199"/>
    </row>
    <row r="1200" spans="8:8">
      <c r="H1200"/>
    </row>
    <row r="1201" spans="8:8">
      <c r="H1201"/>
    </row>
    <row r="1202" spans="8:8">
      <c r="H1202"/>
    </row>
    <row r="1203" spans="8:8">
      <c r="H1203"/>
    </row>
    <row r="1204" spans="8:8">
      <c r="H1204"/>
    </row>
    <row r="1205" spans="8:8">
      <c r="H1205"/>
    </row>
    <row r="1206" spans="8:8">
      <c r="H1206"/>
    </row>
    <row r="1207" spans="8:8">
      <c r="H1207"/>
    </row>
    <row r="1208" spans="8:8">
      <c r="H1208"/>
    </row>
    <row r="1209" spans="8:8">
      <c r="H1209"/>
    </row>
    <row r="1210" spans="8:8">
      <c r="H1210"/>
    </row>
    <row r="1211" spans="8:8">
      <c r="H1211"/>
    </row>
    <row r="1212" spans="8:8">
      <c r="H1212"/>
    </row>
    <row r="1213" spans="8:8">
      <c r="H1213"/>
    </row>
    <row r="1214" spans="8:8">
      <c r="H1214"/>
    </row>
    <row r="1215" spans="8:8">
      <c r="H1215"/>
    </row>
    <row r="1216" spans="8:8">
      <c r="H1216"/>
    </row>
    <row r="1217" spans="8:8">
      <c r="H1217"/>
    </row>
    <row r="1218" spans="8:8">
      <c r="H1218"/>
    </row>
    <row r="1219" spans="8:8">
      <c r="H1219"/>
    </row>
    <row r="1220" spans="8:8">
      <c r="H1220"/>
    </row>
    <row r="1221" spans="8:8">
      <c r="H1221"/>
    </row>
    <row r="1222" spans="8:8">
      <c r="H1222"/>
    </row>
    <row r="1223" spans="8:8">
      <c r="H1223"/>
    </row>
    <row r="1224" spans="8:8">
      <c r="H1224"/>
    </row>
    <row r="1225" spans="8:8">
      <c r="H1225"/>
    </row>
    <row r="1226" spans="8:8">
      <c r="H1226"/>
    </row>
    <row r="1227" spans="8:8">
      <c r="H1227"/>
    </row>
    <row r="1228" spans="8:8">
      <c r="H1228"/>
    </row>
    <row r="1229" spans="8:8">
      <c r="H1229"/>
    </row>
    <row r="1230" spans="8:8">
      <c r="H1230"/>
    </row>
    <row r="1231" spans="8:8">
      <c r="H1231"/>
    </row>
    <row r="1232" spans="8:8">
      <c r="H1232"/>
    </row>
    <row r="1233" spans="8:8">
      <c r="H1233"/>
    </row>
    <row r="1234" spans="8:8">
      <c r="H1234"/>
    </row>
    <row r="1235" spans="8:8">
      <c r="H1235"/>
    </row>
    <row r="1236" spans="8:8">
      <c r="H1236"/>
    </row>
    <row r="1237" spans="8:8">
      <c r="H1237"/>
    </row>
    <row r="1238" spans="8:8">
      <c r="H1238"/>
    </row>
    <row r="1239" spans="8:8">
      <c r="H1239"/>
    </row>
    <row r="1240" spans="8:8">
      <c r="H1240"/>
    </row>
    <row r="1241" spans="8:8">
      <c r="H1241"/>
    </row>
    <row r="1242" spans="8:8">
      <c r="H1242"/>
    </row>
    <row r="1243" spans="8:8">
      <c r="H1243"/>
    </row>
    <row r="1244" spans="8:8">
      <c r="H1244"/>
    </row>
    <row r="1245" spans="8:8">
      <c r="H1245"/>
    </row>
    <row r="1246" spans="8:8">
      <c r="H1246"/>
    </row>
    <row r="1247" spans="8:8">
      <c r="H1247"/>
    </row>
    <row r="1248" spans="8:8">
      <c r="H1248"/>
    </row>
    <row r="1249" spans="8:8">
      <c r="H1249"/>
    </row>
    <row r="1250" spans="8:8">
      <c r="H1250"/>
    </row>
    <row r="1251" spans="8:8">
      <c r="H1251"/>
    </row>
    <row r="1252" spans="8:8">
      <c r="H1252"/>
    </row>
    <row r="1253" spans="8:8">
      <c r="H1253"/>
    </row>
    <row r="1254" spans="8:8">
      <c r="H1254"/>
    </row>
    <row r="1255" spans="8:8">
      <c r="H1255"/>
    </row>
    <row r="1256" spans="8:8">
      <c r="H1256"/>
    </row>
    <row r="1257" spans="8:8">
      <c r="H1257"/>
    </row>
    <row r="1258" spans="8:8">
      <c r="H1258"/>
    </row>
    <row r="1259" spans="8:8">
      <c r="H1259"/>
    </row>
    <row r="1260" spans="8:8">
      <c r="H1260"/>
    </row>
    <row r="1261" spans="8:8">
      <c r="H1261"/>
    </row>
    <row r="1262" spans="8:8">
      <c r="H1262"/>
    </row>
    <row r="1263" spans="8:8">
      <c r="H1263"/>
    </row>
    <row r="1264" spans="8:8">
      <c r="H1264"/>
    </row>
    <row r="1265" spans="8:8">
      <c r="H1265"/>
    </row>
    <row r="1266" spans="8:8">
      <c r="H1266"/>
    </row>
    <row r="1267" spans="8:8">
      <c r="H1267"/>
    </row>
    <row r="1268" spans="8:8">
      <c r="H1268"/>
    </row>
    <row r="1269" spans="8:8">
      <c r="H1269"/>
    </row>
    <row r="1270" spans="8:8">
      <c r="H1270"/>
    </row>
    <row r="1271" spans="8:8">
      <c r="H1271"/>
    </row>
    <row r="1272" spans="8:8">
      <c r="H1272"/>
    </row>
    <row r="1273" spans="8:8">
      <c r="H1273"/>
    </row>
    <row r="1274" spans="8:8">
      <c r="H1274"/>
    </row>
    <row r="1275" spans="8:8">
      <c r="H1275"/>
    </row>
    <row r="1276" spans="8:8">
      <c r="H1276"/>
    </row>
    <row r="1277" spans="8:8">
      <c r="H1277"/>
    </row>
    <row r="1278" spans="8:8">
      <c r="H1278"/>
    </row>
    <row r="1279" spans="8:8">
      <c r="H1279"/>
    </row>
    <row r="1280" spans="8:8">
      <c r="H1280"/>
    </row>
    <row r="1281" spans="8:8">
      <c r="H1281"/>
    </row>
    <row r="1282" spans="8:8">
      <c r="H1282"/>
    </row>
    <row r="1283" spans="8:8">
      <c r="H1283"/>
    </row>
    <row r="1284" spans="8:8">
      <c r="H1284"/>
    </row>
    <row r="1285" spans="8:8">
      <c r="H1285"/>
    </row>
    <row r="1286" spans="8:8">
      <c r="H1286"/>
    </row>
    <row r="1287" spans="8:8">
      <c r="H1287"/>
    </row>
    <row r="1288" spans="8:8">
      <c r="H1288"/>
    </row>
    <row r="1289" spans="8:8">
      <c r="H1289"/>
    </row>
    <row r="1290" spans="8:8">
      <c r="H1290"/>
    </row>
    <row r="1291" spans="8:8">
      <c r="H1291"/>
    </row>
    <row r="1292" spans="8:8">
      <c r="H1292"/>
    </row>
    <row r="1293" spans="8:8">
      <c r="H1293"/>
    </row>
    <row r="1294" spans="8:8">
      <c r="H1294"/>
    </row>
    <row r="1295" spans="8:8">
      <c r="H1295"/>
    </row>
    <row r="1296" spans="8:8">
      <c r="H1296"/>
    </row>
    <row r="1297" spans="8:8">
      <c r="H1297"/>
    </row>
    <row r="1298" spans="8:8">
      <c r="H1298"/>
    </row>
    <row r="1299" spans="8:8">
      <c r="H1299"/>
    </row>
    <row r="1300" spans="8:8">
      <c r="H1300"/>
    </row>
    <row r="1301" spans="8:8">
      <c r="H1301"/>
    </row>
    <row r="1302" spans="8:8">
      <c r="H1302"/>
    </row>
    <row r="1303" spans="8:8">
      <c r="H1303"/>
    </row>
    <row r="1304" spans="8:8">
      <c r="H1304"/>
    </row>
    <row r="1305" spans="8:8">
      <c r="H1305"/>
    </row>
    <row r="1306" spans="8:8">
      <c r="H1306"/>
    </row>
    <row r="1307" spans="8:8">
      <c r="H1307"/>
    </row>
    <row r="1308" spans="8:8">
      <c r="H1308"/>
    </row>
    <row r="1309" spans="8:8">
      <c r="H1309"/>
    </row>
    <row r="1310" spans="8:8">
      <c r="H1310"/>
    </row>
    <row r="1311" spans="8:8">
      <c r="H1311"/>
    </row>
    <row r="1312" spans="8:8">
      <c r="H1312"/>
    </row>
    <row r="1313" spans="8:8">
      <c r="H1313"/>
    </row>
    <row r="1314" spans="8:8">
      <c r="H1314"/>
    </row>
    <row r="1315" spans="8:8">
      <c r="H1315"/>
    </row>
    <row r="1316" spans="8:8">
      <c r="H1316"/>
    </row>
    <row r="1317" spans="8:8">
      <c r="H1317"/>
    </row>
    <row r="1318" spans="8:8">
      <c r="H1318"/>
    </row>
    <row r="1319" spans="8:8">
      <c r="H1319"/>
    </row>
    <row r="1320" spans="8:8">
      <c r="H1320"/>
    </row>
    <row r="1321" spans="8:8">
      <c r="H1321"/>
    </row>
    <row r="1322" spans="8:8">
      <c r="H1322"/>
    </row>
    <row r="1323" spans="8:8">
      <c r="H1323"/>
    </row>
    <row r="1324" spans="8:8">
      <c r="H1324"/>
    </row>
    <row r="1325" spans="8:8">
      <c r="H1325"/>
    </row>
    <row r="1326" spans="8:8">
      <c r="H1326"/>
    </row>
    <row r="1327" spans="8:8">
      <c r="H1327"/>
    </row>
    <row r="1328" spans="8:8">
      <c r="H1328"/>
    </row>
    <row r="1329" spans="8:8">
      <c r="H1329"/>
    </row>
    <row r="1330" spans="8:8">
      <c r="H1330"/>
    </row>
    <row r="1331" spans="8:8">
      <c r="H1331"/>
    </row>
    <row r="1332" spans="8:8">
      <c r="H1332"/>
    </row>
    <row r="1333" spans="8:8">
      <c r="H1333"/>
    </row>
    <row r="1334" spans="8:8">
      <c r="H1334"/>
    </row>
    <row r="1335" spans="8:8">
      <c r="H1335"/>
    </row>
    <row r="1336" spans="8:8">
      <c r="H1336"/>
    </row>
    <row r="1337" spans="8:8">
      <c r="H1337"/>
    </row>
    <row r="1338" spans="8:8">
      <c r="H1338"/>
    </row>
    <row r="1339" spans="8:8">
      <c r="H1339"/>
    </row>
    <row r="1340" spans="8:8">
      <c r="H1340"/>
    </row>
    <row r="1341" spans="8:8">
      <c r="H1341"/>
    </row>
    <row r="1342" spans="8:8">
      <c r="H1342"/>
    </row>
    <row r="1343" spans="8:8">
      <c r="H1343"/>
    </row>
    <row r="1344" spans="8:8">
      <c r="H1344"/>
    </row>
    <row r="1345" spans="8:8">
      <c r="H1345"/>
    </row>
    <row r="1346" spans="8:8">
      <c r="H1346"/>
    </row>
    <row r="1347" spans="8:8">
      <c r="H1347"/>
    </row>
    <row r="1348" spans="8:8">
      <c r="H1348"/>
    </row>
    <row r="1349" spans="8:8">
      <c r="H1349"/>
    </row>
    <row r="1350" spans="8:8">
      <c r="H1350"/>
    </row>
    <row r="1351" spans="8:8">
      <c r="H1351"/>
    </row>
    <row r="1352" spans="8:8">
      <c r="H1352"/>
    </row>
    <row r="1353" spans="8:8">
      <c r="H1353"/>
    </row>
    <row r="1354" spans="8:8">
      <c r="H1354"/>
    </row>
    <row r="1355" spans="8:8">
      <c r="H1355"/>
    </row>
    <row r="1356" spans="8:8">
      <c r="H1356"/>
    </row>
    <row r="1357" spans="8:8">
      <c r="H1357"/>
    </row>
    <row r="1358" spans="8:8">
      <c r="H1358"/>
    </row>
    <row r="1359" spans="8:8">
      <c r="H1359"/>
    </row>
    <row r="1360" spans="8:8">
      <c r="H1360"/>
    </row>
    <row r="1361" spans="8:8">
      <c r="H1361"/>
    </row>
    <row r="1362" spans="8:8">
      <c r="H1362"/>
    </row>
    <row r="1363" spans="8:8">
      <c r="H1363"/>
    </row>
    <row r="1364" spans="8:8">
      <c r="H1364"/>
    </row>
    <row r="1365" spans="8:8">
      <c r="H1365"/>
    </row>
    <row r="1366" spans="8:8">
      <c r="H1366"/>
    </row>
    <row r="1367" spans="8:8">
      <c r="H1367"/>
    </row>
    <row r="1368" spans="8:8">
      <c r="H1368"/>
    </row>
    <row r="1369" spans="8:8">
      <c r="H1369"/>
    </row>
    <row r="1370" spans="8:8">
      <c r="H1370"/>
    </row>
    <row r="1371" spans="8:8">
      <c r="H1371"/>
    </row>
    <row r="1372" spans="8:8">
      <c r="H1372"/>
    </row>
    <row r="1373" spans="8:8">
      <c r="H1373"/>
    </row>
    <row r="1374" spans="8:8">
      <c r="H1374"/>
    </row>
    <row r="1375" spans="8:8">
      <c r="H1375"/>
    </row>
    <row r="1376" spans="8:8">
      <c r="H1376"/>
    </row>
    <row r="1377" spans="8:8">
      <c r="H1377"/>
    </row>
    <row r="1378" spans="8:8">
      <c r="H1378"/>
    </row>
    <row r="1379" spans="8:8">
      <c r="H1379"/>
    </row>
    <row r="1380" spans="8:8">
      <c r="H1380"/>
    </row>
    <row r="1381" spans="8:8">
      <c r="H1381"/>
    </row>
    <row r="1382" spans="8:8">
      <c r="H1382"/>
    </row>
    <row r="1383" spans="8:8">
      <c r="H1383"/>
    </row>
    <row r="1384" spans="8:8">
      <c r="H1384"/>
    </row>
    <row r="1385" spans="8:8">
      <c r="H1385"/>
    </row>
    <row r="1386" spans="8:8">
      <c r="H1386"/>
    </row>
    <row r="1387" spans="8:8">
      <c r="H1387"/>
    </row>
    <row r="1388" spans="8:8">
      <c r="H1388"/>
    </row>
    <row r="1389" spans="8:8">
      <c r="H1389"/>
    </row>
    <row r="1390" spans="8:8">
      <c r="H1390"/>
    </row>
    <row r="1391" spans="8:8">
      <c r="H1391"/>
    </row>
    <row r="1392" spans="8:8">
      <c r="H1392"/>
    </row>
    <row r="1393" spans="8:8">
      <c r="H1393"/>
    </row>
    <row r="1394" spans="8:8">
      <c r="H1394"/>
    </row>
    <row r="1395" spans="8:8">
      <c r="H1395"/>
    </row>
    <row r="1396" spans="8:8">
      <c r="H1396"/>
    </row>
    <row r="1397" spans="8:8">
      <c r="H1397"/>
    </row>
    <row r="1398" spans="8:8">
      <c r="H1398"/>
    </row>
    <row r="1399" spans="8:8">
      <c r="H1399"/>
    </row>
    <row r="1400" spans="8:8">
      <c r="H1400"/>
    </row>
    <row r="1401" spans="8:8">
      <c r="H1401"/>
    </row>
    <row r="1402" spans="8:8">
      <c r="H1402"/>
    </row>
    <row r="1403" spans="8:8">
      <c r="H1403"/>
    </row>
    <row r="1404" spans="8:8">
      <c r="H1404"/>
    </row>
    <row r="1405" spans="8:8">
      <c r="H1405"/>
    </row>
    <row r="1406" spans="8:8">
      <c r="H1406"/>
    </row>
    <row r="1407" spans="8:8">
      <c r="H1407"/>
    </row>
    <row r="1408" spans="8:8">
      <c r="H1408"/>
    </row>
    <row r="1409" spans="8:8">
      <c r="H1409"/>
    </row>
    <row r="1410" spans="8:8">
      <c r="H1410"/>
    </row>
    <row r="1411" spans="8:8">
      <c r="H1411"/>
    </row>
    <row r="1412" spans="8:8">
      <c r="H1412"/>
    </row>
    <row r="1413" spans="8:8">
      <c r="H1413"/>
    </row>
    <row r="1414" spans="8:8">
      <c r="H1414"/>
    </row>
    <row r="1415" spans="8:8">
      <c r="H1415"/>
    </row>
    <row r="1416" spans="8:8">
      <c r="H1416"/>
    </row>
    <row r="1417" spans="8:8">
      <c r="H1417"/>
    </row>
    <row r="1418" spans="8:8">
      <c r="H1418"/>
    </row>
    <row r="1419" spans="8:8">
      <c r="H1419"/>
    </row>
    <row r="1420" spans="8:8">
      <c r="H1420"/>
    </row>
    <row r="1421" spans="8:8">
      <c r="H1421"/>
    </row>
    <row r="1422" spans="8:8">
      <c r="H1422"/>
    </row>
    <row r="1423" spans="8:8">
      <c r="H1423"/>
    </row>
    <row r="1424" spans="8:8">
      <c r="H1424"/>
    </row>
    <row r="1425" spans="8:8">
      <c r="H1425"/>
    </row>
    <row r="1426" spans="8:8">
      <c r="H1426"/>
    </row>
    <row r="1427" spans="8:8">
      <c r="H1427"/>
    </row>
    <row r="1428" spans="8:8">
      <c r="H1428"/>
    </row>
    <row r="1429" spans="8:8">
      <c r="H1429"/>
    </row>
    <row r="1430" spans="8:8">
      <c r="H1430"/>
    </row>
    <row r="1431" spans="8:8">
      <c r="H1431"/>
    </row>
    <row r="1432" spans="8:8">
      <c r="H1432"/>
    </row>
    <row r="1433" spans="8:8">
      <c r="H1433"/>
    </row>
    <row r="1434" spans="8:8">
      <c r="H1434"/>
    </row>
    <row r="1435" spans="8:8">
      <c r="H1435"/>
    </row>
    <row r="1436" spans="8:8">
      <c r="H1436"/>
    </row>
    <row r="1437" spans="8:8">
      <c r="H1437"/>
    </row>
    <row r="1438" spans="8:8">
      <c r="H1438"/>
    </row>
    <row r="1439" spans="8:8">
      <c r="H1439"/>
    </row>
    <row r="1440" spans="8:8">
      <c r="H1440"/>
    </row>
    <row r="1441" spans="8:8">
      <c r="H1441"/>
    </row>
    <row r="1442" spans="8:8">
      <c r="H1442"/>
    </row>
    <row r="1443" spans="8:8">
      <c r="H1443"/>
    </row>
    <row r="1444" spans="8:8">
      <c r="H1444"/>
    </row>
    <row r="1445" spans="8:8">
      <c r="H1445"/>
    </row>
    <row r="1446" spans="8:8">
      <c r="H1446"/>
    </row>
    <row r="1447" spans="8:8">
      <c r="H1447"/>
    </row>
    <row r="1448" spans="8:8">
      <c r="H1448"/>
    </row>
    <row r="1449" spans="8:8">
      <c r="H1449"/>
    </row>
    <row r="1450" spans="8:8">
      <c r="H1450"/>
    </row>
    <row r="1451" spans="8:8">
      <c r="H1451"/>
    </row>
    <row r="1452" spans="8:8">
      <c r="H1452"/>
    </row>
    <row r="1453" spans="8:8">
      <c r="H1453"/>
    </row>
    <row r="1454" spans="8:8">
      <c r="H1454"/>
    </row>
    <row r="1455" spans="8:8">
      <c r="H1455"/>
    </row>
    <row r="1456" spans="8:8">
      <c r="H1456"/>
    </row>
    <row r="1457" spans="8:8">
      <c r="H1457"/>
    </row>
    <row r="1458" spans="8:8">
      <c r="H1458"/>
    </row>
    <row r="1459" spans="8:8">
      <c r="H1459"/>
    </row>
    <row r="1460" spans="8:8">
      <c r="H1460"/>
    </row>
    <row r="1461" spans="8:8">
      <c r="H1461"/>
    </row>
    <row r="1462" spans="8:8">
      <c r="H1462"/>
    </row>
    <row r="1463" spans="8:8">
      <c r="H1463"/>
    </row>
    <row r="1464" spans="8:8">
      <c r="H1464"/>
    </row>
    <row r="1465" spans="8:8">
      <c r="H1465"/>
    </row>
    <row r="1466" spans="8:8">
      <c r="H1466"/>
    </row>
    <row r="1467" spans="8:8">
      <c r="H1467"/>
    </row>
    <row r="1468" spans="8:8">
      <c r="H1468"/>
    </row>
    <row r="1469" spans="8:8">
      <c r="H1469"/>
    </row>
    <row r="1470" spans="8:8">
      <c r="H1470"/>
    </row>
    <row r="1471" spans="8:8">
      <c r="H1471"/>
    </row>
    <row r="1472" spans="8:8">
      <c r="H1472"/>
    </row>
    <row r="1473" spans="8:8">
      <c r="H1473"/>
    </row>
    <row r="1474" spans="8:8">
      <c r="H1474"/>
    </row>
    <row r="1475" spans="8:8">
      <c r="H1475"/>
    </row>
    <row r="1476" spans="8:8">
      <c r="H1476"/>
    </row>
    <row r="1477" spans="8:8">
      <c r="H1477"/>
    </row>
    <row r="1478" spans="8:8">
      <c r="H1478"/>
    </row>
    <row r="1479" spans="8:8">
      <c r="H1479"/>
    </row>
    <row r="1480" spans="8:8">
      <c r="H1480"/>
    </row>
    <row r="1481" spans="8:8">
      <c r="H1481"/>
    </row>
    <row r="1482" spans="8:8">
      <c r="H1482"/>
    </row>
    <row r="1483" spans="8:8">
      <c r="H1483"/>
    </row>
    <row r="1484" spans="8:8">
      <c r="H1484"/>
    </row>
    <row r="1485" spans="8:8">
      <c r="H1485"/>
    </row>
    <row r="1486" spans="8:8">
      <c r="H1486"/>
    </row>
    <row r="1487" spans="8:8">
      <c r="H1487"/>
    </row>
    <row r="1488" spans="8:8">
      <c r="H1488"/>
    </row>
    <row r="1489" spans="8:8">
      <c r="H1489"/>
    </row>
    <row r="1490" spans="8:8">
      <c r="H1490"/>
    </row>
    <row r="1491" spans="8:8">
      <c r="H1491"/>
    </row>
    <row r="1492" spans="8:8">
      <c r="H1492"/>
    </row>
    <row r="1493" spans="8:8">
      <c r="H1493"/>
    </row>
    <row r="1494" spans="8:8">
      <c r="H1494"/>
    </row>
    <row r="1495" spans="8:8">
      <c r="H1495"/>
    </row>
    <row r="1496" spans="8:8">
      <c r="H1496"/>
    </row>
    <row r="1497" spans="8:8">
      <c r="H1497"/>
    </row>
    <row r="1498" spans="8:8">
      <c r="H1498"/>
    </row>
    <row r="1499" spans="8:8">
      <c r="H1499"/>
    </row>
    <row r="1500" spans="8:8">
      <c r="H1500"/>
    </row>
    <row r="1501" spans="8:8">
      <c r="H1501"/>
    </row>
    <row r="1502" spans="8:8">
      <c r="H1502"/>
    </row>
    <row r="1503" spans="8:8">
      <c r="H1503"/>
    </row>
    <row r="1504" spans="8:8">
      <c r="H1504"/>
    </row>
    <row r="1505" spans="8:8">
      <c r="H1505"/>
    </row>
    <row r="1506" spans="8:8">
      <c r="H1506"/>
    </row>
    <row r="1507" spans="8:8">
      <c r="H1507"/>
    </row>
    <row r="1508" spans="8:8">
      <c r="H1508"/>
    </row>
    <row r="1509" spans="8:8">
      <c r="H1509"/>
    </row>
    <row r="1510" spans="8:8">
      <c r="H1510"/>
    </row>
    <row r="1511" spans="8:8">
      <c r="H1511"/>
    </row>
    <row r="1512" spans="8:8">
      <c r="H1512"/>
    </row>
    <row r="1513" spans="8:8">
      <c r="H1513"/>
    </row>
    <row r="1514" spans="8:8">
      <c r="H1514"/>
    </row>
    <row r="1515" spans="8:8">
      <c r="H1515"/>
    </row>
    <row r="1516" spans="8:8">
      <c r="H1516"/>
    </row>
    <row r="1517" spans="8:8">
      <c r="H1517"/>
    </row>
    <row r="1518" spans="8:8">
      <c r="H1518"/>
    </row>
    <row r="1519" spans="8:8">
      <c r="H1519"/>
    </row>
    <row r="1520" spans="8:8">
      <c r="H1520"/>
    </row>
    <row r="1521" spans="8:8">
      <c r="H1521"/>
    </row>
    <row r="1522" spans="8:8">
      <c r="H1522"/>
    </row>
    <row r="1523" spans="8:8">
      <c r="H1523"/>
    </row>
    <row r="1524" spans="8:8">
      <c r="H1524"/>
    </row>
    <row r="1525" spans="8:8">
      <c r="H1525"/>
    </row>
    <row r="1526" spans="8:8">
      <c r="H1526"/>
    </row>
    <row r="1527" spans="8:8">
      <c r="H1527"/>
    </row>
    <row r="1528" spans="8:8">
      <c r="H1528"/>
    </row>
    <row r="1529" spans="8:8">
      <c r="H1529"/>
    </row>
    <row r="1530" spans="8:8">
      <c r="H1530"/>
    </row>
    <row r="1531" spans="8:8">
      <c r="H1531"/>
    </row>
    <row r="1532" spans="8:8">
      <c r="H1532"/>
    </row>
    <row r="1533" spans="8:8">
      <c r="H1533"/>
    </row>
    <row r="1534" spans="8:8">
      <c r="H1534"/>
    </row>
    <row r="1535" spans="8:8">
      <c r="H1535"/>
    </row>
    <row r="1536" spans="8:8">
      <c r="H1536"/>
    </row>
    <row r="1537" spans="8:8">
      <c r="H1537"/>
    </row>
    <row r="1538" spans="8:8">
      <c r="H1538"/>
    </row>
    <row r="1539" spans="8:8">
      <c r="H1539"/>
    </row>
    <row r="1540" spans="8:8">
      <c r="H1540"/>
    </row>
    <row r="1541" spans="8:8">
      <c r="H1541"/>
    </row>
    <row r="1542" spans="8:8">
      <c r="H1542"/>
    </row>
    <row r="1543" spans="8:8">
      <c r="H1543"/>
    </row>
    <row r="1544" spans="8:8">
      <c r="H1544"/>
    </row>
    <row r="1545" spans="8:8">
      <c r="H1545"/>
    </row>
    <row r="1546" spans="8:8">
      <c r="H1546"/>
    </row>
    <row r="1547" spans="8:8">
      <c r="H1547"/>
    </row>
    <row r="1548" spans="8:8">
      <c r="H1548"/>
    </row>
    <row r="1549" spans="8:8">
      <c r="H1549"/>
    </row>
    <row r="1550" spans="8:8">
      <c r="H1550"/>
    </row>
    <row r="1551" spans="8:8">
      <c r="H1551"/>
    </row>
    <row r="1552" spans="8:8">
      <c r="H1552"/>
    </row>
    <row r="1553" spans="8:8">
      <c r="H1553"/>
    </row>
    <row r="1554" spans="8:8">
      <c r="H1554"/>
    </row>
    <row r="1555" spans="8:8">
      <c r="H1555"/>
    </row>
    <row r="1556" spans="8:8">
      <c r="H1556"/>
    </row>
    <row r="1557" spans="8:8">
      <c r="H1557"/>
    </row>
    <row r="1558" spans="8:8">
      <c r="H1558"/>
    </row>
    <row r="1559" spans="8:8">
      <c r="H1559"/>
    </row>
    <row r="1560" spans="8:8">
      <c r="H1560"/>
    </row>
    <row r="1561" spans="8:8">
      <c r="H1561"/>
    </row>
    <row r="1562" spans="8:8">
      <c r="H1562"/>
    </row>
    <row r="1563" spans="8:8">
      <c r="H1563"/>
    </row>
    <row r="1564" spans="8:8">
      <c r="H1564"/>
    </row>
    <row r="1565" spans="8:8">
      <c r="H1565"/>
    </row>
    <row r="1566" spans="8:8">
      <c r="H1566"/>
    </row>
    <row r="1567" spans="8:8">
      <c r="H1567"/>
    </row>
    <row r="1568" spans="8:8">
      <c r="H1568"/>
    </row>
    <row r="1569" spans="8:8">
      <c r="H1569"/>
    </row>
    <row r="1570" spans="8:8">
      <c r="H1570"/>
    </row>
    <row r="1571" spans="8:8">
      <c r="H1571"/>
    </row>
    <row r="1572" spans="8:8">
      <c r="H1572"/>
    </row>
    <row r="1573" spans="8:8">
      <c r="H1573"/>
    </row>
    <row r="1574" spans="8:8">
      <c r="H1574"/>
    </row>
    <row r="1575" spans="8:8">
      <c r="H1575"/>
    </row>
    <row r="1576" spans="8:8">
      <c r="H1576"/>
    </row>
    <row r="1577" spans="8:8">
      <c r="H1577"/>
    </row>
    <row r="1578" spans="8:8">
      <c r="H1578"/>
    </row>
    <row r="1579" spans="8:8">
      <c r="H1579"/>
    </row>
    <row r="1580" spans="8:8">
      <c r="H1580"/>
    </row>
    <row r="1581" spans="8:8">
      <c r="H1581"/>
    </row>
    <row r="1582" spans="8:8">
      <c r="H1582"/>
    </row>
    <row r="1583" spans="8:8">
      <c r="H1583"/>
    </row>
    <row r="1584" spans="8:8">
      <c r="H1584"/>
    </row>
    <row r="1585" spans="8:8">
      <c r="H1585"/>
    </row>
    <row r="1586" spans="8:8">
      <c r="H1586"/>
    </row>
    <row r="1587" spans="8:8">
      <c r="H1587"/>
    </row>
    <row r="1588" spans="8:8">
      <c r="H1588"/>
    </row>
    <row r="1589" spans="8:8">
      <c r="H1589"/>
    </row>
    <row r="1590" spans="8:8">
      <c r="H1590"/>
    </row>
    <row r="1591" spans="8:8">
      <c r="H1591"/>
    </row>
    <row r="1592" spans="8:8">
      <c r="H1592"/>
    </row>
    <row r="1593" spans="8:8">
      <c r="H1593"/>
    </row>
    <row r="1594" spans="8:8">
      <c r="H1594"/>
    </row>
    <row r="1595" spans="8:8">
      <c r="H1595"/>
    </row>
    <row r="1596" spans="8:8">
      <c r="H1596"/>
    </row>
    <row r="1597" spans="8:8">
      <c r="H1597"/>
    </row>
    <row r="1598" spans="8:8">
      <c r="H1598"/>
    </row>
    <row r="1599" spans="8:8">
      <c r="H1599"/>
    </row>
    <row r="1600" spans="8:8">
      <c r="H1600"/>
    </row>
    <row r="1601" spans="8:8">
      <c r="H1601"/>
    </row>
    <row r="1602" spans="8:8">
      <c r="H1602"/>
    </row>
    <row r="1603" spans="8:8">
      <c r="H1603"/>
    </row>
    <row r="1604" spans="8:8">
      <c r="H1604"/>
    </row>
    <row r="1605" spans="8:8">
      <c r="H1605"/>
    </row>
    <row r="1606" spans="8:8">
      <c r="H1606"/>
    </row>
    <row r="1607" spans="8:8">
      <c r="H1607"/>
    </row>
    <row r="1608" spans="8:8">
      <c r="H1608"/>
    </row>
    <row r="1609" spans="8:8">
      <c r="H1609"/>
    </row>
    <row r="1610" spans="8:8">
      <c r="H1610"/>
    </row>
    <row r="1611" spans="8:8">
      <c r="H1611"/>
    </row>
    <row r="1612" spans="8:8">
      <c r="H1612"/>
    </row>
    <row r="1613" spans="8:8">
      <c r="H1613"/>
    </row>
    <row r="1614" spans="8:8">
      <c r="H1614"/>
    </row>
    <row r="1615" spans="8:8">
      <c r="H1615"/>
    </row>
    <row r="1616" spans="8:8">
      <c r="H1616"/>
    </row>
    <row r="1617" spans="8:8">
      <c r="H1617"/>
    </row>
    <row r="1618" spans="8:8">
      <c r="H1618"/>
    </row>
    <row r="1619" spans="8:8">
      <c r="H1619"/>
    </row>
    <row r="1620" spans="8:8">
      <c r="H1620"/>
    </row>
    <row r="1621" spans="8:8">
      <c r="H1621"/>
    </row>
    <row r="1622" spans="8:8">
      <c r="H1622"/>
    </row>
    <row r="1623" spans="8:8">
      <c r="H1623"/>
    </row>
    <row r="1624" spans="8:8">
      <c r="H1624"/>
    </row>
    <row r="1625" spans="8:8">
      <c r="H1625"/>
    </row>
    <row r="1626" spans="8:8">
      <c r="H1626"/>
    </row>
    <row r="1627" spans="8:8">
      <c r="H1627"/>
    </row>
    <row r="1628" spans="8:8">
      <c r="H1628"/>
    </row>
    <row r="1629" spans="8:8">
      <c r="H1629"/>
    </row>
    <row r="1630" spans="8:8">
      <c r="H1630"/>
    </row>
    <row r="1631" spans="8:8">
      <c r="H1631"/>
    </row>
    <row r="1632" spans="8:8">
      <c r="H1632"/>
    </row>
    <row r="1633" spans="8:8">
      <c r="H1633"/>
    </row>
    <row r="1634" spans="8:8">
      <c r="H1634"/>
    </row>
    <row r="1635" spans="8:8">
      <c r="H1635"/>
    </row>
    <row r="1636" spans="8:8">
      <c r="H1636"/>
    </row>
    <row r="1637" spans="8:8">
      <c r="H1637"/>
    </row>
    <row r="1638" spans="8:8">
      <c r="H1638"/>
    </row>
    <row r="1639" spans="8:8">
      <c r="H1639"/>
    </row>
    <row r="1640" spans="8:8">
      <c r="H1640"/>
    </row>
    <row r="1641" spans="8:8">
      <c r="H1641"/>
    </row>
    <row r="1642" spans="8:8">
      <c r="H1642"/>
    </row>
    <row r="1643" spans="8:8">
      <c r="H1643"/>
    </row>
    <row r="1644" spans="8:8">
      <c r="H1644"/>
    </row>
    <row r="1645" spans="8:8">
      <c r="H1645"/>
    </row>
    <row r="1646" spans="8:8">
      <c r="H1646"/>
    </row>
    <row r="1647" spans="8:8">
      <c r="H1647"/>
    </row>
    <row r="1648" spans="8:8">
      <c r="H1648"/>
    </row>
    <row r="1649" spans="8:8">
      <c r="H1649"/>
    </row>
    <row r="1650" spans="8:8">
      <c r="H1650"/>
    </row>
    <row r="1651" spans="8:8">
      <c r="H1651"/>
    </row>
    <row r="1652" spans="8:8">
      <c r="H1652"/>
    </row>
    <row r="1653" spans="8:8">
      <c r="H1653"/>
    </row>
    <row r="1654" spans="8:8">
      <c r="H1654"/>
    </row>
    <row r="1655" spans="8:8">
      <c r="H1655"/>
    </row>
    <row r="1656" spans="8:8">
      <c r="H1656"/>
    </row>
    <row r="1657" spans="8:8">
      <c r="H1657"/>
    </row>
    <row r="1658" spans="8:8">
      <c r="H1658"/>
    </row>
    <row r="1659" spans="8:8">
      <c r="H1659"/>
    </row>
    <row r="1660" spans="8:8">
      <c r="H1660"/>
    </row>
    <row r="1661" spans="8:8">
      <c r="H1661"/>
    </row>
    <row r="1662" spans="8:8">
      <c r="H1662"/>
    </row>
    <row r="1663" spans="8:8">
      <c r="H1663"/>
    </row>
    <row r="1664" spans="8:8">
      <c r="H1664"/>
    </row>
    <row r="1665" spans="8:8">
      <c r="H1665"/>
    </row>
    <row r="1666" spans="8:8">
      <c r="H1666"/>
    </row>
    <row r="1667" spans="8:8">
      <c r="H1667"/>
    </row>
    <row r="1668" spans="8:8">
      <c r="H1668"/>
    </row>
    <row r="1669" spans="8:8">
      <c r="H1669"/>
    </row>
    <row r="1670" spans="8:8">
      <c r="H1670"/>
    </row>
    <row r="1671" spans="8:8">
      <c r="H1671"/>
    </row>
    <row r="1672" spans="8:8">
      <c r="H1672"/>
    </row>
    <row r="1673" spans="8:8">
      <c r="H1673"/>
    </row>
    <row r="1674" spans="8:8">
      <c r="H1674"/>
    </row>
    <row r="1675" spans="8:8">
      <c r="H1675"/>
    </row>
    <row r="1676" spans="8:8">
      <c r="H1676"/>
    </row>
    <row r="1677" spans="8:8">
      <c r="H1677"/>
    </row>
    <row r="1678" spans="8:8">
      <c r="H1678"/>
    </row>
    <row r="1679" spans="8:8">
      <c r="H1679"/>
    </row>
    <row r="1680" spans="8:8">
      <c r="H1680"/>
    </row>
    <row r="1681" spans="8:8">
      <c r="H1681"/>
    </row>
    <row r="1682" spans="8:8">
      <c r="H1682"/>
    </row>
    <row r="1683" spans="8:8">
      <c r="H1683"/>
    </row>
    <row r="1684" spans="8:8">
      <c r="H1684"/>
    </row>
    <row r="1685" spans="8:8">
      <c r="H1685"/>
    </row>
    <row r="1686" spans="8:8">
      <c r="H1686"/>
    </row>
    <row r="1687" spans="8:8">
      <c r="H1687"/>
    </row>
    <row r="1688" spans="8:8">
      <c r="H1688"/>
    </row>
    <row r="1689" spans="8:8">
      <c r="H1689"/>
    </row>
    <row r="1690" spans="8:8">
      <c r="H1690"/>
    </row>
    <row r="1691" spans="8:8">
      <c r="H1691"/>
    </row>
    <row r="1692" spans="8:8">
      <c r="H1692"/>
    </row>
    <row r="1693" spans="8:8">
      <c r="H1693"/>
    </row>
    <row r="1694" spans="8:8">
      <c r="H1694"/>
    </row>
    <row r="1695" spans="8:8">
      <c r="H1695"/>
    </row>
    <row r="1696" spans="8:8">
      <c r="H1696"/>
    </row>
    <row r="1697" spans="8:8">
      <c r="H1697"/>
    </row>
    <row r="1698" spans="8:8">
      <c r="H1698"/>
    </row>
    <row r="1699" spans="8:8">
      <c r="H1699"/>
    </row>
    <row r="1700" spans="8:8">
      <c r="H1700"/>
    </row>
    <row r="1701" spans="8:8">
      <c r="H1701"/>
    </row>
    <row r="1702" spans="8:8">
      <c r="H1702"/>
    </row>
    <row r="1703" spans="8:8">
      <c r="H1703"/>
    </row>
    <row r="1704" spans="8:8">
      <c r="H1704"/>
    </row>
    <row r="1705" spans="8:8">
      <c r="H1705"/>
    </row>
    <row r="1706" spans="8:8">
      <c r="H1706"/>
    </row>
    <row r="1707" spans="8:8">
      <c r="H1707"/>
    </row>
    <row r="1708" spans="8:8">
      <c r="H1708"/>
    </row>
    <row r="1709" spans="8:8">
      <c r="H1709"/>
    </row>
    <row r="1710" spans="8:8">
      <c r="H1710"/>
    </row>
    <row r="1711" spans="8:8">
      <c r="H1711"/>
    </row>
    <row r="1712" spans="8:8">
      <c r="H1712"/>
    </row>
    <row r="1713" spans="8:8">
      <c r="H1713"/>
    </row>
    <row r="1714" spans="8:8">
      <c r="H1714"/>
    </row>
    <row r="1715" spans="8:8">
      <c r="H1715"/>
    </row>
    <row r="1716" spans="8:8">
      <c r="H1716"/>
    </row>
    <row r="1717" spans="8:8">
      <c r="H1717"/>
    </row>
    <row r="1718" spans="8:8">
      <c r="H1718"/>
    </row>
    <row r="1719" spans="8:8">
      <c r="H1719"/>
    </row>
    <row r="1720" spans="8:8">
      <c r="H1720"/>
    </row>
    <row r="1721" spans="8:8">
      <c r="H1721"/>
    </row>
    <row r="1722" spans="8:8">
      <c r="H1722"/>
    </row>
    <row r="1723" spans="8:8">
      <c r="H1723"/>
    </row>
    <row r="1724" spans="8:8">
      <c r="H1724"/>
    </row>
    <row r="1725" spans="8:8">
      <c r="H1725"/>
    </row>
    <row r="1726" spans="8:8">
      <c r="H1726"/>
    </row>
    <row r="1727" spans="8:8">
      <c r="H1727"/>
    </row>
    <row r="1728" spans="8:8">
      <c r="H1728"/>
    </row>
    <row r="1729" spans="8:8">
      <c r="H1729"/>
    </row>
    <row r="1730" spans="8:8">
      <c r="H1730"/>
    </row>
    <row r="1731" spans="8:8">
      <c r="H1731"/>
    </row>
    <row r="1732" spans="8:8">
      <c r="H1732"/>
    </row>
    <row r="1733" spans="8:8">
      <c r="H1733"/>
    </row>
    <row r="1734" spans="8:8">
      <c r="H1734"/>
    </row>
    <row r="1735" spans="8:8">
      <c r="H1735"/>
    </row>
    <row r="1736" spans="8:8">
      <c r="H1736"/>
    </row>
    <row r="1737" spans="8:8">
      <c r="H1737"/>
    </row>
    <row r="1738" spans="8:8">
      <c r="H1738"/>
    </row>
    <row r="1739" spans="8:8">
      <c r="H1739"/>
    </row>
    <row r="1740" spans="8:8">
      <c r="H1740"/>
    </row>
    <row r="1741" spans="8:8">
      <c r="H1741"/>
    </row>
    <row r="1742" spans="8:8">
      <c r="H1742"/>
    </row>
    <row r="1743" spans="8:8">
      <c r="H1743"/>
    </row>
    <row r="1744" spans="8:8">
      <c r="H1744"/>
    </row>
    <row r="1745" spans="8:8">
      <c r="H1745"/>
    </row>
    <row r="1746" spans="8:8">
      <c r="H1746"/>
    </row>
    <row r="1747" spans="8:8">
      <c r="H1747"/>
    </row>
    <row r="1748" spans="8:8">
      <c r="H1748"/>
    </row>
    <row r="1749" spans="8:8">
      <c r="H1749"/>
    </row>
    <row r="1750" spans="8:8">
      <c r="H1750"/>
    </row>
    <row r="1751" spans="8:8">
      <c r="H1751"/>
    </row>
    <row r="1752" spans="8:8">
      <c r="H1752"/>
    </row>
    <row r="1753" spans="8:8">
      <c r="H1753"/>
    </row>
    <row r="1754" spans="8:8">
      <c r="H1754"/>
    </row>
    <row r="1755" spans="8:8">
      <c r="H1755"/>
    </row>
    <row r="1756" spans="8:8">
      <c r="H1756"/>
    </row>
    <row r="1757" spans="8:8">
      <c r="H1757"/>
    </row>
    <row r="1758" spans="8:8">
      <c r="H1758"/>
    </row>
    <row r="1759" spans="8:8">
      <c r="H1759"/>
    </row>
    <row r="1760" spans="8:8">
      <c r="H1760"/>
    </row>
    <row r="1761" spans="8:8">
      <c r="H1761"/>
    </row>
    <row r="1762" spans="8:8">
      <c r="H1762"/>
    </row>
    <row r="1763" spans="8:8">
      <c r="H1763"/>
    </row>
    <row r="1764" spans="8:8">
      <c r="H1764"/>
    </row>
    <row r="1765" spans="8:8">
      <c r="H1765"/>
    </row>
    <row r="1766" spans="8:8">
      <c r="H1766"/>
    </row>
    <row r="1767" spans="8:8">
      <c r="H1767"/>
    </row>
    <row r="1768" spans="8:8">
      <c r="H1768"/>
    </row>
    <row r="1769" spans="8:8">
      <c r="H1769"/>
    </row>
    <row r="1770" spans="8:8">
      <c r="H1770"/>
    </row>
    <row r="1771" spans="8:8">
      <c r="H1771"/>
    </row>
    <row r="1772" spans="8:8">
      <c r="H1772"/>
    </row>
    <row r="1773" spans="8:8">
      <c r="H1773"/>
    </row>
    <row r="1774" spans="8:8">
      <c r="H1774"/>
    </row>
    <row r="1775" spans="8:8">
      <c r="H1775"/>
    </row>
    <row r="1776" spans="8:8">
      <c r="H1776"/>
    </row>
    <row r="1777" spans="8:8">
      <c r="H1777"/>
    </row>
    <row r="1778" spans="8:8">
      <c r="H1778"/>
    </row>
    <row r="1779" spans="8:8">
      <c r="H1779"/>
    </row>
    <row r="1780" spans="8:8">
      <c r="H1780"/>
    </row>
    <row r="1781" spans="8:8">
      <c r="H1781"/>
    </row>
    <row r="1782" spans="8:8">
      <c r="H1782"/>
    </row>
    <row r="1783" spans="8:8">
      <c r="H1783"/>
    </row>
    <row r="1784" spans="8:8">
      <c r="H1784"/>
    </row>
    <row r="1785" spans="8:8">
      <c r="H1785"/>
    </row>
    <row r="1786" spans="8:8">
      <c r="H1786"/>
    </row>
    <row r="1787" spans="8:8">
      <c r="H1787"/>
    </row>
    <row r="1788" spans="8:8">
      <c r="H1788"/>
    </row>
    <row r="1789" spans="8:8">
      <c r="H1789"/>
    </row>
    <row r="1790" spans="8:8">
      <c r="H1790"/>
    </row>
    <row r="1791" spans="8:8">
      <c r="H1791"/>
    </row>
    <row r="1792" spans="8:8">
      <c r="H1792"/>
    </row>
    <row r="1793" spans="8:8">
      <c r="H1793"/>
    </row>
    <row r="1794" spans="8:8">
      <c r="H1794"/>
    </row>
    <row r="1795" spans="8:8">
      <c r="H1795"/>
    </row>
    <row r="1796" spans="8:8">
      <c r="H1796"/>
    </row>
    <row r="1797" spans="8:8">
      <c r="H1797"/>
    </row>
    <row r="1798" spans="8:8">
      <c r="H1798"/>
    </row>
    <row r="1799" spans="8:8">
      <c r="H1799"/>
    </row>
    <row r="1800" spans="8:8">
      <c r="H1800"/>
    </row>
    <row r="1801" spans="8:8">
      <c r="H1801"/>
    </row>
    <row r="1802" spans="8:8">
      <c r="H1802"/>
    </row>
    <row r="1803" spans="8:8">
      <c r="H1803"/>
    </row>
    <row r="1804" spans="8:8">
      <c r="H1804"/>
    </row>
    <row r="1805" spans="8:8">
      <c r="H1805"/>
    </row>
    <row r="1806" spans="8:8">
      <c r="H1806"/>
    </row>
    <row r="1807" spans="8:8">
      <c r="H1807"/>
    </row>
    <row r="1808" spans="8:8">
      <c r="H1808"/>
    </row>
    <row r="1809" spans="8:8">
      <c r="H1809"/>
    </row>
    <row r="1810" spans="8:8">
      <c r="H1810"/>
    </row>
    <row r="1811" spans="8:8">
      <c r="H1811"/>
    </row>
    <row r="1812" spans="8:8">
      <c r="H1812"/>
    </row>
    <row r="1813" spans="8:8">
      <c r="H1813"/>
    </row>
    <row r="1814" spans="8:8">
      <c r="H1814"/>
    </row>
    <row r="1815" spans="8:8">
      <c r="H1815"/>
    </row>
    <row r="1816" spans="8:8">
      <c r="H1816"/>
    </row>
    <row r="1817" spans="8:8">
      <c r="H1817"/>
    </row>
    <row r="1818" spans="8:8">
      <c r="H1818"/>
    </row>
    <row r="1819" spans="8:8">
      <c r="H1819"/>
    </row>
    <row r="1820" spans="8:8">
      <c r="H1820"/>
    </row>
    <row r="1821" spans="8:8">
      <c r="H1821"/>
    </row>
    <row r="1822" spans="8:8">
      <c r="H1822"/>
    </row>
    <row r="1823" spans="8:8">
      <c r="H1823"/>
    </row>
    <row r="1824" spans="8:8">
      <c r="H1824"/>
    </row>
    <row r="1825" spans="8:8">
      <c r="H1825"/>
    </row>
    <row r="1826" spans="8:8">
      <c r="H1826"/>
    </row>
    <row r="1827" spans="8:8">
      <c r="H1827"/>
    </row>
    <row r="1828" spans="8:8">
      <c r="H1828"/>
    </row>
    <row r="1829" spans="8:8">
      <c r="H1829"/>
    </row>
    <row r="1830" spans="8:8">
      <c r="H1830"/>
    </row>
    <row r="1831" spans="8:8">
      <c r="H1831"/>
    </row>
    <row r="1832" spans="8:8">
      <c r="H1832"/>
    </row>
    <row r="1833" spans="8:8">
      <c r="H1833"/>
    </row>
    <row r="1834" spans="8:8">
      <c r="H1834"/>
    </row>
    <row r="1835" spans="8:8">
      <c r="H1835"/>
    </row>
    <row r="1836" spans="8:8">
      <c r="H1836"/>
    </row>
    <row r="1837" spans="8:8">
      <c r="H1837"/>
    </row>
    <row r="1838" spans="8:8">
      <c r="H1838"/>
    </row>
    <row r="1839" spans="8:8">
      <c r="H1839"/>
    </row>
    <row r="1840" spans="8:8">
      <c r="H1840"/>
    </row>
    <row r="1841" spans="8:8">
      <c r="H1841"/>
    </row>
    <row r="1842" spans="8:8">
      <c r="H1842"/>
    </row>
    <row r="1843" spans="8:8">
      <c r="H1843"/>
    </row>
    <row r="1844" spans="8:8">
      <c r="H1844"/>
    </row>
    <row r="1845" spans="8:8">
      <c r="H1845"/>
    </row>
    <row r="1846" spans="8:8">
      <c r="H1846"/>
    </row>
    <row r="1847" spans="8:8">
      <c r="H1847"/>
    </row>
    <row r="1848" spans="8:8">
      <c r="H1848"/>
    </row>
    <row r="1849" spans="8:8">
      <c r="H1849"/>
    </row>
    <row r="1850" spans="8:8">
      <c r="H1850"/>
    </row>
    <row r="1851" spans="8:8">
      <c r="H1851"/>
    </row>
    <row r="1852" spans="8:8">
      <c r="H1852"/>
    </row>
    <row r="1853" spans="8:8">
      <c r="H1853"/>
    </row>
    <row r="1854" spans="8:8">
      <c r="H1854"/>
    </row>
    <row r="1855" spans="8:8">
      <c r="H1855"/>
    </row>
    <row r="1856" spans="8:8">
      <c r="H1856"/>
    </row>
    <row r="1857" spans="8:8">
      <c r="H1857"/>
    </row>
    <row r="1858" spans="8:8">
      <c r="H1858"/>
    </row>
    <row r="1859" spans="8:8">
      <c r="H1859"/>
    </row>
    <row r="1860" spans="8:8">
      <c r="H1860"/>
    </row>
    <row r="1861" spans="8:8">
      <c r="H1861"/>
    </row>
    <row r="1862" spans="8:8">
      <c r="H1862"/>
    </row>
    <row r="1863" spans="8:8">
      <c r="H1863"/>
    </row>
    <row r="1864" spans="8:8">
      <c r="H1864"/>
    </row>
    <row r="1865" spans="8:8">
      <c r="H1865"/>
    </row>
    <row r="1866" spans="8:8">
      <c r="H1866"/>
    </row>
    <row r="1867" spans="8:8">
      <c r="H1867"/>
    </row>
    <row r="1868" spans="8:8">
      <c r="H1868"/>
    </row>
    <row r="1869" spans="8:8">
      <c r="H1869"/>
    </row>
    <row r="1870" spans="8:8">
      <c r="H1870"/>
    </row>
    <row r="1871" spans="8:8">
      <c r="H1871"/>
    </row>
    <row r="1872" spans="8:8">
      <c r="H1872"/>
    </row>
    <row r="1873" spans="8:8">
      <c r="H1873"/>
    </row>
    <row r="1874" spans="8:8">
      <c r="H1874"/>
    </row>
    <row r="1875" spans="8:8">
      <c r="H1875"/>
    </row>
    <row r="1876" spans="8:8">
      <c r="H1876"/>
    </row>
    <row r="1877" spans="8:8">
      <c r="H1877"/>
    </row>
    <row r="1878" spans="8:8">
      <c r="H1878"/>
    </row>
    <row r="1879" spans="8:8">
      <c r="H1879"/>
    </row>
    <row r="1880" spans="8:8">
      <c r="H1880"/>
    </row>
    <row r="1881" spans="8:8">
      <c r="H1881"/>
    </row>
    <row r="1882" spans="8:8">
      <c r="H1882"/>
    </row>
    <row r="1883" spans="8:8">
      <c r="H1883"/>
    </row>
    <row r="1884" spans="8:8">
      <c r="H1884"/>
    </row>
    <row r="1885" spans="8:8">
      <c r="H1885"/>
    </row>
    <row r="1886" spans="8:8">
      <c r="H1886"/>
    </row>
    <row r="1887" spans="8:8">
      <c r="H1887"/>
    </row>
    <row r="1888" spans="8:8">
      <c r="H1888"/>
    </row>
    <row r="1889" spans="8:8">
      <c r="H1889"/>
    </row>
    <row r="1890" spans="8:8">
      <c r="H1890"/>
    </row>
    <row r="1891" spans="8:8">
      <c r="H1891"/>
    </row>
    <row r="1892" spans="8:8">
      <c r="H1892"/>
    </row>
    <row r="1893" spans="8:8">
      <c r="H1893"/>
    </row>
    <row r="1894" spans="8:8">
      <c r="H1894"/>
    </row>
    <row r="1895" spans="8:8">
      <c r="H1895"/>
    </row>
    <row r="1896" spans="8:8">
      <c r="H1896"/>
    </row>
    <row r="1897" spans="8:8">
      <c r="H1897"/>
    </row>
    <row r="1898" spans="8:8">
      <c r="H1898"/>
    </row>
    <row r="1899" spans="8:8">
      <c r="H1899"/>
    </row>
    <row r="1900" spans="8:8">
      <c r="H1900"/>
    </row>
    <row r="1901" spans="8:8">
      <c r="H1901"/>
    </row>
    <row r="1902" spans="8:8">
      <c r="H1902"/>
    </row>
    <row r="1903" spans="8:8">
      <c r="H1903"/>
    </row>
    <row r="1904" spans="8:8">
      <c r="H1904"/>
    </row>
    <row r="1905" spans="8:8">
      <c r="H1905"/>
    </row>
    <row r="1906" spans="8:8">
      <c r="H1906"/>
    </row>
    <row r="1907" spans="8:8">
      <c r="H1907"/>
    </row>
    <row r="1908" spans="8:8">
      <c r="H1908"/>
    </row>
    <row r="1909" spans="8:8">
      <c r="H1909"/>
    </row>
    <row r="1910" spans="8:8">
      <c r="H1910"/>
    </row>
    <row r="1911" spans="8:8">
      <c r="H1911"/>
    </row>
    <row r="1912" spans="8:8">
      <c r="H1912"/>
    </row>
    <row r="1913" spans="8:8">
      <c r="H1913"/>
    </row>
    <row r="1914" spans="8:8">
      <c r="H1914"/>
    </row>
    <row r="1915" spans="8:8">
      <c r="H1915"/>
    </row>
    <row r="1916" spans="8:8">
      <c r="H1916"/>
    </row>
    <row r="1917" spans="8:8">
      <c r="H1917"/>
    </row>
    <row r="1918" spans="8:8">
      <c r="H1918"/>
    </row>
    <row r="1919" spans="8:8">
      <c r="H1919"/>
    </row>
    <row r="1920" spans="8:8">
      <c r="H1920"/>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autoPageBreaks="0"/>
  </sheetPr>
  <dimension ref="A2:K1920"/>
  <sheetViews>
    <sheetView workbookViewId="0">
      <selection activeCell="G2" sqref="G2:H2"/>
    </sheetView>
  </sheetViews>
  <sheetFormatPr defaultColWidth="8.7265625" defaultRowHeight="14.5"/>
  <cols>
    <col min="1" max="1" width="18.81640625" style="33" bestFit="1" customWidth="1"/>
    <col min="2" max="3" width="8.7265625" style="33"/>
    <col min="4" max="4" width="8.7265625" style="33" customWidth="1"/>
    <col min="5" max="16384" width="8.7265625" style="33"/>
  </cols>
  <sheetData>
    <row r="2" spans="1:8">
      <c r="B2" s="33" t="s">
        <v>158</v>
      </c>
      <c r="C2" s="33" t="s">
        <v>157</v>
      </c>
      <c r="D2" s="33" t="s">
        <v>156</v>
      </c>
      <c r="E2" s="33" t="s">
        <v>155</v>
      </c>
      <c r="F2" s="33" t="s">
        <v>607</v>
      </c>
    </row>
    <row r="3" spans="1:8">
      <c r="A3" s="33" t="s">
        <v>14</v>
      </c>
      <c r="B3" s="395">
        <f>VLOOKUP(B$2&amp;$A3,$J$44:$K$252,2,FALSE)</f>
        <v>62.78</v>
      </c>
      <c r="C3" s="395">
        <f t="shared" ref="C3:F18" si="0">VLOOKUP(C$2&amp;$A3,$J$44:$K$252,2,FALSE)</f>
        <v>61.47</v>
      </c>
      <c r="D3" s="395">
        <f t="shared" si="0"/>
        <v>60.96</v>
      </c>
      <c r="E3" s="395">
        <f t="shared" si="0"/>
        <v>60.59</v>
      </c>
      <c r="F3" s="395">
        <f t="shared" si="0"/>
        <v>58.29</v>
      </c>
    </row>
    <row r="4" spans="1:8">
      <c r="A4" s="33" t="s">
        <v>15</v>
      </c>
      <c r="B4" s="395">
        <f t="shared" ref="B4:F34" si="1">VLOOKUP(B$2&amp;$A4,$J$44:$K$252,2,FALSE)</f>
        <v>66.790000000000006</v>
      </c>
      <c r="C4" s="395">
        <f t="shared" si="0"/>
        <v>68.12</v>
      </c>
      <c r="D4" s="395">
        <f t="shared" si="0"/>
        <v>68.92</v>
      </c>
      <c r="E4" s="395">
        <f t="shared" si="0"/>
        <v>67.91</v>
      </c>
      <c r="F4" s="395">
        <f t="shared" si="0"/>
        <v>67.010000000000005</v>
      </c>
    </row>
    <row r="5" spans="1:8">
      <c r="A5" s="33" t="s">
        <v>16</v>
      </c>
      <c r="B5" s="395">
        <f t="shared" si="1"/>
        <v>64.290000000000006</v>
      </c>
      <c r="C5" s="395">
        <f t="shared" si="0"/>
        <v>62.92</v>
      </c>
      <c r="D5" s="395">
        <f t="shared" si="0"/>
        <v>61.15</v>
      </c>
      <c r="E5" s="395">
        <f t="shared" si="0"/>
        <v>60.98</v>
      </c>
      <c r="F5" s="395">
        <f t="shared" si="0"/>
        <v>62.21</v>
      </c>
    </row>
    <row r="6" spans="1:8">
      <c r="A6" s="33" t="s">
        <v>17</v>
      </c>
      <c r="B6" s="395">
        <f t="shared" si="1"/>
        <v>64.33</v>
      </c>
      <c r="C6" s="395">
        <f t="shared" si="0"/>
        <v>64.290000000000006</v>
      </c>
      <c r="D6" s="395">
        <f t="shared" si="0"/>
        <v>65.209999999999994</v>
      </c>
      <c r="E6" s="395">
        <f t="shared" si="0"/>
        <v>64.7</v>
      </c>
      <c r="F6" s="395">
        <f t="shared" si="0"/>
        <v>63.39</v>
      </c>
    </row>
    <row r="7" spans="1:8">
      <c r="A7" s="245" t="s">
        <v>586</v>
      </c>
      <c r="B7" s="395">
        <f t="shared" si="1"/>
        <v>65.13</v>
      </c>
      <c r="C7" s="395">
        <f t="shared" si="0"/>
        <v>65.03</v>
      </c>
      <c r="D7" s="395">
        <f t="shared" si="0"/>
        <v>65.400000000000006</v>
      </c>
      <c r="E7" s="395">
        <f t="shared" si="0"/>
        <v>66.290000000000006</v>
      </c>
      <c r="F7" s="395">
        <f t="shared" si="0"/>
        <v>64.2</v>
      </c>
    </row>
    <row r="8" spans="1:8">
      <c r="A8" s="33" t="s">
        <v>18</v>
      </c>
      <c r="B8" s="395">
        <f t="shared" si="1"/>
        <v>58.95</v>
      </c>
      <c r="C8" s="395">
        <f t="shared" si="0"/>
        <v>62.57</v>
      </c>
      <c r="D8" s="395">
        <f t="shared" si="0"/>
        <v>62.21</v>
      </c>
      <c r="E8" s="395">
        <f t="shared" si="0"/>
        <v>62.78</v>
      </c>
      <c r="F8" s="395">
        <f t="shared" si="0"/>
        <v>62.47</v>
      </c>
    </row>
    <row r="9" spans="1:8">
      <c r="A9" s="33" t="s">
        <v>19</v>
      </c>
      <c r="B9" s="395">
        <f t="shared" si="1"/>
        <v>64.53</v>
      </c>
      <c r="C9" s="395">
        <f t="shared" si="0"/>
        <v>64.44</v>
      </c>
      <c r="D9" s="395">
        <f t="shared" si="0"/>
        <v>64.17</v>
      </c>
      <c r="E9" s="395">
        <f t="shared" si="0"/>
        <v>62.39</v>
      </c>
      <c r="F9" s="395">
        <f t="shared" si="0"/>
        <v>63.11</v>
      </c>
    </row>
    <row r="10" spans="1:8">
      <c r="A10" s="33" t="s">
        <v>20</v>
      </c>
      <c r="B10" s="395">
        <f t="shared" si="1"/>
        <v>54.36</v>
      </c>
      <c r="C10" s="395">
        <f t="shared" si="0"/>
        <v>56.47</v>
      </c>
      <c r="D10" s="395">
        <f t="shared" si="0"/>
        <v>56.46</v>
      </c>
      <c r="E10" s="395">
        <f t="shared" si="0"/>
        <v>56.84</v>
      </c>
      <c r="F10" s="395">
        <f t="shared" si="0"/>
        <v>56.14</v>
      </c>
      <c r="H10"/>
    </row>
    <row r="11" spans="1:8">
      <c r="A11" s="33" t="s">
        <v>21</v>
      </c>
      <c r="B11" s="395">
        <f t="shared" si="1"/>
        <v>59.07</v>
      </c>
      <c r="C11" s="395">
        <f t="shared" si="0"/>
        <v>60.16</v>
      </c>
      <c r="D11" s="395">
        <f t="shared" si="0"/>
        <v>57.79</v>
      </c>
      <c r="E11" s="395">
        <f t="shared" si="0"/>
        <v>59.33</v>
      </c>
      <c r="F11" s="395">
        <f t="shared" si="0"/>
        <v>57.19</v>
      </c>
      <c r="H11"/>
    </row>
    <row r="12" spans="1:8">
      <c r="A12" s="33" t="s">
        <v>22</v>
      </c>
      <c r="B12" s="395">
        <f t="shared" si="1"/>
        <v>65.11</v>
      </c>
      <c r="C12" s="395">
        <f t="shared" si="0"/>
        <v>68.92</v>
      </c>
      <c r="D12" s="395">
        <f t="shared" si="0"/>
        <v>69.69</v>
      </c>
      <c r="E12" s="395">
        <f t="shared" si="0"/>
        <v>69.81</v>
      </c>
      <c r="F12" s="395">
        <f t="shared" si="0"/>
        <v>66.72</v>
      </c>
      <c r="H12"/>
    </row>
    <row r="13" spans="1:8">
      <c r="A13" s="33" t="s">
        <v>23</v>
      </c>
      <c r="B13" s="395">
        <f t="shared" si="1"/>
        <v>66.11</v>
      </c>
      <c r="C13" s="395">
        <f t="shared" si="0"/>
        <v>65.31</v>
      </c>
      <c r="D13" s="395">
        <f t="shared" si="0"/>
        <v>65.45</v>
      </c>
      <c r="E13" s="395">
        <f t="shared" si="0"/>
        <v>65.2</v>
      </c>
      <c r="F13" s="395">
        <f t="shared" si="0"/>
        <v>63.66</v>
      </c>
      <c r="H13"/>
    </row>
    <row r="14" spans="1:8">
      <c r="A14" s="33" t="s">
        <v>24</v>
      </c>
      <c r="B14" s="395">
        <f t="shared" si="1"/>
        <v>65.86</v>
      </c>
      <c r="C14" s="395">
        <f t="shared" si="0"/>
        <v>66.48</v>
      </c>
      <c r="D14" s="395">
        <f t="shared" si="0"/>
        <v>68.77</v>
      </c>
      <c r="E14" s="395">
        <f t="shared" si="0"/>
        <v>68.28</v>
      </c>
      <c r="F14" s="395">
        <f t="shared" si="0"/>
        <v>68.650000000000006</v>
      </c>
      <c r="H14"/>
    </row>
    <row r="15" spans="1:8">
      <c r="A15" s="33" t="s">
        <v>25</v>
      </c>
      <c r="B15" s="395">
        <f t="shared" si="1"/>
        <v>61.28</v>
      </c>
      <c r="C15" s="395">
        <f t="shared" si="0"/>
        <v>63.23</v>
      </c>
      <c r="D15" s="395">
        <f t="shared" si="0"/>
        <v>62.1</v>
      </c>
      <c r="E15" s="395">
        <f t="shared" si="0"/>
        <v>62.39</v>
      </c>
      <c r="F15" s="395">
        <f t="shared" si="0"/>
        <v>60.77</v>
      </c>
      <c r="H15"/>
    </row>
    <row r="16" spans="1:8">
      <c r="A16" s="33" t="s">
        <v>26</v>
      </c>
      <c r="B16" s="395">
        <f t="shared" si="1"/>
        <v>61.42</v>
      </c>
      <c r="C16" s="395">
        <f t="shared" si="0"/>
        <v>62.29</v>
      </c>
      <c r="D16" s="395">
        <f t="shared" si="0"/>
        <v>60.97</v>
      </c>
      <c r="E16" s="395">
        <f t="shared" si="0"/>
        <v>61.56</v>
      </c>
      <c r="F16" s="395">
        <f t="shared" si="0"/>
        <v>57.84</v>
      </c>
      <c r="H16"/>
    </row>
    <row r="17" spans="1:8">
      <c r="A17" s="33" t="s">
        <v>27</v>
      </c>
      <c r="B17" s="395">
        <f t="shared" si="1"/>
        <v>58.65</v>
      </c>
      <c r="C17" s="395">
        <f t="shared" si="0"/>
        <v>57.22</v>
      </c>
      <c r="D17" s="395">
        <f t="shared" si="0"/>
        <v>56.08</v>
      </c>
      <c r="E17" s="395">
        <f t="shared" si="0"/>
        <v>54.59</v>
      </c>
      <c r="F17" s="395">
        <f t="shared" si="0"/>
        <v>56.01</v>
      </c>
      <c r="H17"/>
    </row>
    <row r="18" spans="1:8">
      <c r="A18" s="33" t="s">
        <v>28</v>
      </c>
      <c r="B18" s="395">
        <f t="shared" si="1"/>
        <v>65.239999999999995</v>
      </c>
      <c r="C18" s="395">
        <f t="shared" si="0"/>
        <v>66.260000000000005</v>
      </c>
      <c r="D18" s="395">
        <f t="shared" si="0"/>
        <v>64.209999999999994</v>
      </c>
      <c r="E18" s="395">
        <f t="shared" si="0"/>
        <v>63.95</v>
      </c>
      <c r="F18" s="395">
        <f t="shared" si="0"/>
        <v>64.53</v>
      </c>
      <c r="H18"/>
    </row>
    <row r="19" spans="1:8">
      <c r="A19" s="33" t="s">
        <v>29</v>
      </c>
      <c r="B19" s="395">
        <f t="shared" si="1"/>
        <v>59.59</v>
      </c>
      <c r="C19" s="395">
        <f t="shared" si="1"/>
        <v>60.47</v>
      </c>
      <c r="D19" s="395">
        <f t="shared" si="1"/>
        <v>59.58</v>
      </c>
      <c r="E19" s="395">
        <f t="shared" si="1"/>
        <v>58.35</v>
      </c>
      <c r="F19" s="395">
        <f t="shared" si="1"/>
        <v>54.36</v>
      </c>
      <c r="H19"/>
    </row>
    <row r="20" spans="1:8">
      <c r="A20" s="33" t="s">
        <v>30</v>
      </c>
      <c r="B20" s="395">
        <f t="shared" si="1"/>
        <v>61.71</v>
      </c>
      <c r="C20" s="395">
        <f t="shared" si="1"/>
        <v>61.76</v>
      </c>
      <c r="D20" s="395">
        <f t="shared" si="1"/>
        <v>61.02</v>
      </c>
      <c r="E20" s="395">
        <f t="shared" si="1"/>
        <v>63.36</v>
      </c>
      <c r="F20" s="395">
        <f t="shared" si="1"/>
        <v>58.59</v>
      </c>
      <c r="H20"/>
    </row>
    <row r="21" spans="1:8">
      <c r="A21" s="33" t="s">
        <v>31</v>
      </c>
      <c r="B21" s="395">
        <f t="shared" si="1"/>
        <v>65.61</v>
      </c>
      <c r="C21" s="395">
        <f t="shared" si="1"/>
        <v>64.239999999999995</v>
      </c>
      <c r="D21" s="395">
        <f t="shared" si="1"/>
        <v>62.12</v>
      </c>
      <c r="E21" s="395">
        <f t="shared" si="1"/>
        <v>61.48</v>
      </c>
      <c r="F21" s="395">
        <f t="shared" si="1"/>
        <v>61.56</v>
      </c>
      <c r="H21"/>
    </row>
    <row r="22" spans="1:8">
      <c r="A22" s="33" t="s">
        <v>32</v>
      </c>
      <c r="B22" s="395">
        <f t="shared" si="1"/>
        <v>64.98</v>
      </c>
      <c r="C22" s="395">
        <f t="shared" si="1"/>
        <v>64.97</v>
      </c>
      <c r="D22" s="395">
        <f t="shared" si="1"/>
        <v>66.069999999999993</v>
      </c>
      <c r="E22" s="395">
        <f t="shared" si="1"/>
        <v>66.989999999999995</v>
      </c>
      <c r="F22" s="395">
        <f t="shared" si="1"/>
        <v>68.33</v>
      </c>
      <c r="H22"/>
    </row>
    <row r="23" spans="1:8">
      <c r="A23" s="33" t="s">
        <v>33</v>
      </c>
      <c r="B23" s="395">
        <f t="shared" si="1"/>
        <v>56.32</v>
      </c>
      <c r="C23" s="395">
        <f t="shared" si="1"/>
        <v>56.01</v>
      </c>
      <c r="D23" s="395">
        <f t="shared" si="1"/>
        <v>57.33</v>
      </c>
      <c r="E23" s="395">
        <f t="shared" si="1"/>
        <v>58.52</v>
      </c>
      <c r="F23" s="395">
        <f t="shared" si="1"/>
        <v>57.42</v>
      </c>
      <c r="H23"/>
    </row>
    <row r="24" spans="1:8">
      <c r="A24" s="33" t="s">
        <v>34</v>
      </c>
      <c r="B24" s="395">
        <f t="shared" si="1"/>
        <v>58.53</v>
      </c>
      <c r="C24" s="395">
        <f t="shared" si="1"/>
        <v>58.12</v>
      </c>
      <c r="D24" s="395">
        <f t="shared" si="1"/>
        <v>57.96</v>
      </c>
      <c r="E24" s="395">
        <f t="shared" si="1"/>
        <v>58.67</v>
      </c>
      <c r="F24" s="395">
        <f t="shared" si="1"/>
        <v>56.56</v>
      </c>
      <c r="H24"/>
    </row>
    <row r="25" spans="1:8">
      <c r="A25" s="33" t="s">
        <v>35</v>
      </c>
      <c r="B25" s="395">
        <f t="shared" si="1"/>
        <v>68.040000000000006</v>
      </c>
      <c r="C25" s="395">
        <f t="shared" si="1"/>
        <v>64.62</v>
      </c>
      <c r="D25" s="395">
        <f t="shared" si="1"/>
        <v>66.680000000000007</v>
      </c>
      <c r="E25" s="395">
        <f t="shared" si="1"/>
        <v>69.33</v>
      </c>
      <c r="F25" s="395">
        <f t="shared" si="1"/>
        <v>71.239999999999995</v>
      </c>
      <c r="H25"/>
    </row>
    <row r="26" spans="1:8">
      <c r="A26" s="33" t="s">
        <v>36</v>
      </c>
      <c r="B26" s="395">
        <f t="shared" si="1"/>
        <v>66.709999999999994</v>
      </c>
      <c r="C26" s="395">
        <f t="shared" si="1"/>
        <v>67.63</v>
      </c>
      <c r="D26" s="395">
        <f t="shared" si="1"/>
        <v>66.64</v>
      </c>
      <c r="E26" s="395">
        <f t="shared" si="1"/>
        <v>66.319999999999993</v>
      </c>
      <c r="F26" s="395">
        <f t="shared" si="1"/>
        <v>66.98</v>
      </c>
      <c r="H26"/>
    </row>
    <row r="27" spans="1:8">
      <c r="A27" s="33" t="s">
        <v>37</v>
      </c>
      <c r="B27" s="395">
        <f t="shared" si="1"/>
        <v>60.48</v>
      </c>
      <c r="C27" s="395">
        <f t="shared" si="1"/>
        <v>60.95</v>
      </c>
      <c r="D27" s="395">
        <f t="shared" si="1"/>
        <v>60.17</v>
      </c>
      <c r="E27" s="395">
        <f t="shared" si="1"/>
        <v>60.74</v>
      </c>
      <c r="F27" s="395">
        <f t="shared" si="1"/>
        <v>60.58</v>
      </c>
      <c r="H27"/>
    </row>
    <row r="28" spans="1:8">
      <c r="A28" s="33" t="s">
        <v>38</v>
      </c>
      <c r="B28" s="395">
        <f t="shared" si="1"/>
        <v>64.819999999999993</v>
      </c>
      <c r="C28" s="395">
        <f t="shared" si="1"/>
        <v>64.48</v>
      </c>
      <c r="D28" s="395">
        <f t="shared" si="1"/>
        <v>63.5</v>
      </c>
      <c r="E28" s="395">
        <f t="shared" si="1"/>
        <v>63.31</v>
      </c>
      <c r="F28" s="395">
        <f t="shared" si="1"/>
        <v>64.12</v>
      </c>
      <c r="H28"/>
    </row>
    <row r="29" spans="1:8">
      <c r="A29" s="33" t="s">
        <v>39</v>
      </c>
      <c r="B29" s="395">
        <f t="shared" si="1"/>
        <v>67.650000000000006</v>
      </c>
      <c r="C29" s="395">
        <f t="shared" si="1"/>
        <v>68.12</v>
      </c>
      <c r="D29" s="395">
        <f t="shared" si="1"/>
        <v>67.489999999999995</v>
      </c>
      <c r="E29" s="395">
        <f t="shared" si="1"/>
        <v>68.95</v>
      </c>
      <c r="F29" s="395">
        <f t="shared" si="1"/>
        <v>63.51</v>
      </c>
      <c r="H29"/>
    </row>
    <row r="30" spans="1:8">
      <c r="A30" s="33" t="s">
        <v>40</v>
      </c>
      <c r="B30" s="395">
        <f t="shared" si="1"/>
        <v>62.43</v>
      </c>
      <c r="C30" s="395">
        <f t="shared" si="1"/>
        <v>62.13</v>
      </c>
      <c r="D30" s="395">
        <f t="shared" si="1"/>
        <v>61.68</v>
      </c>
      <c r="E30" s="395">
        <f t="shared" si="1"/>
        <v>59.96</v>
      </c>
      <c r="F30" s="395">
        <f t="shared" si="1"/>
        <v>61.84</v>
      </c>
      <c r="H30"/>
    </row>
    <row r="31" spans="1:8">
      <c r="A31" s="33" t="s">
        <v>41</v>
      </c>
      <c r="B31" s="395">
        <f t="shared" si="1"/>
        <v>61.25</v>
      </c>
      <c r="C31" s="395">
        <f t="shared" si="1"/>
        <v>60.76</v>
      </c>
      <c r="D31" s="395">
        <f t="shared" si="1"/>
        <v>59.27</v>
      </c>
      <c r="E31" s="395">
        <f t="shared" si="1"/>
        <v>57.91</v>
      </c>
      <c r="F31" s="395">
        <f t="shared" si="1"/>
        <v>59.52</v>
      </c>
      <c r="H31"/>
    </row>
    <row r="32" spans="1:8">
      <c r="A32" s="33" t="s">
        <v>42</v>
      </c>
      <c r="B32" s="395">
        <f t="shared" si="1"/>
        <v>64.72</v>
      </c>
      <c r="C32" s="395">
        <f t="shared" si="1"/>
        <v>64.77</v>
      </c>
      <c r="D32" s="395">
        <f t="shared" si="1"/>
        <v>63.28</v>
      </c>
      <c r="E32" s="395">
        <f t="shared" si="1"/>
        <v>61.79</v>
      </c>
      <c r="F32" s="395">
        <f t="shared" si="1"/>
        <v>63.38</v>
      </c>
      <c r="H32"/>
    </row>
    <row r="33" spans="1:11">
      <c r="A33" s="33" t="s">
        <v>43</v>
      </c>
      <c r="B33" s="395">
        <f t="shared" si="1"/>
        <v>55.63</v>
      </c>
      <c r="C33" s="395">
        <f t="shared" si="1"/>
        <v>58.18</v>
      </c>
      <c r="D33" s="395">
        <f t="shared" si="1"/>
        <v>58.35</v>
      </c>
      <c r="E33" s="395">
        <f t="shared" si="1"/>
        <v>59.13</v>
      </c>
      <c r="F33" s="395">
        <f t="shared" si="1"/>
        <v>58.06</v>
      </c>
      <c r="H33"/>
    </row>
    <row r="34" spans="1:11">
      <c r="A34" s="33" t="s">
        <v>44</v>
      </c>
      <c r="B34" s="395">
        <f t="shared" si="1"/>
        <v>62.28</v>
      </c>
      <c r="C34" s="395">
        <f t="shared" si="1"/>
        <v>61.88</v>
      </c>
      <c r="D34" s="395">
        <f t="shared" si="1"/>
        <v>63.04</v>
      </c>
      <c r="E34" s="395">
        <f t="shared" si="1"/>
        <v>61.33</v>
      </c>
      <c r="F34" s="395">
        <f t="shared" si="1"/>
        <v>61.31</v>
      </c>
      <c r="H34"/>
    </row>
    <row r="35" spans="1:11">
      <c r="H35"/>
    </row>
    <row r="36" spans="1:11">
      <c r="A36" s="33" t="s">
        <v>47</v>
      </c>
      <c r="B36" s="395">
        <f>AVERAGE(B33,B31,B27,B24,B19,B17,B14,B12)</f>
        <v>60.637500000000003</v>
      </c>
      <c r="C36" s="395">
        <f>AVERAGE(C33,C31,C27,C24,C19,C17,C14,C12)</f>
        <v>61.38750000000001</v>
      </c>
      <c r="D36" s="395">
        <f>AVERAGE(D33,D31,D27,D24,D19,D17,D14,D12)</f>
        <v>61.233750000000001</v>
      </c>
      <c r="E36" s="395">
        <f>AVERAGE(E33,E31,E27,E24,E19,E17,E14,E12)</f>
        <v>60.934999999999995</v>
      </c>
      <c r="F36" s="395">
        <f>AVERAGE(F33,F31,F27,F24,F19,F17,F14,F12)</f>
        <v>60.057500000000005</v>
      </c>
      <c r="H36"/>
    </row>
    <row r="37" spans="1:11">
      <c r="A37" s="33" t="s">
        <v>45</v>
      </c>
      <c r="B37" s="395">
        <f t="shared" ref="B37:F38" si="2">VLOOKUP(B$2&amp;$A37,$J$44:$K$252,2,FALSE)</f>
        <v>62.22</v>
      </c>
      <c r="C37" s="395">
        <f t="shared" si="2"/>
        <v>62.32</v>
      </c>
      <c r="D37" s="395">
        <f t="shared" si="2"/>
        <v>61.88</v>
      </c>
      <c r="E37" s="395">
        <f t="shared" si="2"/>
        <v>61.68</v>
      </c>
      <c r="F37" s="395">
        <f t="shared" si="2"/>
        <v>60.93</v>
      </c>
      <c r="H37"/>
    </row>
    <row r="38" spans="1:11">
      <c r="A38" s="33" t="s">
        <v>46</v>
      </c>
      <c r="B38" s="395">
        <f t="shared" si="2"/>
        <v>63.04</v>
      </c>
      <c r="C38" s="395">
        <f t="shared" si="2"/>
        <v>63.13</v>
      </c>
      <c r="D38" s="395">
        <f t="shared" si="2"/>
        <v>63.09</v>
      </c>
      <c r="E38" s="395">
        <f t="shared" si="2"/>
        <v>62.9</v>
      </c>
      <c r="F38" s="395">
        <f t="shared" si="2"/>
        <v>62.83</v>
      </c>
      <c r="H38"/>
    </row>
    <row r="39" spans="1:11">
      <c r="A39" s="33" t="s">
        <v>543</v>
      </c>
      <c r="B39" s="393" cm="1">
        <f t="array" ref="B39">AVERAGE(AVERAGEIFS(B$3:B$34,$A$3:$A$34,{"Na h-Eileanan Siar","Argyll and Bute","Shetland Islands","Highland","Orkney Islands","Scottish Borders","Dumfries and Galloway","Aberdeenshire"}))</f>
        <v>65.797499999999999</v>
      </c>
      <c r="C39" s="393" cm="1">
        <f t="array" ref="C39">AVERAGE(AVERAGEIFS(C$3:C$34,$A$3:$A$34,{"Na h-Eileanan Siar","Argyll and Bute","Shetland Islands","Highland","Orkney Islands","Scottish Borders","Dumfries and Galloway","Aberdeenshire"}))</f>
        <v>65.662499999999994</v>
      </c>
      <c r="D39" s="393" cm="1">
        <f t="array" ref="D39">AVERAGE(AVERAGEIFS(D$3:D$34,$A$3:$A$34,{"Na h-Eileanan Siar","Argyll and Bute","Shetland Islands","Highland","Orkney Islands","Scottish Borders","Dumfries and Galloway","Aberdeenshire"}))</f>
        <v>65.78125</v>
      </c>
      <c r="E39" s="393" cm="1">
        <f t="array" ref="E39">AVERAGE(AVERAGEIFS(E$3:E$34,$A$3:$A$34,{"Na h-Eileanan Siar","Argyll and Bute","Shetland Islands","Highland","Orkney Islands","Scottish Borders","Dumfries and Galloway","Aberdeenshire"}))</f>
        <v>65.941249999999997</v>
      </c>
      <c r="F39" s="393" cm="1">
        <f t="array" ref="F39">AVERAGE(AVERAGEIFS(F$3:F$34,$A$3:$A$34,{"Na h-Eileanan Siar","Argyll and Bute","Shetland Islands","Highland","Orkney Islands","Scottish Borders","Dumfries and Galloway","Aberdeenshire"}))</f>
        <v>65.655000000000001</v>
      </c>
      <c r="H39"/>
    </row>
    <row r="40" spans="1:11">
      <c r="A40" s="33" t="s">
        <v>544</v>
      </c>
      <c r="B40" s="393" cm="1">
        <f t="array" ref="B40">AVERAGE(AVERAGEIFS(B$3:B$34,$A$3:$A$34,{"Perth and Kinross","Stirling","Moray","South Ayrshire","East Ayrshire","East Lothian","North Ayrshire","Fife"}))</f>
        <v>62.798750000000005</v>
      </c>
      <c r="C40" s="393" cm="1">
        <f t="array" ref="C40">AVERAGE(AVERAGEIFS(C$3:C$34,$A$3:$A$34,{"Perth and Kinross","Stirling","Moray","South Ayrshire","East Ayrshire","East Lothian","North Ayrshire","Fife"}))</f>
        <v>62.817499999999995</v>
      </c>
      <c r="D40" s="393" cm="1">
        <f t="array" ref="D40">AVERAGE(AVERAGEIFS(D$3:D$34,$A$3:$A$34,{"Perth and Kinross","Stirling","Moray","South Ayrshire","East Ayrshire","East Lothian","North Ayrshire","Fife"}))</f>
        <v>61.907499999999999</v>
      </c>
      <c r="E40" s="393" cm="1">
        <f t="array" ref="E40">AVERAGE(AVERAGEIFS(E$3:E$34,$A$3:$A$34,{"Perth and Kinross","Stirling","Moray","South Ayrshire","East Ayrshire","East Lothian","North Ayrshire","Fife"}))</f>
        <v>61.769999999999996</v>
      </c>
      <c r="F40" s="393" cm="1">
        <f t="array" ref="F40">AVERAGE(AVERAGEIFS(F$3:F$34,$A$3:$A$34,{"Perth and Kinross","Stirling","Moray","South Ayrshire","East Ayrshire","East Lothian","North Ayrshire","Fife"}))</f>
        <v>61.233750000000001</v>
      </c>
      <c r="H40"/>
    </row>
    <row r="41" spans="1:11">
      <c r="A41" s="33" t="s">
        <v>545</v>
      </c>
      <c r="B41" s="393" cm="1">
        <f t="array" ref="B41">AVERAGE(AVERAGEIFS(B$3:B$34,$A$3:$A$34,{"Angus","Clackmannanshire","Midlothian","South Lanarkshire","Inverclyde","Renfrewshire","West Lothian","East Renfrewshire"}))</f>
        <v>61.80125000000001</v>
      </c>
      <c r="C41" s="393" cm="1">
        <f t="array" ref="C41">AVERAGE(AVERAGEIFS(C$3:C$34,$A$3:$A$34,{"Angus","Clackmannanshire","Midlothian","South Lanarkshire","Inverclyde","Renfrewshire","West Lothian","East Renfrewshire"}))</f>
        <v>62.223750000000003</v>
      </c>
      <c r="D41" s="393" cm="1">
        <f t="array" ref="D41">AVERAGE(AVERAGEIFS(D$3:D$34,$A$3:$A$34,{"Angus","Clackmannanshire","Midlothian","South Lanarkshire","Inverclyde","Renfrewshire","West Lothian","East Renfrewshire"}))</f>
        <v>61.901250000000005</v>
      </c>
      <c r="E41" s="393" cm="1">
        <f t="array" ref="E41">AVERAGE(AVERAGEIFS(E$3:E$34,$A$3:$A$34,{"Angus","Clackmannanshire","Midlothian","South Lanarkshire","Inverclyde","Renfrewshire","West Lothian","East Renfrewshire"}))</f>
        <v>61.716250000000002</v>
      </c>
      <c r="F41" s="393" cm="1">
        <f t="array" ref="F41">AVERAGE(AVERAGEIFS(F$3:F$34,$A$3:$A$34,{"Angus","Clackmannanshire","Midlothian","South Lanarkshire","Inverclyde","Renfrewshire","West Lothian","East Renfrewshire"}))</f>
        <v>60.961250000000007</v>
      </c>
      <c r="H41"/>
    </row>
    <row r="42" spans="1:11">
      <c r="A42" s="33" t="s">
        <v>546</v>
      </c>
      <c r="B42" s="393" cm="1">
        <f t="array" ref="B42">AVERAGE(AVERAGEIFS(B$3:B$34,$A$3:$A$34,{"North Lanarkshire","Falkirk","East Dunbartonshire","Aberdeen City","City of Edinburgh","West Dunbartonshire","Dundee City","Glasgow City"}))</f>
        <v>60.183750000000003</v>
      </c>
      <c r="C42" s="393" cm="1">
        <f t="array" ref="C42">AVERAGE(AVERAGEIFS(C$3:C$34,$A$3:$A$34,{"North Lanarkshire","Falkirk","East Dunbartonshire","Aberdeen City","City of Edinburgh","West Dunbartonshire","Dundee City","Glasgow City"}))</f>
        <v>61.08</v>
      </c>
      <c r="D42" s="393" cm="1">
        <f t="array" ref="D42">AVERAGE(AVERAGEIFS(D$3:D$34,$A$3:$A$34,{"North Lanarkshire","Falkirk","East Dunbartonshire","Aberdeen City","City of Edinburgh","West Dunbartonshire","Dundee City","Glasgow City"}))</f>
        <v>60.875</v>
      </c>
      <c r="E42" s="393" cm="1">
        <f t="array" ref="E42">AVERAGE(AVERAGEIFS(E$3:E$34,$A$3:$A$34,{"North Lanarkshire","Falkirk","East Dunbartonshire","Aberdeen City","City of Edinburgh","West Dunbartonshire","Dundee City","Glasgow City"}))</f>
        <v>61.038750000000007</v>
      </c>
      <c r="F42" s="393" cm="1">
        <f t="array" ref="F42">AVERAGE(AVERAGEIFS(F$3:F$34,$A$3:$A$34,{"North Lanarkshire","Falkirk","East Dunbartonshire","Aberdeen City","City of Edinburgh","West Dunbartonshire","Dundee City","Glasgow City"}))</f>
        <v>59.59375</v>
      </c>
      <c r="H42"/>
    </row>
    <row r="43" spans="1:11">
      <c r="H43"/>
    </row>
    <row r="44" spans="1:11">
      <c r="A44" s="33" t="s">
        <v>165</v>
      </c>
      <c r="B44" s="33" t="s">
        <v>725</v>
      </c>
      <c r="C44" s="33" t="s">
        <v>726</v>
      </c>
      <c r="D44" s="33" t="s">
        <v>727</v>
      </c>
      <c r="E44" s="33" t="s">
        <v>722</v>
      </c>
      <c r="F44" s="33" t="s">
        <v>728</v>
      </c>
      <c r="G44" s="33" t="s">
        <v>164</v>
      </c>
      <c r="H44" t="s">
        <v>729</v>
      </c>
      <c r="I44" s="33" t="s">
        <v>730</v>
      </c>
      <c r="K44" s="33" t="s">
        <v>731</v>
      </c>
    </row>
    <row r="45" spans="1:11">
      <c r="A45" s="33" t="s">
        <v>161</v>
      </c>
      <c r="B45" s="33" t="s">
        <v>46</v>
      </c>
      <c r="C45" s="33" t="s">
        <v>725</v>
      </c>
      <c r="D45" s="33" t="s">
        <v>608</v>
      </c>
      <c r="E45" s="33" t="s">
        <v>46</v>
      </c>
      <c r="F45" s="33">
        <v>1</v>
      </c>
      <c r="G45" s="33" t="s">
        <v>609</v>
      </c>
      <c r="H45">
        <v>1</v>
      </c>
      <c r="I45" s="33" t="s">
        <v>732</v>
      </c>
      <c r="J45" s="33" t="str">
        <f>CONCATENATE(A45,E45)</f>
        <v>2011-13United Kingdom</v>
      </c>
      <c r="K45" s="33">
        <v>62.9</v>
      </c>
    </row>
    <row r="46" spans="1:11">
      <c r="A46" s="33" t="s">
        <v>161</v>
      </c>
      <c r="B46" s="33" t="s">
        <v>45</v>
      </c>
      <c r="C46" s="33" t="s">
        <v>725</v>
      </c>
      <c r="D46" s="33" t="s">
        <v>488</v>
      </c>
      <c r="E46" s="33" t="s">
        <v>45</v>
      </c>
      <c r="F46" s="33">
        <v>1</v>
      </c>
      <c r="G46" s="33" t="s">
        <v>609</v>
      </c>
      <c r="H46">
        <v>1</v>
      </c>
      <c r="I46" s="33" t="s">
        <v>732</v>
      </c>
      <c r="J46" s="33" t="str">
        <f t="shared" ref="J46:J109" si="3">CONCATENATE(A46,E46)</f>
        <v>2011-13Scotland</v>
      </c>
      <c r="K46" s="33">
        <v>61.66</v>
      </c>
    </row>
    <row r="47" spans="1:11">
      <c r="A47" s="33" t="s">
        <v>160</v>
      </c>
      <c r="B47" s="33" t="s">
        <v>46</v>
      </c>
      <c r="C47" s="33" t="s">
        <v>725</v>
      </c>
      <c r="D47" s="33" t="s">
        <v>608</v>
      </c>
      <c r="E47" s="33" t="s">
        <v>46</v>
      </c>
      <c r="F47" s="33">
        <v>1</v>
      </c>
      <c r="G47" s="33" t="s">
        <v>609</v>
      </c>
      <c r="H47">
        <v>1</v>
      </c>
      <c r="I47" s="33" t="s">
        <v>732</v>
      </c>
      <c r="J47" s="33" t="str">
        <f t="shared" si="3"/>
        <v>2012-14United Kingdom</v>
      </c>
      <c r="K47" s="33">
        <v>63.08</v>
      </c>
    </row>
    <row r="48" spans="1:11">
      <c r="A48" s="33" t="s">
        <v>160</v>
      </c>
      <c r="B48" s="33" t="s">
        <v>45</v>
      </c>
      <c r="C48" s="33" t="s">
        <v>725</v>
      </c>
      <c r="D48" s="33" t="s">
        <v>488</v>
      </c>
      <c r="E48" s="33" t="s">
        <v>45</v>
      </c>
      <c r="F48" s="33">
        <v>1</v>
      </c>
      <c r="G48" s="33" t="s">
        <v>609</v>
      </c>
      <c r="H48">
        <v>1</v>
      </c>
      <c r="I48" s="33" t="s">
        <v>732</v>
      </c>
      <c r="J48" s="33" t="str">
        <f t="shared" si="3"/>
        <v>2012-14Scotland</v>
      </c>
      <c r="K48" s="33">
        <v>61.72</v>
      </c>
    </row>
    <row r="49" spans="1:11">
      <c r="A49" s="33" t="s">
        <v>159</v>
      </c>
      <c r="B49" s="33" t="s">
        <v>46</v>
      </c>
      <c r="C49" s="33" t="s">
        <v>725</v>
      </c>
      <c r="D49" s="33" t="s">
        <v>608</v>
      </c>
      <c r="E49" s="33" t="s">
        <v>46</v>
      </c>
      <c r="F49" s="33">
        <v>1</v>
      </c>
      <c r="G49" s="33" t="s">
        <v>609</v>
      </c>
      <c r="H49">
        <v>1</v>
      </c>
      <c r="I49" s="33" t="s">
        <v>732</v>
      </c>
      <c r="J49" s="33" t="str">
        <f t="shared" si="3"/>
        <v>2013-15United Kingdom</v>
      </c>
      <c r="K49" s="33">
        <v>63.09</v>
      </c>
    </row>
    <row r="50" spans="1:11">
      <c r="A50" s="33" t="s">
        <v>159</v>
      </c>
      <c r="B50" s="33" t="s">
        <v>45</v>
      </c>
      <c r="C50" s="33" t="s">
        <v>733</v>
      </c>
      <c r="D50" s="33" t="s">
        <v>109</v>
      </c>
      <c r="E50" s="33" t="s">
        <v>18</v>
      </c>
      <c r="F50" s="33">
        <v>1</v>
      </c>
      <c r="G50" s="33" t="s">
        <v>609</v>
      </c>
      <c r="H50">
        <v>1</v>
      </c>
      <c r="I50" s="33" t="s">
        <v>732</v>
      </c>
      <c r="J50" s="33" t="str">
        <f t="shared" si="3"/>
        <v>2013-15Clackmannanshire</v>
      </c>
      <c r="K50" s="33">
        <v>60.05</v>
      </c>
    </row>
    <row r="51" spans="1:11">
      <c r="A51" s="33" t="s">
        <v>159</v>
      </c>
      <c r="B51" s="33" t="s">
        <v>45</v>
      </c>
      <c r="C51" s="33" t="s">
        <v>733</v>
      </c>
      <c r="D51" s="33" t="s">
        <v>108</v>
      </c>
      <c r="E51" s="33" t="s">
        <v>19</v>
      </c>
      <c r="F51" s="33">
        <v>1</v>
      </c>
      <c r="G51" s="33" t="s">
        <v>609</v>
      </c>
      <c r="H51">
        <v>1</v>
      </c>
      <c r="I51" s="33" t="s">
        <v>732</v>
      </c>
      <c r="J51" s="33" t="str">
        <f t="shared" si="3"/>
        <v>2013-15Dumfries and Galloway</v>
      </c>
      <c r="K51" s="33">
        <v>63.48</v>
      </c>
    </row>
    <row r="52" spans="1:11">
      <c r="A52" s="33" t="s">
        <v>159</v>
      </c>
      <c r="B52" s="33" t="s">
        <v>45</v>
      </c>
      <c r="C52" s="33" t="s">
        <v>733</v>
      </c>
      <c r="D52" s="33" t="s">
        <v>106</v>
      </c>
      <c r="E52" s="33" t="s">
        <v>21</v>
      </c>
      <c r="F52" s="33">
        <v>1</v>
      </c>
      <c r="G52" s="33" t="s">
        <v>609</v>
      </c>
      <c r="H52">
        <v>1</v>
      </c>
      <c r="I52" s="33" t="s">
        <v>732</v>
      </c>
      <c r="J52" s="33" t="str">
        <f t="shared" si="3"/>
        <v>2013-15East Ayrshire</v>
      </c>
      <c r="K52" s="33">
        <v>57.73</v>
      </c>
    </row>
    <row r="53" spans="1:11">
      <c r="A53" s="33" t="s">
        <v>159</v>
      </c>
      <c r="B53" s="33" t="s">
        <v>45</v>
      </c>
      <c r="C53" s="33" t="s">
        <v>733</v>
      </c>
      <c r="D53" s="33" t="s">
        <v>104</v>
      </c>
      <c r="E53" s="33" t="s">
        <v>23</v>
      </c>
      <c r="F53" s="33">
        <v>1</v>
      </c>
      <c r="G53" s="33" t="s">
        <v>609</v>
      </c>
      <c r="H53">
        <v>1</v>
      </c>
      <c r="I53" s="33" t="s">
        <v>732</v>
      </c>
      <c r="J53" s="33" t="str">
        <f t="shared" si="3"/>
        <v>2013-15East Lothian</v>
      </c>
      <c r="K53" s="33">
        <v>63.54</v>
      </c>
    </row>
    <row r="54" spans="1:11">
      <c r="A54" s="33" t="s">
        <v>159</v>
      </c>
      <c r="B54" s="33" t="s">
        <v>45</v>
      </c>
      <c r="C54" s="33" t="s">
        <v>733</v>
      </c>
      <c r="D54" s="33" t="s">
        <v>103</v>
      </c>
      <c r="E54" s="33" t="s">
        <v>24</v>
      </c>
      <c r="F54" s="33">
        <v>1</v>
      </c>
      <c r="G54" s="33" t="s">
        <v>609</v>
      </c>
      <c r="H54">
        <v>1</v>
      </c>
      <c r="I54" s="33" t="s">
        <v>732</v>
      </c>
      <c r="J54" s="33" t="str">
        <f t="shared" si="3"/>
        <v>2013-15East Renfrewshire</v>
      </c>
      <c r="K54" s="33">
        <v>65.67</v>
      </c>
    </row>
    <row r="55" spans="1:11">
      <c r="A55" s="33" t="s">
        <v>159</v>
      </c>
      <c r="B55" s="33" t="s">
        <v>45</v>
      </c>
      <c r="C55" s="33" t="s">
        <v>733</v>
      </c>
      <c r="D55" s="33" t="s">
        <v>95</v>
      </c>
      <c r="E55" s="33" t="s">
        <v>32</v>
      </c>
      <c r="F55" s="33">
        <v>1</v>
      </c>
      <c r="G55" s="33" t="s">
        <v>609</v>
      </c>
      <c r="H55">
        <v>1</v>
      </c>
      <c r="I55" s="33" t="s">
        <v>732</v>
      </c>
      <c r="J55" s="33" t="str">
        <f t="shared" si="3"/>
        <v>2013-15Na h-Eileanan Siar</v>
      </c>
      <c r="K55" s="33">
        <v>66.56</v>
      </c>
    </row>
    <row r="56" spans="1:11">
      <c r="A56" s="33" t="s">
        <v>159</v>
      </c>
      <c r="B56" s="33" t="s">
        <v>45</v>
      </c>
      <c r="C56" s="33" t="s">
        <v>733</v>
      </c>
      <c r="D56" s="33" t="s">
        <v>102</v>
      </c>
      <c r="E56" s="33" t="s">
        <v>25</v>
      </c>
      <c r="F56" s="33">
        <v>1</v>
      </c>
      <c r="G56" s="33" t="s">
        <v>609</v>
      </c>
      <c r="H56">
        <v>1</v>
      </c>
      <c r="I56" s="33" t="s">
        <v>732</v>
      </c>
      <c r="J56" s="33" t="str">
        <f t="shared" si="3"/>
        <v>2013-15Falkirk</v>
      </c>
      <c r="K56" s="33">
        <v>61.65</v>
      </c>
    </row>
    <row r="57" spans="1:11">
      <c r="A57" s="33" t="s">
        <v>159</v>
      </c>
      <c r="B57" s="33" t="s">
        <v>45</v>
      </c>
      <c r="C57" s="33" t="s">
        <v>733</v>
      </c>
      <c r="D57" s="33" t="s">
        <v>99</v>
      </c>
      <c r="E57" s="33" t="s">
        <v>28</v>
      </c>
      <c r="F57" s="33">
        <v>1</v>
      </c>
      <c r="G57" s="33" t="s">
        <v>609</v>
      </c>
      <c r="H57">
        <v>1</v>
      </c>
      <c r="I57" s="33" t="s">
        <v>732</v>
      </c>
      <c r="J57" s="33" t="str">
        <f t="shared" si="3"/>
        <v>2013-15Highland</v>
      </c>
      <c r="K57" s="33">
        <v>64.34</v>
      </c>
    </row>
    <row r="58" spans="1:11">
      <c r="A58" s="33" t="s">
        <v>159</v>
      </c>
      <c r="B58" s="33" t="s">
        <v>45</v>
      </c>
      <c r="C58" s="33" t="s">
        <v>733</v>
      </c>
      <c r="D58" s="33" t="s">
        <v>98</v>
      </c>
      <c r="E58" s="33" t="s">
        <v>29</v>
      </c>
      <c r="F58" s="33">
        <v>1</v>
      </c>
      <c r="G58" s="33" t="s">
        <v>609</v>
      </c>
      <c r="H58">
        <v>1</v>
      </c>
      <c r="I58" s="33" t="s">
        <v>732</v>
      </c>
      <c r="J58" s="33" t="str">
        <f t="shared" si="3"/>
        <v>2013-15Inverclyde</v>
      </c>
      <c r="K58" s="33">
        <v>58.04</v>
      </c>
    </row>
    <row r="59" spans="1:11">
      <c r="A59" s="33" t="s">
        <v>159</v>
      </c>
      <c r="B59" s="33" t="s">
        <v>45</v>
      </c>
      <c r="C59" s="33" t="s">
        <v>733</v>
      </c>
      <c r="D59" s="33" t="s">
        <v>97</v>
      </c>
      <c r="E59" s="33" t="s">
        <v>30</v>
      </c>
      <c r="F59" s="33">
        <v>1</v>
      </c>
      <c r="G59" s="33" t="s">
        <v>609</v>
      </c>
      <c r="H59">
        <v>1</v>
      </c>
      <c r="I59" s="33" t="s">
        <v>732</v>
      </c>
      <c r="J59" s="33" t="str">
        <f t="shared" si="3"/>
        <v>2013-15Midlothian</v>
      </c>
      <c r="K59" s="33">
        <v>62.19</v>
      </c>
    </row>
    <row r="60" spans="1:11">
      <c r="A60" s="33" t="s">
        <v>159</v>
      </c>
      <c r="B60" s="33" t="s">
        <v>45</v>
      </c>
      <c r="C60" s="33" t="s">
        <v>733</v>
      </c>
      <c r="D60" s="33" t="s">
        <v>96</v>
      </c>
      <c r="E60" s="33" t="s">
        <v>31</v>
      </c>
      <c r="F60" s="33">
        <v>1</v>
      </c>
      <c r="G60" s="33" t="s">
        <v>609</v>
      </c>
      <c r="H60">
        <v>1</v>
      </c>
      <c r="I60" s="33" t="s">
        <v>732</v>
      </c>
      <c r="J60" s="33" t="str">
        <f t="shared" si="3"/>
        <v>2013-15Moray</v>
      </c>
      <c r="K60" s="33">
        <v>66.37</v>
      </c>
    </row>
    <row r="61" spans="1:11">
      <c r="A61" s="33" t="s">
        <v>159</v>
      </c>
      <c r="B61" s="33" t="s">
        <v>45</v>
      </c>
      <c r="C61" s="33" t="s">
        <v>733</v>
      </c>
      <c r="D61" s="33" t="s">
        <v>94</v>
      </c>
      <c r="E61" s="33" t="s">
        <v>33</v>
      </c>
      <c r="F61" s="33">
        <v>1</v>
      </c>
      <c r="G61" s="33" t="s">
        <v>609</v>
      </c>
      <c r="H61">
        <v>1</v>
      </c>
      <c r="I61" s="33" t="s">
        <v>732</v>
      </c>
      <c r="J61" s="33" t="str">
        <f t="shared" si="3"/>
        <v>2013-15North Ayrshire</v>
      </c>
      <c r="K61" s="33">
        <v>58.54</v>
      </c>
    </row>
    <row r="62" spans="1:11">
      <c r="A62" s="33" t="s">
        <v>159</v>
      </c>
      <c r="B62" s="33" t="s">
        <v>45</v>
      </c>
      <c r="C62" s="33" t="s">
        <v>733</v>
      </c>
      <c r="D62" s="33" t="s">
        <v>92</v>
      </c>
      <c r="E62" s="33" t="s">
        <v>35</v>
      </c>
      <c r="F62" s="33">
        <v>1</v>
      </c>
      <c r="G62" s="33" t="s">
        <v>609</v>
      </c>
      <c r="H62">
        <v>1</v>
      </c>
      <c r="I62" s="33" t="s">
        <v>732</v>
      </c>
      <c r="J62" s="33" t="str">
        <f t="shared" si="3"/>
        <v>2013-15Orkney Islands</v>
      </c>
      <c r="K62" s="33">
        <v>66.900000000000006</v>
      </c>
    </row>
    <row r="63" spans="1:11">
      <c r="A63" s="33" t="s">
        <v>159</v>
      </c>
      <c r="B63" s="33" t="s">
        <v>45</v>
      </c>
      <c r="C63" s="33" t="s">
        <v>733</v>
      </c>
      <c r="D63" s="33" t="s">
        <v>89</v>
      </c>
      <c r="E63" s="33" t="s">
        <v>38</v>
      </c>
      <c r="F63" s="33">
        <v>1</v>
      </c>
      <c r="G63" s="33" t="s">
        <v>609</v>
      </c>
      <c r="H63">
        <v>1</v>
      </c>
      <c r="I63" s="33" t="s">
        <v>732</v>
      </c>
      <c r="J63" s="33" t="str">
        <f t="shared" si="3"/>
        <v>2013-15Scottish Borders</v>
      </c>
      <c r="K63" s="33">
        <v>65.02</v>
      </c>
    </row>
    <row r="64" spans="1:11">
      <c r="A64" s="33" t="s">
        <v>159</v>
      </c>
      <c r="B64" s="33" t="s">
        <v>45</v>
      </c>
      <c r="C64" s="33" t="s">
        <v>733</v>
      </c>
      <c r="D64" s="33" t="s">
        <v>88</v>
      </c>
      <c r="E64" s="33" t="s">
        <v>39</v>
      </c>
      <c r="F64" s="33">
        <v>1</v>
      </c>
      <c r="G64" s="33" t="s">
        <v>609</v>
      </c>
      <c r="H64">
        <v>1</v>
      </c>
      <c r="I64" s="33" t="s">
        <v>732</v>
      </c>
      <c r="J64" s="33" t="str">
        <f t="shared" si="3"/>
        <v>2013-15Shetland Islands</v>
      </c>
      <c r="K64" s="33">
        <v>65.45</v>
      </c>
    </row>
    <row r="65" spans="1:11">
      <c r="A65" s="33" t="s">
        <v>159</v>
      </c>
      <c r="B65" s="33" t="s">
        <v>45</v>
      </c>
      <c r="C65" s="33" t="s">
        <v>733</v>
      </c>
      <c r="D65" s="33" t="s">
        <v>87</v>
      </c>
      <c r="E65" s="33" t="s">
        <v>40</v>
      </c>
      <c r="F65" s="33">
        <v>1</v>
      </c>
      <c r="G65" s="33" t="s">
        <v>609</v>
      </c>
      <c r="H65">
        <v>1</v>
      </c>
      <c r="I65" s="33" t="s">
        <v>732</v>
      </c>
      <c r="J65" s="33" t="str">
        <f t="shared" si="3"/>
        <v>2013-15South Ayrshire</v>
      </c>
      <c r="K65" s="33">
        <v>62.5</v>
      </c>
    </row>
    <row r="66" spans="1:11">
      <c r="A66" s="33" t="s">
        <v>159</v>
      </c>
      <c r="B66" s="33" t="s">
        <v>45</v>
      </c>
      <c r="C66" s="33" t="s">
        <v>733</v>
      </c>
      <c r="D66" s="33" t="s">
        <v>86</v>
      </c>
      <c r="E66" s="33" t="s">
        <v>41</v>
      </c>
      <c r="F66" s="33">
        <v>1</v>
      </c>
      <c r="G66" s="33" t="s">
        <v>609</v>
      </c>
      <c r="H66">
        <v>1</v>
      </c>
      <c r="I66" s="33" t="s">
        <v>732</v>
      </c>
      <c r="J66" s="33" t="str">
        <f t="shared" si="3"/>
        <v>2013-15South Lanarkshire</v>
      </c>
      <c r="K66" s="33">
        <v>60.15</v>
      </c>
    </row>
    <row r="67" spans="1:11">
      <c r="A67" s="33" t="s">
        <v>159</v>
      </c>
      <c r="B67" s="33" t="s">
        <v>45</v>
      </c>
      <c r="C67" s="33" t="s">
        <v>733</v>
      </c>
      <c r="D67" s="33" t="s">
        <v>85</v>
      </c>
      <c r="E67" s="33" t="s">
        <v>42</v>
      </c>
      <c r="F67" s="33">
        <v>1</v>
      </c>
      <c r="G67" s="33" t="s">
        <v>609</v>
      </c>
      <c r="H67">
        <v>1</v>
      </c>
      <c r="I67" s="33" t="s">
        <v>732</v>
      </c>
      <c r="J67" s="33" t="str">
        <f t="shared" si="3"/>
        <v>2013-15Stirling</v>
      </c>
      <c r="K67" s="33">
        <v>64.88</v>
      </c>
    </row>
    <row r="68" spans="1:11">
      <c r="A68" s="33" t="s">
        <v>159</v>
      </c>
      <c r="B68" s="33" t="s">
        <v>45</v>
      </c>
      <c r="C68" s="33" t="s">
        <v>733</v>
      </c>
      <c r="D68" s="33" t="s">
        <v>114</v>
      </c>
      <c r="E68" s="33" t="s">
        <v>14</v>
      </c>
      <c r="F68" s="33">
        <v>1</v>
      </c>
      <c r="G68" s="33" t="s">
        <v>609</v>
      </c>
      <c r="H68">
        <v>1</v>
      </c>
      <c r="I68" s="33" t="s">
        <v>732</v>
      </c>
      <c r="J68" s="33" t="str">
        <f t="shared" si="3"/>
        <v>2013-15Aberdeen City</v>
      </c>
      <c r="K68" s="33">
        <v>63.98</v>
      </c>
    </row>
    <row r="69" spans="1:11">
      <c r="A69" s="33" t="s">
        <v>159</v>
      </c>
      <c r="B69" s="33" t="s">
        <v>45</v>
      </c>
      <c r="C69" s="33" t="s">
        <v>733</v>
      </c>
      <c r="D69" s="33" t="s">
        <v>113</v>
      </c>
      <c r="E69" s="33" t="s">
        <v>15</v>
      </c>
      <c r="F69" s="33">
        <v>1</v>
      </c>
      <c r="G69" s="33" t="s">
        <v>609</v>
      </c>
      <c r="H69">
        <v>1</v>
      </c>
      <c r="I69" s="33" t="s">
        <v>732</v>
      </c>
      <c r="J69" s="33" t="str">
        <f t="shared" si="3"/>
        <v>2013-15Aberdeenshire</v>
      </c>
      <c r="K69" s="33">
        <v>65.63</v>
      </c>
    </row>
    <row r="70" spans="1:11">
      <c r="A70" s="33" t="s">
        <v>159</v>
      </c>
      <c r="B70" s="33" t="s">
        <v>45</v>
      </c>
      <c r="C70" s="33" t="s">
        <v>733</v>
      </c>
      <c r="D70" s="33" t="s">
        <v>111</v>
      </c>
      <c r="E70" s="33" t="s">
        <v>17</v>
      </c>
      <c r="F70" s="33">
        <v>1</v>
      </c>
      <c r="G70" s="33" t="s">
        <v>609</v>
      </c>
      <c r="H70">
        <v>1</v>
      </c>
      <c r="I70" s="33" t="s">
        <v>732</v>
      </c>
      <c r="J70" s="33" t="str">
        <f t="shared" si="3"/>
        <v>2013-15Argyll and Bute</v>
      </c>
      <c r="K70" s="33">
        <v>63.4</v>
      </c>
    </row>
    <row r="71" spans="1:11">
      <c r="A71" s="33" t="s">
        <v>159</v>
      </c>
      <c r="B71" s="33" t="s">
        <v>45</v>
      </c>
      <c r="C71" s="33" t="s">
        <v>733</v>
      </c>
      <c r="D71" s="33" t="s">
        <v>110</v>
      </c>
      <c r="E71" s="33" t="s">
        <v>586</v>
      </c>
      <c r="F71" s="33">
        <v>1</v>
      </c>
      <c r="G71" s="33" t="s">
        <v>609</v>
      </c>
      <c r="H71">
        <v>1</v>
      </c>
      <c r="I71" s="33" t="s">
        <v>732</v>
      </c>
      <c r="J71" s="33" t="str">
        <f t="shared" si="3"/>
        <v>2013-15City of Edinburgh</v>
      </c>
      <c r="K71" s="33">
        <v>64.89</v>
      </c>
    </row>
    <row r="72" spans="1:11">
      <c r="A72" s="33" t="s">
        <v>159</v>
      </c>
      <c r="B72" s="33" t="s">
        <v>45</v>
      </c>
      <c r="C72" s="33" t="s">
        <v>733</v>
      </c>
      <c r="D72" s="33" t="s">
        <v>90</v>
      </c>
      <c r="E72" s="33" t="s">
        <v>37</v>
      </c>
      <c r="F72" s="33">
        <v>1</v>
      </c>
      <c r="G72" s="33" t="s">
        <v>609</v>
      </c>
      <c r="H72">
        <v>1</v>
      </c>
      <c r="I72" s="33" t="s">
        <v>732</v>
      </c>
      <c r="J72" s="33" t="str">
        <f t="shared" si="3"/>
        <v>2013-15Renfrewshire</v>
      </c>
      <c r="K72" s="33">
        <v>60.47</v>
      </c>
    </row>
    <row r="73" spans="1:11">
      <c r="A73" s="33" t="s">
        <v>159</v>
      </c>
      <c r="B73" s="33" t="s">
        <v>45</v>
      </c>
      <c r="C73" s="33" t="s">
        <v>733</v>
      </c>
      <c r="D73" s="33" t="s">
        <v>84</v>
      </c>
      <c r="E73" s="33" t="s">
        <v>43</v>
      </c>
      <c r="F73" s="33">
        <v>1</v>
      </c>
      <c r="G73" s="33" t="s">
        <v>609</v>
      </c>
      <c r="H73">
        <v>1</v>
      </c>
      <c r="I73" s="33" t="s">
        <v>732</v>
      </c>
      <c r="J73" s="33" t="str">
        <f t="shared" si="3"/>
        <v>2013-15West Dunbartonshire</v>
      </c>
      <c r="K73" s="33">
        <v>56.72</v>
      </c>
    </row>
    <row r="74" spans="1:11">
      <c r="A74" s="33" t="s">
        <v>159</v>
      </c>
      <c r="B74" s="33" t="s">
        <v>45</v>
      </c>
      <c r="C74" s="33" t="s">
        <v>733</v>
      </c>
      <c r="D74" s="33" t="s">
        <v>83</v>
      </c>
      <c r="E74" s="33" t="s">
        <v>44</v>
      </c>
      <c r="F74" s="33">
        <v>1</v>
      </c>
      <c r="G74" s="33" t="s">
        <v>609</v>
      </c>
      <c r="H74">
        <v>1</v>
      </c>
      <c r="I74" s="33" t="s">
        <v>732</v>
      </c>
      <c r="J74" s="33" t="str">
        <f t="shared" si="3"/>
        <v>2013-15West Lothian</v>
      </c>
      <c r="K74" s="33">
        <v>62.45</v>
      </c>
    </row>
    <row r="75" spans="1:11">
      <c r="A75" s="33" t="s">
        <v>159</v>
      </c>
      <c r="B75" s="33" t="s">
        <v>45</v>
      </c>
      <c r="C75" s="33" t="s">
        <v>733</v>
      </c>
      <c r="D75" s="33" t="s">
        <v>112</v>
      </c>
      <c r="E75" s="33" t="s">
        <v>16</v>
      </c>
      <c r="F75" s="33">
        <v>1</v>
      </c>
      <c r="G75" s="33" t="s">
        <v>609</v>
      </c>
      <c r="H75">
        <v>1</v>
      </c>
      <c r="I75" s="33" t="s">
        <v>732</v>
      </c>
      <c r="J75" s="33" t="str">
        <f t="shared" si="3"/>
        <v>2013-15Angus</v>
      </c>
      <c r="K75" s="33">
        <v>65.260000000000005</v>
      </c>
    </row>
    <row r="76" spans="1:11">
      <c r="A76" s="33" t="s">
        <v>159</v>
      </c>
      <c r="B76" s="33" t="s">
        <v>45</v>
      </c>
      <c r="C76" s="33" t="s">
        <v>733</v>
      </c>
      <c r="D76" s="33" t="s">
        <v>107</v>
      </c>
      <c r="E76" s="33" t="s">
        <v>20</v>
      </c>
      <c r="F76" s="33">
        <v>1</v>
      </c>
      <c r="G76" s="33" t="s">
        <v>609</v>
      </c>
      <c r="H76">
        <v>1</v>
      </c>
      <c r="I76" s="33" t="s">
        <v>732</v>
      </c>
      <c r="J76" s="33" t="str">
        <f t="shared" si="3"/>
        <v>2013-15Dundee City</v>
      </c>
      <c r="K76" s="33">
        <v>57.82</v>
      </c>
    </row>
    <row r="77" spans="1:11">
      <c r="A77" s="33" t="s">
        <v>159</v>
      </c>
      <c r="B77" s="33" t="s">
        <v>45</v>
      </c>
      <c r="C77" s="33" t="s">
        <v>733</v>
      </c>
      <c r="D77" s="33" t="s">
        <v>105</v>
      </c>
      <c r="E77" s="33" t="s">
        <v>22</v>
      </c>
      <c r="F77" s="33">
        <v>1</v>
      </c>
      <c r="G77" s="33" t="s">
        <v>609</v>
      </c>
      <c r="H77">
        <v>1</v>
      </c>
      <c r="I77" s="33" t="s">
        <v>732</v>
      </c>
      <c r="J77" s="33" t="str">
        <f t="shared" si="3"/>
        <v>2013-15East Dunbartonshire</v>
      </c>
      <c r="K77" s="33">
        <v>64.87</v>
      </c>
    </row>
    <row r="78" spans="1:11">
      <c r="A78" s="33" t="s">
        <v>159</v>
      </c>
      <c r="B78" s="33" t="s">
        <v>45</v>
      </c>
      <c r="C78" s="33" t="s">
        <v>733</v>
      </c>
      <c r="D78" s="33" t="s">
        <v>101</v>
      </c>
      <c r="E78" s="33" t="s">
        <v>26</v>
      </c>
      <c r="F78" s="33">
        <v>1</v>
      </c>
      <c r="G78" s="33" t="s">
        <v>609</v>
      </c>
      <c r="H78">
        <v>1</v>
      </c>
      <c r="I78" s="33" t="s">
        <v>732</v>
      </c>
      <c r="J78" s="33" t="str">
        <f t="shared" si="3"/>
        <v>2013-15Fife</v>
      </c>
      <c r="K78" s="33">
        <v>61.63</v>
      </c>
    </row>
    <row r="79" spans="1:11">
      <c r="A79" s="33" t="s">
        <v>159</v>
      </c>
      <c r="B79" s="33" t="s">
        <v>45</v>
      </c>
      <c r="C79" s="33" t="s">
        <v>733</v>
      </c>
      <c r="D79" s="33" t="s">
        <v>91</v>
      </c>
      <c r="E79" s="33" t="s">
        <v>36</v>
      </c>
      <c r="F79" s="33">
        <v>1</v>
      </c>
      <c r="G79" s="33" t="s">
        <v>609</v>
      </c>
      <c r="H79">
        <v>1</v>
      </c>
      <c r="I79" s="33" t="s">
        <v>732</v>
      </c>
      <c r="J79" s="33" t="str">
        <f t="shared" si="3"/>
        <v>2013-15Perth and Kinross</v>
      </c>
      <c r="K79" s="33">
        <v>66.599999999999994</v>
      </c>
    </row>
    <row r="80" spans="1:11">
      <c r="A80" s="33" t="s">
        <v>159</v>
      </c>
      <c r="B80" s="33" t="s">
        <v>45</v>
      </c>
      <c r="C80" s="33" t="s">
        <v>733</v>
      </c>
      <c r="D80" s="33" t="s">
        <v>163</v>
      </c>
      <c r="E80" s="33" t="s">
        <v>27</v>
      </c>
      <c r="F80" s="33">
        <v>1</v>
      </c>
      <c r="G80" s="33" t="s">
        <v>609</v>
      </c>
      <c r="H80">
        <v>1</v>
      </c>
      <c r="I80" s="33" t="s">
        <v>732</v>
      </c>
      <c r="J80" s="33" t="str">
        <f t="shared" si="3"/>
        <v>2013-15Glasgow City</v>
      </c>
      <c r="K80" s="33">
        <v>55.92</v>
      </c>
    </row>
    <row r="81" spans="1:11">
      <c r="A81" s="33" t="s">
        <v>159</v>
      </c>
      <c r="B81" s="33" t="s">
        <v>45</v>
      </c>
      <c r="C81" s="33" t="s">
        <v>733</v>
      </c>
      <c r="D81" s="33" t="s">
        <v>162</v>
      </c>
      <c r="E81" s="33" t="s">
        <v>34</v>
      </c>
      <c r="F81" s="33">
        <v>1</v>
      </c>
      <c r="G81" s="33" t="s">
        <v>609</v>
      </c>
      <c r="H81">
        <v>1</v>
      </c>
      <c r="I81" s="33" t="s">
        <v>732</v>
      </c>
      <c r="J81" s="33" t="str">
        <f t="shared" si="3"/>
        <v>2013-15North Lanarkshire</v>
      </c>
      <c r="K81" s="33">
        <v>58.05</v>
      </c>
    </row>
    <row r="82" spans="1:11">
      <c r="A82" s="33" t="s">
        <v>159</v>
      </c>
      <c r="B82" s="33" t="s">
        <v>45</v>
      </c>
      <c r="C82" s="33" t="s">
        <v>725</v>
      </c>
      <c r="D82" s="33" t="s">
        <v>488</v>
      </c>
      <c r="E82" s="33" t="s">
        <v>45</v>
      </c>
      <c r="F82" s="33">
        <v>1</v>
      </c>
      <c r="G82" s="33" t="s">
        <v>609</v>
      </c>
      <c r="H82">
        <v>1</v>
      </c>
      <c r="I82" s="33" t="s">
        <v>732</v>
      </c>
      <c r="J82" s="33" t="str">
        <f t="shared" si="3"/>
        <v>2013-15Scotland</v>
      </c>
      <c r="K82" s="33">
        <v>61.83</v>
      </c>
    </row>
    <row r="83" spans="1:11">
      <c r="A83" s="33" t="s">
        <v>158</v>
      </c>
      <c r="B83" s="33" t="s">
        <v>46</v>
      </c>
      <c r="C83" s="33" t="s">
        <v>725</v>
      </c>
      <c r="D83" s="33" t="s">
        <v>608</v>
      </c>
      <c r="E83" s="33" t="s">
        <v>46</v>
      </c>
      <c r="F83" s="33">
        <v>1</v>
      </c>
      <c r="G83" s="33" t="s">
        <v>609</v>
      </c>
      <c r="H83">
        <v>1</v>
      </c>
      <c r="I83" s="33" t="s">
        <v>732</v>
      </c>
      <c r="J83" s="33" t="str">
        <f t="shared" si="3"/>
        <v>2014-16United Kingdom</v>
      </c>
      <c r="K83" s="33">
        <v>63.04</v>
      </c>
    </row>
    <row r="84" spans="1:11">
      <c r="A84" s="33" t="s">
        <v>158</v>
      </c>
      <c r="B84" s="33" t="s">
        <v>45</v>
      </c>
      <c r="C84" s="33" t="s">
        <v>733</v>
      </c>
      <c r="D84" s="33" t="s">
        <v>109</v>
      </c>
      <c r="E84" s="33" t="s">
        <v>18</v>
      </c>
      <c r="F84" s="33">
        <v>1</v>
      </c>
      <c r="G84" s="33" t="s">
        <v>609</v>
      </c>
      <c r="H84">
        <v>1</v>
      </c>
      <c r="I84" s="33" t="s">
        <v>732</v>
      </c>
      <c r="J84" s="33" t="str">
        <f t="shared" si="3"/>
        <v>2014-16Clackmannanshire</v>
      </c>
      <c r="K84" s="33">
        <v>58.95</v>
      </c>
    </row>
    <row r="85" spans="1:11">
      <c r="A85" s="33" t="s">
        <v>158</v>
      </c>
      <c r="B85" s="33" t="s">
        <v>45</v>
      </c>
      <c r="C85" s="33" t="s">
        <v>733</v>
      </c>
      <c r="D85" s="33" t="s">
        <v>108</v>
      </c>
      <c r="E85" s="33" t="s">
        <v>19</v>
      </c>
      <c r="F85" s="33">
        <v>1</v>
      </c>
      <c r="G85" s="33" t="s">
        <v>609</v>
      </c>
      <c r="H85">
        <v>1</v>
      </c>
      <c r="I85" s="33" t="s">
        <v>732</v>
      </c>
      <c r="J85" s="33" t="str">
        <f t="shared" si="3"/>
        <v>2014-16Dumfries and Galloway</v>
      </c>
      <c r="K85" s="33">
        <v>64.53</v>
      </c>
    </row>
    <row r="86" spans="1:11">
      <c r="A86" s="33" t="s">
        <v>158</v>
      </c>
      <c r="B86" s="33" t="s">
        <v>45</v>
      </c>
      <c r="C86" s="33" t="s">
        <v>733</v>
      </c>
      <c r="D86" s="33" t="s">
        <v>106</v>
      </c>
      <c r="E86" s="33" t="s">
        <v>21</v>
      </c>
      <c r="F86" s="33">
        <v>1</v>
      </c>
      <c r="G86" s="33" t="s">
        <v>609</v>
      </c>
      <c r="H86">
        <v>1</v>
      </c>
      <c r="I86" s="33" t="s">
        <v>732</v>
      </c>
      <c r="J86" s="33" t="str">
        <f t="shared" si="3"/>
        <v>2014-16East Ayrshire</v>
      </c>
      <c r="K86" s="33">
        <v>59.07</v>
      </c>
    </row>
    <row r="87" spans="1:11">
      <c r="A87" s="33" t="s">
        <v>158</v>
      </c>
      <c r="B87" s="33" t="s">
        <v>45</v>
      </c>
      <c r="C87" s="33" t="s">
        <v>733</v>
      </c>
      <c r="D87" s="33" t="s">
        <v>104</v>
      </c>
      <c r="E87" s="33" t="s">
        <v>23</v>
      </c>
      <c r="F87" s="33">
        <v>1</v>
      </c>
      <c r="G87" s="33" t="s">
        <v>609</v>
      </c>
      <c r="H87">
        <v>1</v>
      </c>
      <c r="I87" s="33" t="s">
        <v>732</v>
      </c>
      <c r="J87" s="33" t="str">
        <f t="shared" si="3"/>
        <v>2014-16East Lothian</v>
      </c>
      <c r="K87" s="33">
        <v>66.11</v>
      </c>
    </row>
    <row r="88" spans="1:11">
      <c r="A88" s="33" t="s">
        <v>158</v>
      </c>
      <c r="B88" s="33" t="s">
        <v>45</v>
      </c>
      <c r="C88" s="33" t="s">
        <v>733</v>
      </c>
      <c r="D88" s="33" t="s">
        <v>103</v>
      </c>
      <c r="E88" s="33" t="s">
        <v>24</v>
      </c>
      <c r="F88" s="33">
        <v>1</v>
      </c>
      <c r="G88" s="33" t="s">
        <v>609</v>
      </c>
      <c r="H88">
        <v>1</v>
      </c>
      <c r="I88" s="33" t="s">
        <v>732</v>
      </c>
      <c r="J88" s="33" t="str">
        <f t="shared" si="3"/>
        <v>2014-16East Renfrewshire</v>
      </c>
      <c r="K88" s="33">
        <v>65.86</v>
      </c>
    </row>
    <row r="89" spans="1:11">
      <c r="A89" s="33" t="s">
        <v>158</v>
      </c>
      <c r="B89" s="33" t="s">
        <v>45</v>
      </c>
      <c r="C89" s="33" t="s">
        <v>733</v>
      </c>
      <c r="D89" s="33" t="s">
        <v>95</v>
      </c>
      <c r="E89" s="33" t="s">
        <v>32</v>
      </c>
      <c r="F89" s="33">
        <v>1</v>
      </c>
      <c r="G89" s="33" t="s">
        <v>609</v>
      </c>
      <c r="H89">
        <v>1</v>
      </c>
      <c r="I89" s="33" t="s">
        <v>732</v>
      </c>
      <c r="J89" s="33" t="str">
        <f t="shared" si="3"/>
        <v>2014-16Na h-Eileanan Siar</v>
      </c>
      <c r="K89" s="33">
        <v>64.98</v>
      </c>
    </row>
    <row r="90" spans="1:11">
      <c r="A90" s="33" t="s">
        <v>158</v>
      </c>
      <c r="B90" s="33" t="s">
        <v>45</v>
      </c>
      <c r="C90" s="33" t="s">
        <v>733</v>
      </c>
      <c r="D90" s="33" t="s">
        <v>102</v>
      </c>
      <c r="E90" s="33" t="s">
        <v>25</v>
      </c>
      <c r="F90" s="33">
        <v>1</v>
      </c>
      <c r="G90" s="33" t="s">
        <v>609</v>
      </c>
      <c r="H90">
        <v>1</v>
      </c>
      <c r="I90" s="33" t="s">
        <v>732</v>
      </c>
      <c r="J90" s="33" t="str">
        <f t="shared" si="3"/>
        <v>2014-16Falkirk</v>
      </c>
      <c r="K90" s="33">
        <v>61.28</v>
      </c>
    </row>
    <row r="91" spans="1:11">
      <c r="A91" s="33" t="s">
        <v>158</v>
      </c>
      <c r="B91" s="33" t="s">
        <v>45</v>
      </c>
      <c r="C91" s="33" t="s">
        <v>733</v>
      </c>
      <c r="D91" s="33" t="s">
        <v>99</v>
      </c>
      <c r="E91" s="33" t="s">
        <v>28</v>
      </c>
      <c r="F91" s="33">
        <v>1</v>
      </c>
      <c r="G91" s="33" t="s">
        <v>609</v>
      </c>
      <c r="H91">
        <v>1</v>
      </c>
      <c r="I91" s="33" t="s">
        <v>732</v>
      </c>
      <c r="J91" s="33" t="str">
        <f t="shared" si="3"/>
        <v>2014-16Highland</v>
      </c>
      <c r="K91" s="33">
        <v>65.239999999999995</v>
      </c>
    </row>
    <row r="92" spans="1:11">
      <c r="A92" s="33" t="s">
        <v>158</v>
      </c>
      <c r="B92" s="33" t="s">
        <v>45</v>
      </c>
      <c r="C92" s="33" t="s">
        <v>733</v>
      </c>
      <c r="D92" s="33" t="s">
        <v>98</v>
      </c>
      <c r="E92" s="33" t="s">
        <v>29</v>
      </c>
      <c r="F92" s="33">
        <v>1</v>
      </c>
      <c r="G92" s="33" t="s">
        <v>609</v>
      </c>
      <c r="H92">
        <v>1</v>
      </c>
      <c r="I92" s="33" t="s">
        <v>732</v>
      </c>
      <c r="J92" s="33" t="str">
        <f t="shared" si="3"/>
        <v>2014-16Inverclyde</v>
      </c>
      <c r="K92" s="33">
        <v>59.59</v>
      </c>
    </row>
    <row r="93" spans="1:11">
      <c r="A93" s="33" t="s">
        <v>158</v>
      </c>
      <c r="B93" s="33" t="s">
        <v>45</v>
      </c>
      <c r="C93" s="33" t="s">
        <v>733</v>
      </c>
      <c r="D93" s="33" t="s">
        <v>97</v>
      </c>
      <c r="E93" s="33" t="s">
        <v>30</v>
      </c>
      <c r="F93" s="33">
        <v>1</v>
      </c>
      <c r="G93" s="33" t="s">
        <v>609</v>
      </c>
      <c r="H93">
        <v>1</v>
      </c>
      <c r="I93" s="33" t="s">
        <v>732</v>
      </c>
      <c r="J93" s="33" t="str">
        <f t="shared" si="3"/>
        <v>2014-16Midlothian</v>
      </c>
      <c r="K93" s="33">
        <v>61.71</v>
      </c>
    </row>
    <row r="94" spans="1:11">
      <c r="A94" s="33" t="s">
        <v>158</v>
      </c>
      <c r="B94" s="33" t="s">
        <v>45</v>
      </c>
      <c r="C94" s="33" t="s">
        <v>733</v>
      </c>
      <c r="D94" s="33" t="s">
        <v>96</v>
      </c>
      <c r="E94" s="33" t="s">
        <v>31</v>
      </c>
      <c r="F94" s="33">
        <v>1</v>
      </c>
      <c r="G94" s="33" t="s">
        <v>609</v>
      </c>
      <c r="H94">
        <v>1</v>
      </c>
      <c r="I94" s="33" t="s">
        <v>732</v>
      </c>
      <c r="J94" s="33" t="str">
        <f t="shared" si="3"/>
        <v>2014-16Moray</v>
      </c>
      <c r="K94" s="33">
        <v>65.61</v>
      </c>
    </row>
    <row r="95" spans="1:11">
      <c r="A95" s="33" t="s">
        <v>158</v>
      </c>
      <c r="B95" s="33" t="s">
        <v>45</v>
      </c>
      <c r="C95" s="33" t="s">
        <v>733</v>
      </c>
      <c r="D95" s="33" t="s">
        <v>94</v>
      </c>
      <c r="E95" s="33" t="s">
        <v>33</v>
      </c>
      <c r="F95" s="33">
        <v>1</v>
      </c>
      <c r="G95" s="33" t="s">
        <v>609</v>
      </c>
      <c r="H95">
        <v>1</v>
      </c>
      <c r="I95" s="33" t="s">
        <v>732</v>
      </c>
      <c r="J95" s="33" t="str">
        <f t="shared" si="3"/>
        <v>2014-16North Ayrshire</v>
      </c>
      <c r="K95" s="33">
        <v>56.32</v>
      </c>
    </row>
    <row r="96" spans="1:11">
      <c r="A96" s="33" t="s">
        <v>158</v>
      </c>
      <c r="B96" s="33" t="s">
        <v>45</v>
      </c>
      <c r="C96" s="33" t="s">
        <v>733</v>
      </c>
      <c r="D96" s="33" t="s">
        <v>92</v>
      </c>
      <c r="E96" s="33" t="s">
        <v>35</v>
      </c>
      <c r="F96" s="33">
        <v>1</v>
      </c>
      <c r="G96" s="33" t="s">
        <v>609</v>
      </c>
      <c r="H96">
        <v>1</v>
      </c>
      <c r="I96" s="33" t="s">
        <v>732</v>
      </c>
      <c r="J96" s="33" t="str">
        <f t="shared" si="3"/>
        <v>2014-16Orkney Islands</v>
      </c>
      <c r="K96" s="33">
        <v>68.040000000000006</v>
      </c>
    </row>
    <row r="97" spans="1:11">
      <c r="A97" s="33" t="s">
        <v>158</v>
      </c>
      <c r="B97" s="33" t="s">
        <v>45</v>
      </c>
      <c r="C97" s="33" t="s">
        <v>733</v>
      </c>
      <c r="D97" s="33" t="s">
        <v>89</v>
      </c>
      <c r="E97" s="33" t="s">
        <v>38</v>
      </c>
      <c r="F97" s="33">
        <v>1</v>
      </c>
      <c r="G97" s="33" t="s">
        <v>609</v>
      </c>
      <c r="H97">
        <v>1</v>
      </c>
      <c r="I97" s="33" t="s">
        <v>732</v>
      </c>
      <c r="J97" s="33" t="str">
        <f t="shared" si="3"/>
        <v>2014-16Scottish Borders</v>
      </c>
      <c r="K97" s="33">
        <v>64.819999999999993</v>
      </c>
    </row>
    <row r="98" spans="1:11">
      <c r="A98" s="33" t="s">
        <v>158</v>
      </c>
      <c r="B98" s="33" t="s">
        <v>45</v>
      </c>
      <c r="C98" s="33" t="s">
        <v>733</v>
      </c>
      <c r="D98" s="33" t="s">
        <v>88</v>
      </c>
      <c r="E98" s="33" t="s">
        <v>39</v>
      </c>
      <c r="F98" s="33">
        <v>1</v>
      </c>
      <c r="G98" s="33" t="s">
        <v>609</v>
      </c>
      <c r="H98">
        <v>1</v>
      </c>
      <c r="I98" s="33" t="s">
        <v>732</v>
      </c>
      <c r="J98" s="33" t="str">
        <f t="shared" si="3"/>
        <v>2014-16Shetland Islands</v>
      </c>
      <c r="K98" s="33">
        <v>67.650000000000006</v>
      </c>
    </row>
    <row r="99" spans="1:11">
      <c r="A99" s="33" t="s">
        <v>158</v>
      </c>
      <c r="B99" s="33" t="s">
        <v>45</v>
      </c>
      <c r="C99" s="33" t="s">
        <v>733</v>
      </c>
      <c r="D99" s="33" t="s">
        <v>87</v>
      </c>
      <c r="E99" s="33" t="s">
        <v>40</v>
      </c>
      <c r="F99" s="33">
        <v>1</v>
      </c>
      <c r="G99" s="33" t="s">
        <v>609</v>
      </c>
      <c r="H99">
        <v>1</v>
      </c>
      <c r="I99" s="33" t="s">
        <v>732</v>
      </c>
      <c r="J99" s="33" t="str">
        <f t="shared" si="3"/>
        <v>2014-16South Ayrshire</v>
      </c>
      <c r="K99" s="33">
        <v>62.43</v>
      </c>
    </row>
    <row r="100" spans="1:11">
      <c r="A100" s="33" t="s">
        <v>158</v>
      </c>
      <c r="B100" s="33" t="s">
        <v>45</v>
      </c>
      <c r="C100" s="33" t="s">
        <v>733</v>
      </c>
      <c r="D100" s="33" t="s">
        <v>86</v>
      </c>
      <c r="E100" s="33" t="s">
        <v>41</v>
      </c>
      <c r="F100" s="33">
        <v>1</v>
      </c>
      <c r="G100" s="33" t="s">
        <v>609</v>
      </c>
      <c r="H100">
        <v>1</v>
      </c>
      <c r="I100" s="33" t="s">
        <v>732</v>
      </c>
      <c r="J100" s="33" t="str">
        <f t="shared" si="3"/>
        <v>2014-16South Lanarkshire</v>
      </c>
      <c r="K100" s="33">
        <v>61.25</v>
      </c>
    </row>
    <row r="101" spans="1:11">
      <c r="A101" s="33" t="s">
        <v>158</v>
      </c>
      <c r="B101" s="33" t="s">
        <v>45</v>
      </c>
      <c r="C101" s="33" t="s">
        <v>733</v>
      </c>
      <c r="D101" s="33" t="s">
        <v>85</v>
      </c>
      <c r="E101" s="33" t="s">
        <v>42</v>
      </c>
      <c r="F101" s="33">
        <v>1</v>
      </c>
      <c r="G101" s="33" t="s">
        <v>609</v>
      </c>
      <c r="H101">
        <v>1</v>
      </c>
      <c r="I101" s="33" t="s">
        <v>732</v>
      </c>
      <c r="J101" s="33" t="str">
        <f t="shared" si="3"/>
        <v>2014-16Stirling</v>
      </c>
      <c r="K101" s="33">
        <v>64.72</v>
      </c>
    </row>
    <row r="102" spans="1:11">
      <c r="A102" s="33" t="s">
        <v>158</v>
      </c>
      <c r="B102" s="33" t="s">
        <v>45</v>
      </c>
      <c r="C102" s="33" t="s">
        <v>733</v>
      </c>
      <c r="D102" s="33" t="s">
        <v>114</v>
      </c>
      <c r="E102" s="33" t="s">
        <v>14</v>
      </c>
      <c r="F102" s="33">
        <v>1</v>
      </c>
      <c r="G102" s="33" t="s">
        <v>609</v>
      </c>
      <c r="H102">
        <v>1</v>
      </c>
      <c r="I102" s="33" t="s">
        <v>732</v>
      </c>
      <c r="J102" s="33" t="str">
        <f t="shared" si="3"/>
        <v>2014-16Aberdeen City</v>
      </c>
      <c r="K102" s="33">
        <v>62.78</v>
      </c>
    </row>
    <row r="103" spans="1:11">
      <c r="A103" s="33" t="s">
        <v>158</v>
      </c>
      <c r="B103" s="33" t="s">
        <v>45</v>
      </c>
      <c r="C103" s="33" t="s">
        <v>733</v>
      </c>
      <c r="D103" s="33" t="s">
        <v>113</v>
      </c>
      <c r="E103" s="33" t="s">
        <v>15</v>
      </c>
      <c r="F103" s="33">
        <v>1</v>
      </c>
      <c r="G103" s="33" t="s">
        <v>609</v>
      </c>
      <c r="H103">
        <v>1</v>
      </c>
      <c r="I103" s="33" t="s">
        <v>732</v>
      </c>
      <c r="J103" s="33" t="str">
        <f t="shared" si="3"/>
        <v>2014-16Aberdeenshire</v>
      </c>
      <c r="K103" s="33">
        <v>66.790000000000006</v>
      </c>
    </row>
    <row r="104" spans="1:11">
      <c r="A104" s="33" t="s">
        <v>158</v>
      </c>
      <c r="B104" s="33" t="s">
        <v>45</v>
      </c>
      <c r="C104" s="33" t="s">
        <v>733</v>
      </c>
      <c r="D104" s="33" t="s">
        <v>111</v>
      </c>
      <c r="E104" s="33" t="s">
        <v>17</v>
      </c>
      <c r="F104" s="33">
        <v>1</v>
      </c>
      <c r="G104" s="33" t="s">
        <v>609</v>
      </c>
      <c r="H104">
        <v>1</v>
      </c>
      <c r="I104" s="33" t="s">
        <v>732</v>
      </c>
      <c r="J104" s="33" t="str">
        <f t="shared" si="3"/>
        <v>2014-16Argyll and Bute</v>
      </c>
      <c r="K104" s="33">
        <v>64.33</v>
      </c>
    </row>
    <row r="105" spans="1:11">
      <c r="A105" s="33" t="s">
        <v>158</v>
      </c>
      <c r="B105" s="33" t="s">
        <v>45</v>
      </c>
      <c r="C105" s="33" t="s">
        <v>733</v>
      </c>
      <c r="D105" s="33" t="s">
        <v>110</v>
      </c>
      <c r="E105" s="33" t="s">
        <v>586</v>
      </c>
      <c r="F105" s="33">
        <v>1</v>
      </c>
      <c r="G105" s="33" t="s">
        <v>609</v>
      </c>
      <c r="H105">
        <v>1</v>
      </c>
      <c r="I105" s="33" t="s">
        <v>732</v>
      </c>
      <c r="J105" s="33" t="str">
        <f t="shared" si="3"/>
        <v>2014-16City of Edinburgh</v>
      </c>
      <c r="K105" s="33">
        <v>65.13</v>
      </c>
    </row>
    <row r="106" spans="1:11">
      <c r="A106" s="33" t="s">
        <v>158</v>
      </c>
      <c r="B106" s="33" t="s">
        <v>45</v>
      </c>
      <c r="C106" s="33" t="s">
        <v>733</v>
      </c>
      <c r="D106" s="33" t="s">
        <v>90</v>
      </c>
      <c r="E106" s="33" t="s">
        <v>37</v>
      </c>
      <c r="F106" s="33">
        <v>1</v>
      </c>
      <c r="G106" s="33" t="s">
        <v>609</v>
      </c>
      <c r="H106">
        <v>1</v>
      </c>
      <c r="I106" s="33" t="s">
        <v>732</v>
      </c>
      <c r="J106" s="33" t="str">
        <f t="shared" si="3"/>
        <v>2014-16Renfrewshire</v>
      </c>
      <c r="K106" s="33">
        <v>60.48</v>
      </c>
    </row>
    <row r="107" spans="1:11">
      <c r="A107" s="33" t="s">
        <v>158</v>
      </c>
      <c r="B107" s="33" t="s">
        <v>45</v>
      </c>
      <c r="C107" s="33" t="s">
        <v>733</v>
      </c>
      <c r="D107" s="33" t="s">
        <v>84</v>
      </c>
      <c r="E107" s="33" t="s">
        <v>43</v>
      </c>
      <c r="F107" s="33">
        <v>1</v>
      </c>
      <c r="G107" s="33" t="s">
        <v>609</v>
      </c>
      <c r="H107">
        <v>1</v>
      </c>
      <c r="I107" s="33" t="s">
        <v>732</v>
      </c>
      <c r="J107" s="33" t="str">
        <f t="shared" si="3"/>
        <v>2014-16West Dunbartonshire</v>
      </c>
      <c r="K107" s="33">
        <v>55.63</v>
      </c>
    </row>
    <row r="108" spans="1:11">
      <c r="A108" s="33" t="s">
        <v>158</v>
      </c>
      <c r="B108" s="33" t="s">
        <v>45</v>
      </c>
      <c r="C108" s="33" t="s">
        <v>733</v>
      </c>
      <c r="D108" s="33" t="s">
        <v>83</v>
      </c>
      <c r="E108" s="33" t="s">
        <v>44</v>
      </c>
      <c r="F108" s="33">
        <v>1</v>
      </c>
      <c r="G108" s="33" t="s">
        <v>609</v>
      </c>
      <c r="H108">
        <v>1</v>
      </c>
      <c r="I108" s="33" t="s">
        <v>732</v>
      </c>
      <c r="J108" s="33" t="str">
        <f t="shared" si="3"/>
        <v>2014-16West Lothian</v>
      </c>
      <c r="K108" s="33">
        <v>62.28</v>
      </c>
    </row>
    <row r="109" spans="1:11">
      <c r="A109" s="33" t="s">
        <v>158</v>
      </c>
      <c r="B109" s="33" t="s">
        <v>45</v>
      </c>
      <c r="C109" s="33" t="s">
        <v>733</v>
      </c>
      <c r="D109" s="33" t="s">
        <v>112</v>
      </c>
      <c r="E109" s="33" t="s">
        <v>16</v>
      </c>
      <c r="F109" s="33">
        <v>1</v>
      </c>
      <c r="G109" s="33" t="s">
        <v>609</v>
      </c>
      <c r="H109">
        <v>1</v>
      </c>
      <c r="I109" s="33" t="s">
        <v>732</v>
      </c>
      <c r="J109" s="33" t="str">
        <f t="shared" si="3"/>
        <v>2014-16Angus</v>
      </c>
      <c r="K109" s="33">
        <v>64.290000000000006</v>
      </c>
    </row>
    <row r="110" spans="1:11">
      <c r="A110" s="33" t="s">
        <v>158</v>
      </c>
      <c r="B110" s="33" t="s">
        <v>45</v>
      </c>
      <c r="C110" s="33" t="s">
        <v>733</v>
      </c>
      <c r="D110" s="33" t="s">
        <v>107</v>
      </c>
      <c r="E110" s="33" t="s">
        <v>20</v>
      </c>
      <c r="F110" s="33">
        <v>1</v>
      </c>
      <c r="G110" s="33" t="s">
        <v>609</v>
      </c>
      <c r="H110">
        <v>1</v>
      </c>
      <c r="I110" s="33" t="s">
        <v>732</v>
      </c>
      <c r="J110" s="33" t="str">
        <f t="shared" ref="J110:J173" si="4">CONCATENATE(A110,E110)</f>
        <v>2014-16Dundee City</v>
      </c>
      <c r="K110" s="33">
        <v>54.36</v>
      </c>
    </row>
    <row r="111" spans="1:11">
      <c r="A111" s="33" t="s">
        <v>158</v>
      </c>
      <c r="B111" s="33" t="s">
        <v>45</v>
      </c>
      <c r="C111" s="33" t="s">
        <v>733</v>
      </c>
      <c r="D111" s="33" t="s">
        <v>105</v>
      </c>
      <c r="E111" s="33" t="s">
        <v>22</v>
      </c>
      <c r="F111" s="33">
        <v>1</v>
      </c>
      <c r="G111" s="33" t="s">
        <v>609</v>
      </c>
      <c r="H111">
        <v>1</v>
      </c>
      <c r="I111" s="33" t="s">
        <v>732</v>
      </c>
      <c r="J111" s="33" t="str">
        <f t="shared" si="4"/>
        <v>2014-16East Dunbartonshire</v>
      </c>
      <c r="K111" s="33">
        <v>65.11</v>
      </c>
    </row>
    <row r="112" spans="1:11">
      <c r="A112" s="33" t="s">
        <v>158</v>
      </c>
      <c r="B112" s="33" t="s">
        <v>45</v>
      </c>
      <c r="C112" s="33" t="s">
        <v>733</v>
      </c>
      <c r="D112" s="33" t="s">
        <v>101</v>
      </c>
      <c r="E112" s="33" t="s">
        <v>26</v>
      </c>
      <c r="F112" s="33">
        <v>1</v>
      </c>
      <c r="G112" s="33" t="s">
        <v>609</v>
      </c>
      <c r="H112">
        <v>1</v>
      </c>
      <c r="I112" s="33" t="s">
        <v>732</v>
      </c>
      <c r="J112" s="33" t="str">
        <f t="shared" si="4"/>
        <v>2014-16Fife</v>
      </c>
      <c r="K112" s="33">
        <v>61.42</v>
      </c>
    </row>
    <row r="113" spans="1:11">
      <c r="A113" s="33" t="s">
        <v>158</v>
      </c>
      <c r="B113" s="33" t="s">
        <v>45</v>
      </c>
      <c r="C113" s="33" t="s">
        <v>733</v>
      </c>
      <c r="D113" s="33" t="s">
        <v>91</v>
      </c>
      <c r="E113" s="33" t="s">
        <v>36</v>
      </c>
      <c r="F113" s="33">
        <v>1</v>
      </c>
      <c r="G113" s="33" t="s">
        <v>609</v>
      </c>
      <c r="H113">
        <v>1</v>
      </c>
      <c r="I113" s="33" t="s">
        <v>732</v>
      </c>
      <c r="J113" s="33" t="str">
        <f t="shared" si="4"/>
        <v>2014-16Perth and Kinross</v>
      </c>
      <c r="K113" s="33">
        <v>66.709999999999994</v>
      </c>
    </row>
    <row r="114" spans="1:11">
      <c r="A114" s="33" t="s">
        <v>158</v>
      </c>
      <c r="B114" s="33" t="s">
        <v>45</v>
      </c>
      <c r="C114" s="33" t="s">
        <v>733</v>
      </c>
      <c r="D114" s="33" t="s">
        <v>163</v>
      </c>
      <c r="E114" s="33" t="s">
        <v>27</v>
      </c>
      <c r="F114" s="33">
        <v>1</v>
      </c>
      <c r="G114" s="33" t="s">
        <v>609</v>
      </c>
      <c r="H114">
        <v>1</v>
      </c>
      <c r="I114" s="33" t="s">
        <v>732</v>
      </c>
      <c r="J114" s="33" t="str">
        <f t="shared" si="4"/>
        <v>2014-16Glasgow City</v>
      </c>
      <c r="K114" s="33">
        <v>58.65</v>
      </c>
    </row>
    <row r="115" spans="1:11">
      <c r="A115" s="33" t="s">
        <v>158</v>
      </c>
      <c r="B115" s="33" t="s">
        <v>45</v>
      </c>
      <c r="C115" s="33" t="s">
        <v>733</v>
      </c>
      <c r="D115" s="33" t="s">
        <v>162</v>
      </c>
      <c r="E115" s="33" t="s">
        <v>34</v>
      </c>
      <c r="F115" s="33">
        <v>1</v>
      </c>
      <c r="G115" s="33" t="s">
        <v>609</v>
      </c>
      <c r="H115">
        <v>1</v>
      </c>
      <c r="I115" s="33" t="s">
        <v>732</v>
      </c>
      <c r="J115" s="33" t="str">
        <f t="shared" si="4"/>
        <v>2014-16North Lanarkshire</v>
      </c>
      <c r="K115" s="33">
        <v>58.53</v>
      </c>
    </row>
    <row r="116" spans="1:11">
      <c r="A116" s="33" t="s">
        <v>158</v>
      </c>
      <c r="B116" s="33" t="s">
        <v>45</v>
      </c>
      <c r="C116" s="33" t="s">
        <v>725</v>
      </c>
      <c r="D116" s="33" t="s">
        <v>488</v>
      </c>
      <c r="E116" s="33" t="s">
        <v>45</v>
      </c>
      <c r="F116" s="33">
        <v>1</v>
      </c>
      <c r="G116" s="33" t="s">
        <v>609</v>
      </c>
      <c r="H116">
        <v>1</v>
      </c>
      <c r="I116" s="33" t="s">
        <v>732</v>
      </c>
      <c r="J116" s="33" t="str">
        <f t="shared" si="4"/>
        <v>2014-16Scotland</v>
      </c>
      <c r="K116" s="33">
        <v>62.22</v>
      </c>
    </row>
    <row r="117" spans="1:11">
      <c r="A117" s="33" t="s">
        <v>157</v>
      </c>
      <c r="B117" s="33" t="s">
        <v>46</v>
      </c>
      <c r="C117" s="33" t="s">
        <v>725</v>
      </c>
      <c r="D117" s="33" t="s">
        <v>608</v>
      </c>
      <c r="E117" s="33" t="s">
        <v>46</v>
      </c>
      <c r="F117" s="33">
        <v>1</v>
      </c>
      <c r="G117" s="33" t="s">
        <v>609</v>
      </c>
      <c r="H117">
        <v>1</v>
      </c>
      <c r="I117" s="33" t="s">
        <v>732</v>
      </c>
      <c r="J117" s="33" t="str">
        <f t="shared" si="4"/>
        <v>2015-17United Kingdom</v>
      </c>
      <c r="K117" s="33">
        <v>63.13</v>
      </c>
    </row>
    <row r="118" spans="1:11">
      <c r="A118" s="33" t="s">
        <v>157</v>
      </c>
      <c r="B118" s="33" t="s">
        <v>45</v>
      </c>
      <c r="C118" s="33" t="s">
        <v>733</v>
      </c>
      <c r="D118" s="33" t="s">
        <v>109</v>
      </c>
      <c r="E118" s="33" t="s">
        <v>18</v>
      </c>
      <c r="F118" s="33">
        <v>1</v>
      </c>
      <c r="G118" s="33" t="s">
        <v>609</v>
      </c>
      <c r="H118">
        <v>1</v>
      </c>
      <c r="I118" s="33" t="s">
        <v>732</v>
      </c>
      <c r="J118" s="33" t="str">
        <f t="shared" si="4"/>
        <v>2015-17Clackmannanshire</v>
      </c>
      <c r="K118" s="33">
        <v>62.57</v>
      </c>
    </row>
    <row r="119" spans="1:11">
      <c r="A119" s="33" t="s">
        <v>157</v>
      </c>
      <c r="B119" s="33" t="s">
        <v>45</v>
      </c>
      <c r="C119" s="33" t="s">
        <v>733</v>
      </c>
      <c r="D119" s="33" t="s">
        <v>108</v>
      </c>
      <c r="E119" s="33" t="s">
        <v>19</v>
      </c>
      <c r="F119" s="33">
        <v>1</v>
      </c>
      <c r="G119" s="33" t="s">
        <v>609</v>
      </c>
      <c r="H119">
        <v>1</v>
      </c>
      <c r="I119" s="33" t="s">
        <v>732</v>
      </c>
      <c r="J119" s="33" t="str">
        <f t="shared" si="4"/>
        <v>2015-17Dumfries and Galloway</v>
      </c>
      <c r="K119" s="33">
        <v>64.44</v>
      </c>
    </row>
    <row r="120" spans="1:11">
      <c r="A120" s="33" t="s">
        <v>157</v>
      </c>
      <c r="B120" s="33" t="s">
        <v>45</v>
      </c>
      <c r="C120" s="33" t="s">
        <v>733</v>
      </c>
      <c r="D120" s="33" t="s">
        <v>106</v>
      </c>
      <c r="E120" s="33" t="s">
        <v>21</v>
      </c>
      <c r="F120" s="33">
        <v>1</v>
      </c>
      <c r="G120" s="33" t="s">
        <v>609</v>
      </c>
      <c r="H120">
        <v>1</v>
      </c>
      <c r="I120" s="33" t="s">
        <v>732</v>
      </c>
      <c r="J120" s="33" t="str">
        <f t="shared" si="4"/>
        <v>2015-17East Ayrshire</v>
      </c>
      <c r="K120" s="33">
        <v>60.16</v>
      </c>
    </row>
    <row r="121" spans="1:11">
      <c r="A121" s="33" t="s">
        <v>157</v>
      </c>
      <c r="B121" s="33" t="s">
        <v>45</v>
      </c>
      <c r="C121" s="33" t="s">
        <v>733</v>
      </c>
      <c r="D121" s="33" t="s">
        <v>104</v>
      </c>
      <c r="E121" s="33" t="s">
        <v>23</v>
      </c>
      <c r="F121" s="33">
        <v>1</v>
      </c>
      <c r="G121" s="33" t="s">
        <v>609</v>
      </c>
      <c r="H121">
        <v>1</v>
      </c>
      <c r="I121" s="33" t="s">
        <v>732</v>
      </c>
      <c r="J121" s="33" t="str">
        <f t="shared" si="4"/>
        <v>2015-17East Lothian</v>
      </c>
      <c r="K121" s="33">
        <v>65.31</v>
      </c>
    </row>
    <row r="122" spans="1:11">
      <c r="A122" s="33" t="s">
        <v>157</v>
      </c>
      <c r="B122" s="33" t="s">
        <v>45</v>
      </c>
      <c r="C122" s="33" t="s">
        <v>733</v>
      </c>
      <c r="D122" s="33" t="s">
        <v>103</v>
      </c>
      <c r="E122" s="33" t="s">
        <v>24</v>
      </c>
      <c r="F122" s="33">
        <v>1</v>
      </c>
      <c r="G122" s="33" t="s">
        <v>609</v>
      </c>
      <c r="H122">
        <v>1</v>
      </c>
      <c r="I122" s="33" t="s">
        <v>732</v>
      </c>
      <c r="J122" s="33" t="str">
        <f t="shared" si="4"/>
        <v>2015-17East Renfrewshire</v>
      </c>
      <c r="K122" s="33">
        <v>66.48</v>
      </c>
    </row>
    <row r="123" spans="1:11">
      <c r="A123" s="33" t="s">
        <v>157</v>
      </c>
      <c r="B123" s="33" t="s">
        <v>45</v>
      </c>
      <c r="C123" s="33" t="s">
        <v>733</v>
      </c>
      <c r="D123" s="33" t="s">
        <v>95</v>
      </c>
      <c r="E123" s="33" t="s">
        <v>32</v>
      </c>
      <c r="F123" s="33">
        <v>1</v>
      </c>
      <c r="G123" s="33" t="s">
        <v>609</v>
      </c>
      <c r="H123">
        <v>1</v>
      </c>
      <c r="I123" s="33" t="s">
        <v>732</v>
      </c>
      <c r="J123" s="33" t="str">
        <f t="shared" si="4"/>
        <v>2015-17Na h-Eileanan Siar</v>
      </c>
      <c r="K123" s="33">
        <v>64.97</v>
      </c>
    </row>
    <row r="124" spans="1:11">
      <c r="A124" s="33" t="s">
        <v>157</v>
      </c>
      <c r="B124" s="33" t="s">
        <v>45</v>
      </c>
      <c r="C124" s="33" t="s">
        <v>733</v>
      </c>
      <c r="D124" s="33" t="s">
        <v>102</v>
      </c>
      <c r="E124" s="33" t="s">
        <v>25</v>
      </c>
      <c r="F124" s="33">
        <v>1</v>
      </c>
      <c r="G124" s="33" t="s">
        <v>609</v>
      </c>
      <c r="H124">
        <v>1</v>
      </c>
      <c r="I124" s="33" t="s">
        <v>732</v>
      </c>
      <c r="J124" s="33" t="str">
        <f t="shared" si="4"/>
        <v>2015-17Falkirk</v>
      </c>
      <c r="K124" s="33">
        <v>63.23</v>
      </c>
    </row>
    <row r="125" spans="1:11">
      <c r="A125" s="33" t="s">
        <v>157</v>
      </c>
      <c r="B125" s="33" t="s">
        <v>45</v>
      </c>
      <c r="C125" s="33" t="s">
        <v>733</v>
      </c>
      <c r="D125" s="33" t="s">
        <v>99</v>
      </c>
      <c r="E125" s="33" t="s">
        <v>28</v>
      </c>
      <c r="F125" s="33">
        <v>1</v>
      </c>
      <c r="G125" s="33" t="s">
        <v>609</v>
      </c>
      <c r="H125">
        <v>1</v>
      </c>
      <c r="I125" s="33" t="s">
        <v>732</v>
      </c>
      <c r="J125" s="33" t="str">
        <f t="shared" si="4"/>
        <v>2015-17Highland</v>
      </c>
      <c r="K125" s="33">
        <v>66.260000000000005</v>
      </c>
    </row>
    <row r="126" spans="1:11">
      <c r="A126" s="33" t="s">
        <v>157</v>
      </c>
      <c r="B126" s="33" t="s">
        <v>45</v>
      </c>
      <c r="C126" s="33" t="s">
        <v>733</v>
      </c>
      <c r="D126" s="33" t="s">
        <v>98</v>
      </c>
      <c r="E126" s="33" t="s">
        <v>29</v>
      </c>
      <c r="F126" s="33">
        <v>1</v>
      </c>
      <c r="G126" s="33" t="s">
        <v>609</v>
      </c>
      <c r="H126">
        <v>1</v>
      </c>
      <c r="I126" s="33" t="s">
        <v>732</v>
      </c>
      <c r="J126" s="33" t="str">
        <f t="shared" si="4"/>
        <v>2015-17Inverclyde</v>
      </c>
      <c r="K126" s="33">
        <v>60.47</v>
      </c>
    </row>
    <row r="127" spans="1:11">
      <c r="A127" s="33" t="s">
        <v>157</v>
      </c>
      <c r="B127" s="33" t="s">
        <v>45</v>
      </c>
      <c r="C127" s="33" t="s">
        <v>733</v>
      </c>
      <c r="D127" s="33" t="s">
        <v>97</v>
      </c>
      <c r="E127" s="33" t="s">
        <v>30</v>
      </c>
      <c r="F127" s="33">
        <v>1</v>
      </c>
      <c r="G127" s="33" t="s">
        <v>609</v>
      </c>
      <c r="H127">
        <v>1</v>
      </c>
      <c r="I127" s="33" t="s">
        <v>732</v>
      </c>
      <c r="J127" s="33" t="str">
        <f t="shared" si="4"/>
        <v>2015-17Midlothian</v>
      </c>
      <c r="K127" s="33">
        <v>61.76</v>
      </c>
    </row>
    <row r="128" spans="1:11">
      <c r="A128" s="33" t="s">
        <v>157</v>
      </c>
      <c r="B128" s="33" t="s">
        <v>45</v>
      </c>
      <c r="C128" s="33" t="s">
        <v>733</v>
      </c>
      <c r="D128" s="33" t="s">
        <v>96</v>
      </c>
      <c r="E128" s="33" t="s">
        <v>31</v>
      </c>
      <c r="F128" s="33">
        <v>1</v>
      </c>
      <c r="G128" s="33" t="s">
        <v>609</v>
      </c>
      <c r="H128">
        <v>1</v>
      </c>
      <c r="I128" s="33" t="s">
        <v>732</v>
      </c>
      <c r="J128" s="33" t="str">
        <f t="shared" si="4"/>
        <v>2015-17Moray</v>
      </c>
      <c r="K128" s="33">
        <v>64.239999999999995</v>
      </c>
    </row>
    <row r="129" spans="1:11">
      <c r="A129" s="33" t="s">
        <v>157</v>
      </c>
      <c r="B129" s="33" t="s">
        <v>45</v>
      </c>
      <c r="C129" s="33" t="s">
        <v>733</v>
      </c>
      <c r="D129" s="33" t="s">
        <v>94</v>
      </c>
      <c r="E129" s="33" t="s">
        <v>33</v>
      </c>
      <c r="F129" s="33">
        <v>1</v>
      </c>
      <c r="G129" s="33" t="s">
        <v>609</v>
      </c>
      <c r="H129">
        <v>1</v>
      </c>
      <c r="I129" s="33" t="s">
        <v>732</v>
      </c>
      <c r="J129" s="33" t="str">
        <f t="shared" si="4"/>
        <v>2015-17North Ayrshire</v>
      </c>
      <c r="K129" s="33">
        <v>56.01</v>
      </c>
    </row>
    <row r="130" spans="1:11">
      <c r="A130" s="33" t="s">
        <v>157</v>
      </c>
      <c r="B130" s="33" t="s">
        <v>45</v>
      </c>
      <c r="C130" s="33" t="s">
        <v>733</v>
      </c>
      <c r="D130" s="33" t="s">
        <v>92</v>
      </c>
      <c r="E130" s="33" t="s">
        <v>35</v>
      </c>
      <c r="F130" s="33">
        <v>1</v>
      </c>
      <c r="G130" s="33" t="s">
        <v>609</v>
      </c>
      <c r="H130">
        <v>1</v>
      </c>
      <c r="I130" s="33" t="s">
        <v>732</v>
      </c>
      <c r="J130" s="33" t="str">
        <f t="shared" si="4"/>
        <v>2015-17Orkney Islands</v>
      </c>
      <c r="K130" s="33">
        <v>64.62</v>
      </c>
    </row>
    <row r="131" spans="1:11">
      <c r="A131" s="33" t="s">
        <v>157</v>
      </c>
      <c r="B131" s="33" t="s">
        <v>45</v>
      </c>
      <c r="C131" s="33" t="s">
        <v>733</v>
      </c>
      <c r="D131" s="33" t="s">
        <v>89</v>
      </c>
      <c r="E131" s="33" t="s">
        <v>38</v>
      </c>
      <c r="F131" s="33">
        <v>1</v>
      </c>
      <c r="G131" s="33" t="s">
        <v>609</v>
      </c>
      <c r="H131">
        <v>1</v>
      </c>
      <c r="I131" s="33" t="s">
        <v>732</v>
      </c>
      <c r="J131" s="33" t="str">
        <f t="shared" si="4"/>
        <v>2015-17Scottish Borders</v>
      </c>
      <c r="K131" s="33">
        <v>64.48</v>
      </c>
    </row>
    <row r="132" spans="1:11">
      <c r="A132" s="33" t="s">
        <v>157</v>
      </c>
      <c r="B132" s="33" t="s">
        <v>45</v>
      </c>
      <c r="C132" s="33" t="s">
        <v>733</v>
      </c>
      <c r="D132" s="33" t="s">
        <v>88</v>
      </c>
      <c r="E132" s="33" t="s">
        <v>39</v>
      </c>
      <c r="F132" s="33">
        <v>1</v>
      </c>
      <c r="G132" s="33" t="s">
        <v>609</v>
      </c>
      <c r="H132">
        <v>1</v>
      </c>
      <c r="I132" s="33" t="s">
        <v>732</v>
      </c>
      <c r="J132" s="33" t="str">
        <f t="shared" si="4"/>
        <v>2015-17Shetland Islands</v>
      </c>
      <c r="K132" s="33">
        <v>68.12</v>
      </c>
    </row>
    <row r="133" spans="1:11">
      <c r="A133" s="33" t="s">
        <v>157</v>
      </c>
      <c r="B133" s="33" t="s">
        <v>45</v>
      </c>
      <c r="C133" s="33" t="s">
        <v>733</v>
      </c>
      <c r="D133" s="33" t="s">
        <v>87</v>
      </c>
      <c r="E133" s="33" t="s">
        <v>40</v>
      </c>
      <c r="F133" s="33">
        <v>1</v>
      </c>
      <c r="G133" s="33" t="s">
        <v>609</v>
      </c>
      <c r="H133">
        <v>1</v>
      </c>
      <c r="I133" s="33" t="s">
        <v>732</v>
      </c>
      <c r="J133" s="33" t="str">
        <f t="shared" si="4"/>
        <v>2015-17South Ayrshire</v>
      </c>
      <c r="K133" s="33">
        <v>62.13</v>
      </c>
    </row>
    <row r="134" spans="1:11">
      <c r="A134" s="33" t="s">
        <v>157</v>
      </c>
      <c r="B134" s="33" t="s">
        <v>45</v>
      </c>
      <c r="C134" s="33" t="s">
        <v>733</v>
      </c>
      <c r="D134" s="33" t="s">
        <v>86</v>
      </c>
      <c r="E134" s="33" t="s">
        <v>41</v>
      </c>
      <c r="F134" s="33">
        <v>1</v>
      </c>
      <c r="G134" s="33" t="s">
        <v>609</v>
      </c>
      <c r="H134">
        <v>1</v>
      </c>
      <c r="I134" s="33" t="s">
        <v>732</v>
      </c>
      <c r="J134" s="33" t="str">
        <f t="shared" si="4"/>
        <v>2015-17South Lanarkshire</v>
      </c>
      <c r="K134" s="33">
        <v>60.76</v>
      </c>
    </row>
    <row r="135" spans="1:11">
      <c r="A135" s="33" t="s">
        <v>157</v>
      </c>
      <c r="B135" s="33" t="s">
        <v>45</v>
      </c>
      <c r="C135" s="33" t="s">
        <v>733</v>
      </c>
      <c r="D135" s="33" t="s">
        <v>85</v>
      </c>
      <c r="E135" s="33" t="s">
        <v>42</v>
      </c>
      <c r="F135" s="33">
        <v>1</v>
      </c>
      <c r="G135" s="33" t="s">
        <v>609</v>
      </c>
      <c r="H135">
        <v>1</v>
      </c>
      <c r="I135" s="33" t="s">
        <v>732</v>
      </c>
      <c r="J135" s="33" t="str">
        <f t="shared" si="4"/>
        <v>2015-17Stirling</v>
      </c>
      <c r="K135" s="33">
        <v>64.77</v>
      </c>
    </row>
    <row r="136" spans="1:11">
      <c r="A136" s="33" t="s">
        <v>157</v>
      </c>
      <c r="B136" s="33" t="s">
        <v>45</v>
      </c>
      <c r="C136" s="33" t="s">
        <v>733</v>
      </c>
      <c r="D136" s="33" t="s">
        <v>114</v>
      </c>
      <c r="E136" s="33" t="s">
        <v>14</v>
      </c>
      <c r="F136" s="33">
        <v>1</v>
      </c>
      <c r="G136" s="33" t="s">
        <v>609</v>
      </c>
      <c r="H136">
        <v>1</v>
      </c>
      <c r="I136" s="33" t="s">
        <v>732</v>
      </c>
      <c r="J136" s="33" t="str">
        <f t="shared" si="4"/>
        <v>2015-17Aberdeen City</v>
      </c>
      <c r="K136" s="33">
        <v>61.47</v>
      </c>
    </row>
    <row r="137" spans="1:11">
      <c r="A137" s="33" t="s">
        <v>157</v>
      </c>
      <c r="B137" s="33" t="s">
        <v>45</v>
      </c>
      <c r="C137" s="33" t="s">
        <v>733</v>
      </c>
      <c r="D137" s="33" t="s">
        <v>113</v>
      </c>
      <c r="E137" s="33" t="s">
        <v>15</v>
      </c>
      <c r="F137" s="33">
        <v>1</v>
      </c>
      <c r="G137" s="33" t="s">
        <v>609</v>
      </c>
      <c r="H137">
        <v>1</v>
      </c>
      <c r="I137" s="33" t="s">
        <v>732</v>
      </c>
      <c r="J137" s="33" t="str">
        <f t="shared" si="4"/>
        <v>2015-17Aberdeenshire</v>
      </c>
      <c r="K137" s="33">
        <v>68.12</v>
      </c>
    </row>
    <row r="138" spans="1:11">
      <c r="A138" s="33" t="s">
        <v>157</v>
      </c>
      <c r="B138" s="33" t="s">
        <v>45</v>
      </c>
      <c r="C138" s="33" t="s">
        <v>733</v>
      </c>
      <c r="D138" s="33" t="s">
        <v>111</v>
      </c>
      <c r="E138" s="33" t="s">
        <v>17</v>
      </c>
      <c r="F138" s="33">
        <v>1</v>
      </c>
      <c r="G138" s="33" t="s">
        <v>609</v>
      </c>
      <c r="H138">
        <v>1</v>
      </c>
      <c r="I138" s="33" t="s">
        <v>732</v>
      </c>
      <c r="J138" s="33" t="str">
        <f t="shared" si="4"/>
        <v>2015-17Argyll and Bute</v>
      </c>
      <c r="K138" s="33">
        <v>64.290000000000006</v>
      </c>
    </row>
    <row r="139" spans="1:11">
      <c r="A139" s="33" t="s">
        <v>157</v>
      </c>
      <c r="B139" s="33" t="s">
        <v>45</v>
      </c>
      <c r="C139" s="33" t="s">
        <v>733</v>
      </c>
      <c r="D139" s="33" t="s">
        <v>110</v>
      </c>
      <c r="E139" s="33" t="s">
        <v>586</v>
      </c>
      <c r="F139" s="33">
        <v>1</v>
      </c>
      <c r="G139" s="33" t="s">
        <v>609</v>
      </c>
      <c r="H139">
        <v>1</v>
      </c>
      <c r="I139" s="33" t="s">
        <v>732</v>
      </c>
      <c r="J139" s="33" t="str">
        <f t="shared" si="4"/>
        <v>2015-17City of Edinburgh</v>
      </c>
      <c r="K139" s="33">
        <v>65.03</v>
      </c>
    </row>
    <row r="140" spans="1:11">
      <c r="A140" s="33" t="s">
        <v>157</v>
      </c>
      <c r="B140" s="33" t="s">
        <v>45</v>
      </c>
      <c r="C140" s="33" t="s">
        <v>733</v>
      </c>
      <c r="D140" s="33" t="s">
        <v>90</v>
      </c>
      <c r="E140" s="33" t="s">
        <v>37</v>
      </c>
      <c r="F140" s="33">
        <v>1</v>
      </c>
      <c r="G140" s="33" t="s">
        <v>609</v>
      </c>
      <c r="H140">
        <v>1</v>
      </c>
      <c r="I140" s="33" t="s">
        <v>732</v>
      </c>
      <c r="J140" s="33" t="str">
        <f t="shared" si="4"/>
        <v>2015-17Renfrewshire</v>
      </c>
      <c r="K140" s="33">
        <v>60.95</v>
      </c>
    </row>
    <row r="141" spans="1:11">
      <c r="A141" s="33" t="s">
        <v>157</v>
      </c>
      <c r="B141" s="33" t="s">
        <v>45</v>
      </c>
      <c r="C141" s="33" t="s">
        <v>733</v>
      </c>
      <c r="D141" s="33" t="s">
        <v>84</v>
      </c>
      <c r="E141" s="33" t="s">
        <v>43</v>
      </c>
      <c r="F141" s="33">
        <v>1</v>
      </c>
      <c r="G141" s="33" t="s">
        <v>609</v>
      </c>
      <c r="H141">
        <v>1</v>
      </c>
      <c r="I141" s="33" t="s">
        <v>732</v>
      </c>
      <c r="J141" s="33" t="str">
        <f t="shared" si="4"/>
        <v>2015-17West Dunbartonshire</v>
      </c>
      <c r="K141" s="33">
        <v>58.18</v>
      </c>
    </row>
    <row r="142" spans="1:11">
      <c r="A142" s="33" t="s">
        <v>157</v>
      </c>
      <c r="B142" s="33" t="s">
        <v>45</v>
      </c>
      <c r="C142" s="33" t="s">
        <v>733</v>
      </c>
      <c r="D142" s="33" t="s">
        <v>83</v>
      </c>
      <c r="E142" s="33" t="s">
        <v>44</v>
      </c>
      <c r="F142" s="33">
        <v>1</v>
      </c>
      <c r="G142" s="33" t="s">
        <v>609</v>
      </c>
      <c r="H142">
        <v>1</v>
      </c>
      <c r="I142" s="33" t="s">
        <v>732</v>
      </c>
      <c r="J142" s="33" t="str">
        <f t="shared" si="4"/>
        <v>2015-17West Lothian</v>
      </c>
      <c r="K142" s="33">
        <v>61.88</v>
      </c>
    </row>
    <row r="143" spans="1:11">
      <c r="A143" s="33" t="s">
        <v>157</v>
      </c>
      <c r="B143" s="33" t="s">
        <v>45</v>
      </c>
      <c r="C143" s="33" t="s">
        <v>733</v>
      </c>
      <c r="D143" s="33" t="s">
        <v>112</v>
      </c>
      <c r="E143" s="33" t="s">
        <v>16</v>
      </c>
      <c r="F143" s="33">
        <v>1</v>
      </c>
      <c r="G143" s="33" t="s">
        <v>609</v>
      </c>
      <c r="H143">
        <v>1</v>
      </c>
      <c r="I143" s="33" t="s">
        <v>732</v>
      </c>
      <c r="J143" s="33" t="str">
        <f t="shared" si="4"/>
        <v>2015-17Angus</v>
      </c>
      <c r="K143" s="33">
        <v>62.92</v>
      </c>
    </row>
    <row r="144" spans="1:11">
      <c r="A144" s="33" t="s">
        <v>157</v>
      </c>
      <c r="B144" s="33" t="s">
        <v>45</v>
      </c>
      <c r="C144" s="33" t="s">
        <v>733</v>
      </c>
      <c r="D144" s="33" t="s">
        <v>107</v>
      </c>
      <c r="E144" s="33" t="s">
        <v>20</v>
      </c>
      <c r="F144" s="33">
        <v>1</v>
      </c>
      <c r="G144" s="33" t="s">
        <v>609</v>
      </c>
      <c r="H144">
        <v>1</v>
      </c>
      <c r="I144" s="33" t="s">
        <v>732</v>
      </c>
      <c r="J144" s="33" t="str">
        <f t="shared" si="4"/>
        <v>2015-17Dundee City</v>
      </c>
      <c r="K144" s="33">
        <v>56.47</v>
      </c>
    </row>
    <row r="145" spans="1:11">
      <c r="A145" s="33" t="s">
        <v>157</v>
      </c>
      <c r="B145" s="33" t="s">
        <v>45</v>
      </c>
      <c r="C145" s="33" t="s">
        <v>733</v>
      </c>
      <c r="D145" s="33" t="s">
        <v>105</v>
      </c>
      <c r="E145" s="33" t="s">
        <v>22</v>
      </c>
      <c r="F145" s="33">
        <v>1</v>
      </c>
      <c r="G145" s="33" t="s">
        <v>609</v>
      </c>
      <c r="H145">
        <v>1</v>
      </c>
      <c r="I145" s="33" t="s">
        <v>732</v>
      </c>
      <c r="J145" s="33" t="str">
        <f t="shared" si="4"/>
        <v>2015-17East Dunbartonshire</v>
      </c>
      <c r="K145" s="33">
        <v>68.92</v>
      </c>
    </row>
    <row r="146" spans="1:11">
      <c r="A146" s="33" t="s">
        <v>157</v>
      </c>
      <c r="B146" s="33" t="s">
        <v>45</v>
      </c>
      <c r="C146" s="33" t="s">
        <v>733</v>
      </c>
      <c r="D146" s="33" t="s">
        <v>101</v>
      </c>
      <c r="E146" s="33" t="s">
        <v>26</v>
      </c>
      <c r="F146" s="33">
        <v>1</v>
      </c>
      <c r="G146" s="33" t="s">
        <v>609</v>
      </c>
      <c r="H146">
        <v>1</v>
      </c>
      <c r="I146" s="33" t="s">
        <v>732</v>
      </c>
      <c r="J146" s="33" t="str">
        <f t="shared" si="4"/>
        <v>2015-17Fife</v>
      </c>
      <c r="K146" s="33">
        <v>62.29</v>
      </c>
    </row>
    <row r="147" spans="1:11">
      <c r="A147" s="33" t="s">
        <v>157</v>
      </c>
      <c r="B147" s="33" t="s">
        <v>45</v>
      </c>
      <c r="C147" s="33" t="s">
        <v>733</v>
      </c>
      <c r="D147" s="33" t="s">
        <v>91</v>
      </c>
      <c r="E147" s="33" t="s">
        <v>36</v>
      </c>
      <c r="F147" s="33">
        <v>1</v>
      </c>
      <c r="G147" s="33" t="s">
        <v>609</v>
      </c>
      <c r="H147">
        <v>1</v>
      </c>
      <c r="I147" s="33" t="s">
        <v>732</v>
      </c>
      <c r="J147" s="33" t="str">
        <f t="shared" si="4"/>
        <v>2015-17Perth and Kinross</v>
      </c>
      <c r="K147" s="33">
        <v>67.63</v>
      </c>
    </row>
    <row r="148" spans="1:11">
      <c r="A148" s="33" t="s">
        <v>157</v>
      </c>
      <c r="B148" s="33" t="s">
        <v>45</v>
      </c>
      <c r="C148" s="33" t="s">
        <v>733</v>
      </c>
      <c r="D148" s="33" t="s">
        <v>163</v>
      </c>
      <c r="E148" s="33" t="s">
        <v>27</v>
      </c>
      <c r="F148" s="33">
        <v>1</v>
      </c>
      <c r="G148" s="33" t="s">
        <v>609</v>
      </c>
      <c r="H148">
        <v>1</v>
      </c>
      <c r="I148" s="33" t="s">
        <v>732</v>
      </c>
      <c r="J148" s="33" t="str">
        <f t="shared" si="4"/>
        <v>2015-17Glasgow City</v>
      </c>
      <c r="K148" s="33">
        <v>57.22</v>
      </c>
    </row>
    <row r="149" spans="1:11">
      <c r="A149" s="33" t="s">
        <v>157</v>
      </c>
      <c r="B149" s="33" t="s">
        <v>45</v>
      </c>
      <c r="C149" s="33" t="s">
        <v>733</v>
      </c>
      <c r="D149" s="33" t="s">
        <v>162</v>
      </c>
      <c r="E149" s="33" t="s">
        <v>34</v>
      </c>
      <c r="F149" s="33">
        <v>1</v>
      </c>
      <c r="G149" s="33" t="s">
        <v>609</v>
      </c>
      <c r="H149">
        <v>1</v>
      </c>
      <c r="I149" s="33" t="s">
        <v>732</v>
      </c>
      <c r="J149" s="33" t="str">
        <f t="shared" si="4"/>
        <v>2015-17North Lanarkshire</v>
      </c>
      <c r="K149" s="33">
        <v>58.12</v>
      </c>
    </row>
    <row r="150" spans="1:11">
      <c r="A150" s="33" t="s">
        <v>157</v>
      </c>
      <c r="B150" s="33" t="s">
        <v>45</v>
      </c>
      <c r="C150" s="33" t="s">
        <v>725</v>
      </c>
      <c r="D150" s="33" t="s">
        <v>488</v>
      </c>
      <c r="E150" s="33" t="s">
        <v>45</v>
      </c>
      <c r="F150" s="33">
        <v>1</v>
      </c>
      <c r="G150" s="33" t="s">
        <v>609</v>
      </c>
      <c r="H150">
        <v>1</v>
      </c>
      <c r="I150" s="33" t="s">
        <v>732</v>
      </c>
      <c r="J150" s="33" t="str">
        <f t="shared" si="4"/>
        <v>2015-17Scotland</v>
      </c>
      <c r="K150" s="33">
        <v>62.32</v>
      </c>
    </row>
    <row r="151" spans="1:11">
      <c r="A151" s="33" t="s">
        <v>156</v>
      </c>
      <c r="B151" s="33" t="s">
        <v>46</v>
      </c>
      <c r="C151" s="33" t="s">
        <v>725</v>
      </c>
      <c r="D151" s="33" t="s">
        <v>608</v>
      </c>
      <c r="E151" s="33" t="s">
        <v>46</v>
      </c>
      <c r="F151" s="33">
        <v>1</v>
      </c>
      <c r="G151" s="33" t="s">
        <v>609</v>
      </c>
      <c r="H151">
        <v>1</v>
      </c>
      <c r="I151" s="33" t="s">
        <v>732</v>
      </c>
      <c r="J151" s="33" t="str">
        <f t="shared" si="4"/>
        <v>2016-18United Kingdom</v>
      </c>
      <c r="K151" s="33">
        <v>63.09</v>
      </c>
    </row>
    <row r="152" spans="1:11">
      <c r="A152" s="33" t="s">
        <v>156</v>
      </c>
      <c r="B152" s="33" t="s">
        <v>45</v>
      </c>
      <c r="C152" s="33" t="s">
        <v>733</v>
      </c>
      <c r="D152" s="33" t="s">
        <v>109</v>
      </c>
      <c r="E152" s="33" t="s">
        <v>18</v>
      </c>
      <c r="F152" s="33">
        <v>1</v>
      </c>
      <c r="G152" s="33" t="s">
        <v>609</v>
      </c>
      <c r="H152">
        <v>1</v>
      </c>
      <c r="I152" s="33" t="s">
        <v>732</v>
      </c>
      <c r="J152" s="33" t="str">
        <f t="shared" si="4"/>
        <v>2016-18Clackmannanshire</v>
      </c>
      <c r="K152" s="33">
        <v>62.21</v>
      </c>
    </row>
    <row r="153" spans="1:11">
      <c r="A153" s="33" t="s">
        <v>156</v>
      </c>
      <c r="B153" s="33" t="s">
        <v>45</v>
      </c>
      <c r="C153" s="33" t="s">
        <v>733</v>
      </c>
      <c r="D153" s="33" t="s">
        <v>108</v>
      </c>
      <c r="E153" s="33" t="s">
        <v>19</v>
      </c>
      <c r="F153" s="33">
        <v>1</v>
      </c>
      <c r="G153" s="33" t="s">
        <v>609</v>
      </c>
      <c r="H153">
        <v>1</v>
      </c>
      <c r="I153" s="33" t="s">
        <v>732</v>
      </c>
      <c r="J153" s="33" t="str">
        <f t="shared" si="4"/>
        <v>2016-18Dumfries and Galloway</v>
      </c>
      <c r="K153" s="33">
        <v>64.17</v>
      </c>
    </row>
    <row r="154" spans="1:11">
      <c r="A154" s="33" t="s">
        <v>156</v>
      </c>
      <c r="B154" s="33" t="s">
        <v>45</v>
      </c>
      <c r="C154" s="33" t="s">
        <v>733</v>
      </c>
      <c r="D154" s="33" t="s">
        <v>106</v>
      </c>
      <c r="E154" s="33" t="s">
        <v>21</v>
      </c>
      <c r="F154" s="33">
        <v>1</v>
      </c>
      <c r="G154" s="33" t="s">
        <v>609</v>
      </c>
      <c r="H154">
        <v>1</v>
      </c>
      <c r="I154" s="33" t="s">
        <v>732</v>
      </c>
      <c r="J154" s="33" t="str">
        <f t="shared" si="4"/>
        <v>2016-18East Ayrshire</v>
      </c>
      <c r="K154" s="33">
        <v>57.79</v>
      </c>
    </row>
    <row r="155" spans="1:11">
      <c r="A155" s="33" t="s">
        <v>156</v>
      </c>
      <c r="B155" s="33" t="s">
        <v>45</v>
      </c>
      <c r="C155" s="33" t="s">
        <v>733</v>
      </c>
      <c r="D155" s="33" t="s">
        <v>104</v>
      </c>
      <c r="E155" s="33" t="s">
        <v>23</v>
      </c>
      <c r="F155" s="33">
        <v>1</v>
      </c>
      <c r="G155" s="33" t="s">
        <v>609</v>
      </c>
      <c r="H155">
        <v>1</v>
      </c>
      <c r="I155" s="33" t="s">
        <v>732</v>
      </c>
      <c r="J155" s="33" t="str">
        <f t="shared" si="4"/>
        <v>2016-18East Lothian</v>
      </c>
      <c r="K155" s="33">
        <v>65.45</v>
      </c>
    </row>
    <row r="156" spans="1:11">
      <c r="A156" s="33" t="s">
        <v>156</v>
      </c>
      <c r="B156" s="33" t="s">
        <v>45</v>
      </c>
      <c r="C156" s="33" t="s">
        <v>733</v>
      </c>
      <c r="D156" s="33" t="s">
        <v>103</v>
      </c>
      <c r="E156" s="33" t="s">
        <v>24</v>
      </c>
      <c r="F156" s="33">
        <v>1</v>
      </c>
      <c r="G156" s="33" t="s">
        <v>609</v>
      </c>
      <c r="H156">
        <v>1</v>
      </c>
      <c r="I156" s="33" t="s">
        <v>732</v>
      </c>
      <c r="J156" s="33" t="str">
        <f t="shared" si="4"/>
        <v>2016-18East Renfrewshire</v>
      </c>
      <c r="K156" s="33">
        <v>68.77</v>
      </c>
    </row>
    <row r="157" spans="1:11">
      <c r="A157" s="33" t="s">
        <v>156</v>
      </c>
      <c r="B157" s="33" t="s">
        <v>45</v>
      </c>
      <c r="C157" s="33" t="s">
        <v>733</v>
      </c>
      <c r="D157" s="33" t="s">
        <v>95</v>
      </c>
      <c r="E157" s="33" t="s">
        <v>32</v>
      </c>
      <c r="F157" s="33">
        <v>1</v>
      </c>
      <c r="G157" s="33" t="s">
        <v>609</v>
      </c>
      <c r="H157">
        <v>1</v>
      </c>
      <c r="I157" s="33" t="s">
        <v>732</v>
      </c>
      <c r="J157" s="33" t="str">
        <f t="shared" si="4"/>
        <v>2016-18Na h-Eileanan Siar</v>
      </c>
      <c r="K157" s="33">
        <v>66.069999999999993</v>
      </c>
    </row>
    <row r="158" spans="1:11">
      <c r="A158" s="33" t="s">
        <v>156</v>
      </c>
      <c r="B158" s="33" t="s">
        <v>45</v>
      </c>
      <c r="C158" s="33" t="s">
        <v>733</v>
      </c>
      <c r="D158" s="33" t="s">
        <v>102</v>
      </c>
      <c r="E158" s="33" t="s">
        <v>25</v>
      </c>
      <c r="F158" s="33">
        <v>1</v>
      </c>
      <c r="G158" s="33" t="s">
        <v>609</v>
      </c>
      <c r="H158">
        <v>1</v>
      </c>
      <c r="I158" s="33" t="s">
        <v>732</v>
      </c>
      <c r="J158" s="33" t="str">
        <f t="shared" si="4"/>
        <v>2016-18Falkirk</v>
      </c>
      <c r="K158" s="33">
        <v>62.1</v>
      </c>
    </row>
    <row r="159" spans="1:11">
      <c r="A159" s="33" t="s">
        <v>156</v>
      </c>
      <c r="B159" s="33" t="s">
        <v>45</v>
      </c>
      <c r="C159" s="33" t="s">
        <v>733</v>
      </c>
      <c r="D159" s="33" t="s">
        <v>99</v>
      </c>
      <c r="E159" s="33" t="s">
        <v>28</v>
      </c>
      <c r="F159" s="33">
        <v>1</v>
      </c>
      <c r="G159" s="33" t="s">
        <v>609</v>
      </c>
      <c r="H159">
        <v>1</v>
      </c>
      <c r="I159" s="33" t="s">
        <v>732</v>
      </c>
      <c r="J159" s="33" t="str">
        <f t="shared" si="4"/>
        <v>2016-18Highland</v>
      </c>
      <c r="K159" s="33">
        <v>64.209999999999994</v>
      </c>
    </row>
    <row r="160" spans="1:11">
      <c r="A160" s="33" t="s">
        <v>156</v>
      </c>
      <c r="B160" s="33" t="s">
        <v>45</v>
      </c>
      <c r="C160" s="33" t="s">
        <v>733</v>
      </c>
      <c r="D160" s="33" t="s">
        <v>98</v>
      </c>
      <c r="E160" s="33" t="s">
        <v>29</v>
      </c>
      <c r="F160" s="33">
        <v>1</v>
      </c>
      <c r="G160" s="33" t="s">
        <v>609</v>
      </c>
      <c r="H160">
        <v>1</v>
      </c>
      <c r="I160" s="33" t="s">
        <v>732</v>
      </c>
      <c r="J160" s="33" t="str">
        <f t="shared" si="4"/>
        <v>2016-18Inverclyde</v>
      </c>
      <c r="K160" s="33">
        <v>59.58</v>
      </c>
    </row>
    <row r="161" spans="1:11">
      <c r="A161" s="33" t="s">
        <v>156</v>
      </c>
      <c r="B161" s="33" t="s">
        <v>45</v>
      </c>
      <c r="C161" s="33" t="s">
        <v>733</v>
      </c>
      <c r="D161" s="33" t="s">
        <v>97</v>
      </c>
      <c r="E161" s="33" t="s">
        <v>30</v>
      </c>
      <c r="F161" s="33">
        <v>1</v>
      </c>
      <c r="G161" s="33" t="s">
        <v>609</v>
      </c>
      <c r="H161">
        <v>1</v>
      </c>
      <c r="I161" s="33" t="s">
        <v>732</v>
      </c>
      <c r="J161" s="33" t="str">
        <f t="shared" si="4"/>
        <v>2016-18Midlothian</v>
      </c>
      <c r="K161" s="33">
        <v>61.02</v>
      </c>
    </row>
    <row r="162" spans="1:11">
      <c r="A162" s="33" t="s">
        <v>156</v>
      </c>
      <c r="B162" s="33" t="s">
        <v>45</v>
      </c>
      <c r="C162" s="33" t="s">
        <v>733</v>
      </c>
      <c r="D162" s="33" t="s">
        <v>96</v>
      </c>
      <c r="E162" s="33" t="s">
        <v>31</v>
      </c>
      <c r="F162" s="33">
        <v>1</v>
      </c>
      <c r="G162" s="33" t="s">
        <v>609</v>
      </c>
      <c r="H162">
        <v>1</v>
      </c>
      <c r="I162" s="33" t="s">
        <v>732</v>
      </c>
      <c r="J162" s="33" t="str">
        <f t="shared" si="4"/>
        <v>2016-18Moray</v>
      </c>
      <c r="K162" s="33">
        <v>62.12</v>
      </c>
    </row>
    <row r="163" spans="1:11">
      <c r="A163" s="33" t="s">
        <v>156</v>
      </c>
      <c r="B163" s="33" t="s">
        <v>45</v>
      </c>
      <c r="C163" s="33" t="s">
        <v>733</v>
      </c>
      <c r="D163" s="33" t="s">
        <v>94</v>
      </c>
      <c r="E163" s="33" t="s">
        <v>33</v>
      </c>
      <c r="F163" s="33">
        <v>1</v>
      </c>
      <c r="G163" s="33" t="s">
        <v>609</v>
      </c>
      <c r="H163">
        <v>1</v>
      </c>
      <c r="I163" s="33" t="s">
        <v>732</v>
      </c>
      <c r="J163" s="33" t="str">
        <f t="shared" si="4"/>
        <v>2016-18North Ayrshire</v>
      </c>
      <c r="K163" s="33">
        <v>57.33</v>
      </c>
    </row>
    <row r="164" spans="1:11">
      <c r="A164" s="33" t="s">
        <v>156</v>
      </c>
      <c r="B164" s="33" t="s">
        <v>45</v>
      </c>
      <c r="C164" s="33" t="s">
        <v>733</v>
      </c>
      <c r="D164" s="33" t="s">
        <v>92</v>
      </c>
      <c r="E164" s="33" t="s">
        <v>35</v>
      </c>
      <c r="F164" s="33">
        <v>1</v>
      </c>
      <c r="G164" s="33" t="s">
        <v>609</v>
      </c>
      <c r="H164">
        <v>1</v>
      </c>
      <c r="I164" s="33" t="s">
        <v>732</v>
      </c>
      <c r="J164" s="33" t="str">
        <f t="shared" si="4"/>
        <v>2016-18Orkney Islands</v>
      </c>
      <c r="K164" s="33">
        <v>66.680000000000007</v>
      </c>
    </row>
    <row r="165" spans="1:11">
      <c r="A165" s="33" t="s">
        <v>156</v>
      </c>
      <c r="B165" s="33" t="s">
        <v>45</v>
      </c>
      <c r="C165" s="33" t="s">
        <v>733</v>
      </c>
      <c r="D165" s="33" t="s">
        <v>89</v>
      </c>
      <c r="E165" s="33" t="s">
        <v>38</v>
      </c>
      <c r="F165" s="33">
        <v>1</v>
      </c>
      <c r="G165" s="33" t="s">
        <v>609</v>
      </c>
      <c r="H165">
        <v>1</v>
      </c>
      <c r="I165" s="33" t="s">
        <v>732</v>
      </c>
      <c r="J165" s="33" t="str">
        <f t="shared" si="4"/>
        <v>2016-18Scottish Borders</v>
      </c>
      <c r="K165" s="33">
        <v>63.5</v>
      </c>
    </row>
    <row r="166" spans="1:11">
      <c r="A166" s="33" t="s">
        <v>156</v>
      </c>
      <c r="B166" s="33" t="s">
        <v>45</v>
      </c>
      <c r="C166" s="33" t="s">
        <v>733</v>
      </c>
      <c r="D166" s="33" t="s">
        <v>88</v>
      </c>
      <c r="E166" s="33" t="s">
        <v>39</v>
      </c>
      <c r="F166" s="33">
        <v>1</v>
      </c>
      <c r="G166" s="33" t="s">
        <v>609</v>
      </c>
      <c r="H166">
        <v>1</v>
      </c>
      <c r="I166" s="33" t="s">
        <v>732</v>
      </c>
      <c r="J166" s="33" t="str">
        <f t="shared" si="4"/>
        <v>2016-18Shetland Islands</v>
      </c>
      <c r="K166" s="33">
        <v>67.489999999999995</v>
      </c>
    </row>
    <row r="167" spans="1:11">
      <c r="A167" s="33" t="s">
        <v>156</v>
      </c>
      <c r="B167" s="33" t="s">
        <v>45</v>
      </c>
      <c r="C167" s="33" t="s">
        <v>733</v>
      </c>
      <c r="D167" s="33" t="s">
        <v>87</v>
      </c>
      <c r="E167" s="33" t="s">
        <v>40</v>
      </c>
      <c r="F167" s="33">
        <v>1</v>
      </c>
      <c r="G167" s="33" t="s">
        <v>609</v>
      </c>
      <c r="H167">
        <v>1</v>
      </c>
      <c r="I167" s="33" t="s">
        <v>732</v>
      </c>
      <c r="J167" s="33" t="str">
        <f t="shared" si="4"/>
        <v>2016-18South Ayrshire</v>
      </c>
      <c r="K167" s="33">
        <v>61.68</v>
      </c>
    </row>
    <row r="168" spans="1:11">
      <c r="A168" s="33" t="s">
        <v>156</v>
      </c>
      <c r="B168" s="33" t="s">
        <v>45</v>
      </c>
      <c r="C168" s="33" t="s">
        <v>733</v>
      </c>
      <c r="D168" s="33" t="s">
        <v>86</v>
      </c>
      <c r="E168" s="33" t="s">
        <v>41</v>
      </c>
      <c r="F168" s="33">
        <v>1</v>
      </c>
      <c r="G168" s="33" t="s">
        <v>609</v>
      </c>
      <c r="H168">
        <v>1</v>
      </c>
      <c r="I168" s="33" t="s">
        <v>732</v>
      </c>
      <c r="J168" s="33" t="str">
        <f t="shared" si="4"/>
        <v>2016-18South Lanarkshire</v>
      </c>
      <c r="K168" s="33">
        <v>59.27</v>
      </c>
    </row>
    <row r="169" spans="1:11">
      <c r="A169" s="33" t="s">
        <v>156</v>
      </c>
      <c r="B169" s="33" t="s">
        <v>45</v>
      </c>
      <c r="C169" s="33" t="s">
        <v>733</v>
      </c>
      <c r="D169" s="33" t="s">
        <v>85</v>
      </c>
      <c r="E169" s="33" t="s">
        <v>42</v>
      </c>
      <c r="F169" s="33">
        <v>1</v>
      </c>
      <c r="G169" s="33" t="s">
        <v>609</v>
      </c>
      <c r="H169">
        <v>1</v>
      </c>
      <c r="I169" s="33" t="s">
        <v>732</v>
      </c>
      <c r="J169" s="33" t="str">
        <f t="shared" si="4"/>
        <v>2016-18Stirling</v>
      </c>
      <c r="K169" s="33">
        <v>63.28</v>
      </c>
    </row>
    <row r="170" spans="1:11">
      <c r="A170" s="33" t="s">
        <v>156</v>
      </c>
      <c r="B170" s="33" t="s">
        <v>45</v>
      </c>
      <c r="C170" s="33" t="s">
        <v>733</v>
      </c>
      <c r="D170" s="33" t="s">
        <v>114</v>
      </c>
      <c r="E170" s="33" t="s">
        <v>14</v>
      </c>
      <c r="F170" s="33">
        <v>1</v>
      </c>
      <c r="G170" s="33" t="s">
        <v>609</v>
      </c>
      <c r="H170">
        <v>1</v>
      </c>
      <c r="I170" s="33" t="s">
        <v>732</v>
      </c>
      <c r="J170" s="33" t="str">
        <f t="shared" si="4"/>
        <v>2016-18Aberdeen City</v>
      </c>
      <c r="K170" s="33">
        <v>60.96</v>
      </c>
    </row>
    <row r="171" spans="1:11">
      <c r="A171" s="33" t="s">
        <v>156</v>
      </c>
      <c r="B171" s="33" t="s">
        <v>45</v>
      </c>
      <c r="C171" s="33" t="s">
        <v>733</v>
      </c>
      <c r="D171" s="33" t="s">
        <v>113</v>
      </c>
      <c r="E171" s="33" t="s">
        <v>15</v>
      </c>
      <c r="F171" s="33">
        <v>1</v>
      </c>
      <c r="G171" s="33" t="s">
        <v>609</v>
      </c>
      <c r="H171">
        <v>1</v>
      </c>
      <c r="I171" s="33" t="s">
        <v>732</v>
      </c>
      <c r="J171" s="33" t="str">
        <f t="shared" si="4"/>
        <v>2016-18Aberdeenshire</v>
      </c>
      <c r="K171" s="33">
        <v>68.92</v>
      </c>
    </row>
    <row r="172" spans="1:11">
      <c r="A172" s="33" t="s">
        <v>156</v>
      </c>
      <c r="B172" s="33" t="s">
        <v>45</v>
      </c>
      <c r="C172" s="33" t="s">
        <v>733</v>
      </c>
      <c r="D172" s="33" t="s">
        <v>111</v>
      </c>
      <c r="E172" s="33" t="s">
        <v>17</v>
      </c>
      <c r="F172" s="33">
        <v>1</v>
      </c>
      <c r="G172" s="33" t="s">
        <v>609</v>
      </c>
      <c r="H172">
        <v>1</v>
      </c>
      <c r="I172" s="33" t="s">
        <v>732</v>
      </c>
      <c r="J172" s="33" t="str">
        <f t="shared" si="4"/>
        <v>2016-18Argyll and Bute</v>
      </c>
      <c r="K172" s="33">
        <v>65.209999999999994</v>
      </c>
    </row>
    <row r="173" spans="1:11">
      <c r="A173" s="33" t="s">
        <v>156</v>
      </c>
      <c r="B173" s="33" t="s">
        <v>45</v>
      </c>
      <c r="C173" s="33" t="s">
        <v>733</v>
      </c>
      <c r="D173" s="33" t="s">
        <v>110</v>
      </c>
      <c r="E173" s="33" t="s">
        <v>586</v>
      </c>
      <c r="F173" s="33">
        <v>1</v>
      </c>
      <c r="G173" s="33" t="s">
        <v>609</v>
      </c>
      <c r="H173">
        <v>1</v>
      </c>
      <c r="I173" s="33" t="s">
        <v>732</v>
      </c>
      <c r="J173" s="33" t="str">
        <f t="shared" si="4"/>
        <v>2016-18City of Edinburgh</v>
      </c>
      <c r="K173" s="33">
        <v>65.400000000000006</v>
      </c>
    </row>
    <row r="174" spans="1:11">
      <c r="A174" s="33" t="s">
        <v>156</v>
      </c>
      <c r="B174" s="33" t="s">
        <v>45</v>
      </c>
      <c r="C174" s="33" t="s">
        <v>733</v>
      </c>
      <c r="D174" s="33" t="s">
        <v>90</v>
      </c>
      <c r="E174" s="33" t="s">
        <v>37</v>
      </c>
      <c r="F174" s="33">
        <v>1</v>
      </c>
      <c r="G174" s="33" t="s">
        <v>609</v>
      </c>
      <c r="H174">
        <v>1</v>
      </c>
      <c r="I174" s="33" t="s">
        <v>732</v>
      </c>
      <c r="J174" s="33" t="str">
        <f t="shared" ref="J174:J237" si="5">CONCATENATE(A174,E174)</f>
        <v>2016-18Renfrewshire</v>
      </c>
      <c r="K174" s="33">
        <v>60.17</v>
      </c>
    </row>
    <row r="175" spans="1:11">
      <c r="A175" s="33" t="s">
        <v>156</v>
      </c>
      <c r="B175" s="33" t="s">
        <v>45</v>
      </c>
      <c r="C175" s="33" t="s">
        <v>733</v>
      </c>
      <c r="D175" s="33" t="s">
        <v>84</v>
      </c>
      <c r="E175" s="33" t="s">
        <v>43</v>
      </c>
      <c r="F175" s="33">
        <v>1</v>
      </c>
      <c r="G175" s="33" t="s">
        <v>609</v>
      </c>
      <c r="H175">
        <v>1</v>
      </c>
      <c r="I175" s="33" t="s">
        <v>732</v>
      </c>
      <c r="J175" s="33" t="str">
        <f t="shared" si="5"/>
        <v>2016-18West Dunbartonshire</v>
      </c>
      <c r="K175" s="33">
        <v>58.35</v>
      </c>
    </row>
    <row r="176" spans="1:11">
      <c r="A176" s="33" t="s">
        <v>156</v>
      </c>
      <c r="B176" s="33" t="s">
        <v>45</v>
      </c>
      <c r="C176" s="33" t="s">
        <v>733</v>
      </c>
      <c r="D176" s="33" t="s">
        <v>83</v>
      </c>
      <c r="E176" s="33" t="s">
        <v>44</v>
      </c>
      <c r="F176" s="33">
        <v>1</v>
      </c>
      <c r="G176" s="33" t="s">
        <v>609</v>
      </c>
      <c r="H176">
        <v>1</v>
      </c>
      <c r="I176" s="33" t="s">
        <v>732</v>
      </c>
      <c r="J176" s="33" t="str">
        <f t="shared" si="5"/>
        <v>2016-18West Lothian</v>
      </c>
      <c r="K176" s="33">
        <v>63.04</v>
      </c>
    </row>
    <row r="177" spans="1:11">
      <c r="A177" s="33" t="s">
        <v>156</v>
      </c>
      <c r="B177" s="33" t="s">
        <v>45</v>
      </c>
      <c r="C177" s="33" t="s">
        <v>733</v>
      </c>
      <c r="D177" s="33" t="s">
        <v>112</v>
      </c>
      <c r="E177" s="33" t="s">
        <v>16</v>
      </c>
      <c r="F177" s="33">
        <v>1</v>
      </c>
      <c r="G177" s="33" t="s">
        <v>609</v>
      </c>
      <c r="H177">
        <v>1</v>
      </c>
      <c r="I177" s="33" t="s">
        <v>732</v>
      </c>
      <c r="J177" s="33" t="str">
        <f t="shared" si="5"/>
        <v>2016-18Angus</v>
      </c>
      <c r="K177" s="33">
        <v>61.15</v>
      </c>
    </row>
    <row r="178" spans="1:11">
      <c r="A178" s="33" t="s">
        <v>156</v>
      </c>
      <c r="B178" s="33" t="s">
        <v>45</v>
      </c>
      <c r="C178" s="33" t="s">
        <v>733</v>
      </c>
      <c r="D178" s="33" t="s">
        <v>107</v>
      </c>
      <c r="E178" s="33" t="s">
        <v>20</v>
      </c>
      <c r="F178" s="33">
        <v>1</v>
      </c>
      <c r="G178" s="33" t="s">
        <v>609</v>
      </c>
      <c r="H178">
        <v>1</v>
      </c>
      <c r="I178" s="33" t="s">
        <v>732</v>
      </c>
      <c r="J178" s="33" t="str">
        <f t="shared" si="5"/>
        <v>2016-18Dundee City</v>
      </c>
      <c r="K178" s="33">
        <v>56.46</v>
      </c>
    </row>
    <row r="179" spans="1:11">
      <c r="A179" s="33" t="s">
        <v>156</v>
      </c>
      <c r="B179" s="33" t="s">
        <v>45</v>
      </c>
      <c r="C179" s="33" t="s">
        <v>733</v>
      </c>
      <c r="D179" s="33" t="s">
        <v>105</v>
      </c>
      <c r="E179" s="33" t="s">
        <v>22</v>
      </c>
      <c r="F179" s="33">
        <v>1</v>
      </c>
      <c r="G179" s="33" t="s">
        <v>609</v>
      </c>
      <c r="H179">
        <v>1</v>
      </c>
      <c r="I179" s="33" t="s">
        <v>732</v>
      </c>
      <c r="J179" s="33" t="str">
        <f t="shared" si="5"/>
        <v>2016-18East Dunbartonshire</v>
      </c>
      <c r="K179" s="33">
        <v>69.69</v>
      </c>
    </row>
    <row r="180" spans="1:11">
      <c r="A180" s="33" t="s">
        <v>156</v>
      </c>
      <c r="B180" s="33" t="s">
        <v>45</v>
      </c>
      <c r="C180" s="33" t="s">
        <v>733</v>
      </c>
      <c r="D180" s="33" t="s">
        <v>101</v>
      </c>
      <c r="E180" s="33" t="s">
        <v>26</v>
      </c>
      <c r="F180" s="33">
        <v>1</v>
      </c>
      <c r="G180" s="33" t="s">
        <v>609</v>
      </c>
      <c r="H180">
        <v>1</v>
      </c>
      <c r="I180" s="33" t="s">
        <v>732</v>
      </c>
      <c r="J180" s="33" t="str">
        <f t="shared" si="5"/>
        <v>2016-18Fife</v>
      </c>
      <c r="K180" s="33">
        <v>60.97</v>
      </c>
    </row>
    <row r="181" spans="1:11">
      <c r="A181" s="33" t="s">
        <v>156</v>
      </c>
      <c r="B181" s="33" t="s">
        <v>45</v>
      </c>
      <c r="C181" s="33" t="s">
        <v>733</v>
      </c>
      <c r="D181" s="33" t="s">
        <v>91</v>
      </c>
      <c r="E181" s="33" t="s">
        <v>36</v>
      </c>
      <c r="F181" s="33">
        <v>1</v>
      </c>
      <c r="G181" s="33" t="s">
        <v>609</v>
      </c>
      <c r="H181">
        <v>1</v>
      </c>
      <c r="I181" s="33" t="s">
        <v>732</v>
      </c>
      <c r="J181" s="33" t="str">
        <f t="shared" si="5"/>
        <v>2016-18Perth and Kinross</v>
      </c>
      <c r="K181" s="33">
        <v>66.64</v>
      </c>
    </row>
    <row r="182" spans="1:11">
      <c r="A182" s="33" t="s">
        <v>156</v>
      </c>
      <c r="B182" s="33" t="s">
        <v>45</v>
      </c>
      <c r="C182" s="33" t="s">
        <v>733</v>
      </c>
      <c r="D182" s="33" t="s">
        <v>163</v>
      </c>
      <c r="E182" s="33" t="s">
        <v>27</v>
      </c>
      <c r="F182" s="33">
        <v>1</v>
      </c>
      <c r="G182" s="33" t="s">
        <v>609</v>
      </c>
      <c r="H182">
        <v>1</v>
      </c>
      <c r="I182" s="33" t="s">
        <v>732</v>
      </c>
      <c r="J182" s="33" t="str">
        <f t="shared" si="5"/>
        <v>2016-18Glasgow City</v>
      </c>
      <c r="K182" s="33">
        <v>56.08</v>
      </c>
    </row>
    <row r="183" spans="1:11">
      <c r="A183" s="33" t="s">
        <v>156</v>
      </c>
      <c r="B183" s="33" t="s">
        <v>45</v>
      </c>
      <c r="C183" s="33" t="s">
        <v>733</v>
      </c>
      <c r="D183" s="33" t="s">
        <v>162</v>
      </c>
      <c r="E183" s="33" t="s">
        <v>34</v>
      </c>
      <c r="F183" s="33">
        <v>1</v>
      </c>
      <c r="G183" s="33" t="s">
        <v>609</v>
      </c>
      <c r="H183">
        <v>1</v>
      </c>
      <c r="I183" s="33" t="s">
        <v>732</v>
      </c>
      <c r="J183" s="33" t="str">
        <f t="shared" si="5"/>
        <v>2016-18North Lanarkshire</v>
      </c>
      <c r="K183" s="33">
        <v>57.96</v>
      </c>
    </row>
    <row r="184" spans="1:11">
      <c r="A184" s="33" t="s">
        <v>156</v>
      </c>
      <c r="B184" s="33" t="s">
        <v>45</v>
      </c>
      <c r="C184" s="33" t="s">
        <v>725</v>
      </c>
      <c r="D184" s="33" t="s">
        <v>488</v>
      </c>
      <c r="E184" s="33" t="s">
        <v>45</v>
      </c>
      <c r="F184" s="33">
        <v>1</v>
      </c>
      <c r="G184" s="33" t="s">
        <v>609</v>
      </c>
      <c r="H184">
        <v>1</v>
      </c>
      <c r="I184" s="33" t="s">
        <v>732</v>
      </c>
      <c r="J184" s="33" t="str">
        <f t="shared" si="5"/>
        <v>2016-18Scotland</v>
      </c>
      <c r="K184" s="33">
        <v>61.88</v>
      </c>
    </row>
    <row r="185" spans="1:11">
      <c r="A185" s="33" t="s">
        <v>155</v>
      </c>
      <c r="B185" s="33" t="s">
        <v>46</v>
      </c>
      <c r="C185" s="33" t="s">
        <v>725</v>
      </c>
      <c r="D185" s="33" t="s">
        <v>608</v>
      </c>
      <c r="E185" s="33" t="s">
        <v>46</v>
      </c>
      <c r="F185" s="33">
        <v>1</v>
      </c>
      <c r="G185" s="33" t="s">
        <v>609</v>
      </c>
      <c r="H185">
        <v>1</v>
      </c>
      <c r="I185" s="33" t="s">
        <v>732</v>
      </c>
      <c r="J185" s="33" t="str">
        <f t="shared" si="5"/>
        <v>2017-19United Kingdom</v>
      </c>
      <c r="K185" s="33">
        <v>62.9</v>
      </c>
    </row>
    <row r="186" spans="1:11">
      <c r="A186" s="33" t="s">
        <v>155</v>
      </c>
      <c r="B186" s="33" t="s">
        <v>45</v>
      </c>
      <c r="C186" s="33" t="s">
        <v>733</v>
      </c>
      <c r="D186" s="33" t="s">
        <v>109</v>
      </c>
      <c r="E186" s="33" t="s">
        <v>18</v>
      </c>
      <c r="F186" s="33">
        <v>1</v>
      </c>
      <c r="G186" s="33" t="s">
        <v>609</v>
      </c>
      <c r="H186">
        <v>1</v>
      </c>
      <c r="I186" s="33" t="s">
        <v>732</v>
      </c>
      <c r="J186" s="33" t="str">
        <f t="shared" si="5"/>
        <v>2017-19Clackmannanshire</v>
      </c>
      <c r="K186" s="33">
        <v>62.78</v>
      </c>
    </row>
    <row r="187" spans="1:11">
      <c r="A187" s="33" t="s">
        <v>155</v>
      </c>
      <c r="B187" s="33" t="s">
        <v>45</v>
      </c>
      <c r="C187" s="33" t="s">
        <v>733</v>
      </c>
      <c r="D187" s="33" t="s">
        <v>108</v>
      </c>
      <c r="E187" s="33" t="s">
        <v>19</v>
      </c>
      <c r="F187" s="33">
        <v>1</v>
      </c>
      <c r="G187" s="33" t="s">
        <v>609</v>
      </c>
      <c r="H187">
        <v>1</v>
      </c>
      <c r="I187" s="33" t="s">
        <v>732</v>
      </c>
      <c r="J187" s="33" t="str">
        <f t="shared" si="5"/>
        <v>2017-19Dumfries and Galloway</v>
      </c>
      <c r="K187" s="33">
        <v>62.39</v>
      </c>
    </row>
    <row r="188" spans="1:11">
      <c r="A188" s="33" t="s">
        <v>155</v>
      </c>
      <c r="B188" s="33" t="s">
        <v>45</v>
      </c>
      <c r="C188" s="33" t="s">
        <v>733</v>
      </c>
      <c r="D188" s="33" t="s">
        <v>106</v>
      </c>
      <c r="E188" s="33" t="s">
        <v>21</v>
      </c>
      <c r="F188" s="33">
        <v>1</v>
      </c>
      <c r="G188" s="33" t="s">
        <v>609</v>
      </c>
      <c r="H188">
        <v>1</v>
      </c>
      <c r="I188" s="33" t="s">
        <v>732</v>
      </c>
      <c r="J188" s="33" t="str">
        <f t="shared" si="5"/>
        <v>2017-19East Ayrshire</v>
      </c>
      <c r="K188" s="33">
        <v>59.33</v>
      </c>
    </row>
    <row r="189" spans="1:11">
      <c r="A189" s="33" t="s">
        <v>155</v>
      </c>
      <c r="B189" s="33" t="s">
        <v>45</v>
      </c>
      <c r="C189" s="33" t="s">
        <v>733</v>
      </c>
      <c r="D189" s="33" t="s">
        <v>104</v>
      </c>
      <c r="E189" s="33" t="s">
        <v>23</v>
      </c>
      <c r="F189" s="33">
        <v>1</v>
      </c>
      <c r="G189" s="33" t="s">
        <v>609</v>
      </c>
      <c r="H189">
        <v>1</v>
      </c>
      <c r="I189" s="33" t="s">
        <v>732</v>
      </c>
      <c r="J189" s="33" t="str">
        <f t="shared" si="5"/>
        <v>2017-19East Lothian</v>
      </c>
      <c r="K189" s="33">
        <v>65.2</v>
      </c>
    </row>
    <row r="190" spans="1:11">
      <c r="A190" s="33" t="s">
        <v>155</v>
      </c>
      <c r="B190" s="33" t="s">
        <v>45</v>
      </c>
      <c r="C190" s="33" t="s">
        <v>733</v>
      </c>
      <c r="D190" s="33" t="s">
        <v>103</v>
      </c>
      <c r="E190" s="33" t="s">
        <v>24</v>
      </c>
      <c r="F190" s="33">
        <v>1</v>
      </c>
      <c r="G190" s="33" t="s">
        <v>609</v>
      </c>
      <c r="H190">
        <v>1</v>
      </c>
      <c r="I190" s="33" t="s">
        <v>732</v>
      </c>
      <c r="J190" s="33" t="str">
        <f t="shared" si="5"/>
        <v>2017-19East Renfrewshire</v>
      </c>
      <c r="K190" s="33">
        <v>68.28</v>
      </c>
    </row>
    <row r="191" spans="1:11">
      <c r="A191" s="33" t="s">
        <v>155</v>
      </c>
      <c r="B191" s="33" t="s">
        <v>45</v>
      </c>
      <c r="C191" s="33" t="s">
        <v>733</v>
      </c>
      <c r="D191" s="33" t="s">
        <v>95</v>
      </c>
      <c r="E191" s="33" t="s">
        <v>32</v>
      </c>
      <c r="F191" s="33">
        <v>1</v>
      </c>
      <c r="G191" s="33" t="s">
        <v>609</v>
      </c>
      <c r="H191">
        <v>1</v>
      </c>
      <c r="I191" s="33" t="s">
        <v>732</v>
      </c>
      <c r="J191" s="33" t="str">
        <f t="shared" si="5"/>
        <v>2017-19Na h-Eileanan Siar</v>
      </c>
      <c r="K191" s="33">
        <v>66.989999999999995</v>
      </c>
    </row>
    <row r="192" spans="1:11">
      <c r="A192" s="33" t="s">
        <v>155</v>
      </c>
      <c r="B192" s="33" t="s">
        <v>45</v>
      </c>
      <c r="C192" s="33" t="s">
        <v>733</v>
      </c>
      <c r="D192" s="33" t="s">
        <v>102</v>
      </c>
      <c r="E192" s="33" t="s">
        <v>25</v>
      </c>
      <c r="F192" s="33">
        <v>1</v>
      </c>
      <c r="G192" s="33" t="s">
        <v>609</v>
      </c>
      <c r="H192">
        <v>1</v>
      </c>
      <c r="I192" s="33" t="s">
        <v>732</v>
      </c>
      <c r="J192" s="33" t="str">
        <f t="shared" si="5"/>
        <v>2017-19Falkirk</v>
      </c>
      <c r="K192" s="33">
        <v>62.39</v>
      </c>
    </row>
    <row r="193" spans="1:11">
      <c r="A193" s="33" t="s">
        <v>155</v>
      </c>
      <c r="B193" s="33" t="s">
        <v>45</v>
      </c>
      <c r="C193" s="33" t="s">
        <v>733</v>
      </c>
      <c r="D193" s="33" t="s">
        <v>99</v>
      </c>
      <c r="E193" s="33" t="s">
        <v>28</v>
      </c>
      <c r="F193" s="33">
        <v>1</v>
      </c>
      <c r="G193" s="33" t="s">
        <v>609</v>
      </c>
      <c r="H193">
        <v>1</v>
      </c>
      <c r="I193" s="33" t="s">
        <v>732</v>
      </c>
      <c r="J193" s="33" t="str">
        <f t="shared" si="5"/>
        <v>2017-19Highland</v>
      </c>
      <c r="K193" s="33">
        <v>63.95</v>
      </c>
    </row>
    <row r="194" spans="1:11">
      <c r="A194" s="33" t="s">
        <v>155</v>
      </c>
      <c r="B194" s="33" t="s">
        <v>45</v>
      </c>
      <c r="C194" s="33" t="s">
        <v>733</v>
      </c>
      <c r="D194" s="33" t="s">
        <v>98</v>
      </c>
      <c r="E194" s="33" t="s">
        <v>29</v>
      </c>
      <c r="F194" s="33">
        <v>1</v>
      </c>
      <c r="G194" s="33" t="s">
        <v>609</v>
      </c>
      <c r="H194">
        <v>1</v>
      </c>
      <c r="I194" s="33" t="s">
        <v>732</v>
      </c>
      <c r="J194" s="33" t="str">
        <f t="shared" si="5"/>
        <v>2017-19Inverclyde</v>
      </c>
      <c r="K194" s="33">
        <v>58.35</v>
      </c>
    </row>
    <row r="195" spans="1:11">
      <c r="A195" s="33" t="s">
        <v>155</v>
      </c>
      <c r="B195" s="33" t="s">
        <v>45</v>
      </c>
      <c r="C195" s="33" t="s">
        <v>733</v>
      </c>
      <c r="D195" s="33" t="s">
        <v>97</v>
      </c>
      <c r="E195" s="33" t="s">
        <v>30</v>
      </c>
      <c r="F195" s="33">
        <v>1</v>
      </c>
      <c r="G195" s="33" t="s">
        <v>609</v>
      </c>
      <c r="H195">
        <v>1</v>
      </c>
      <c r="I195" s="33" t="s">
        <v>732</v>
      </c>
      <c r="J195" s="33" t="str">
        <f t="shared" si="5"/>
        <v>2017-19Midlothian</v>
      </c>
      <c r="K195" s="33">
        <v>63.36</v>
      </c>
    </row>
    <row r="196" spans="1:11">
      <c r="A196" s="33" t="s">
        <v>155</v>
      </c>
      <c r="B196" s="33" t="s">
        <v>45</v>
      </c>
      <c r="C196" s="33" t="s">
        <v>733</v>
      </c>
      <c r="D196" s="33" t="s">
        <v>96</v>
      </c>
      <c r="E196" s="33" t="s">
        <v>31</v>
      </c>
      <c r="F196" s="33">
        <v>1</v>
      </c>
      <c r="G196" s="33" t="s">
        <v>609</v>
      </c>
      <c r="H196">
        <v>1</v>
      </c>
      <c r="I196" s="33" t="s">
        <v>732</v>
      </c>
      <c r="J196" s="33" t="str">
        <f t="shared" si="5"/>
        <v>2017-19Moray</v>
      </c>
      <c r="K196" s="33">
        <v>61.48</v>
      </c>
    </row>
    <row r="197" spans="1:11">
      <c r="A197" s="33" t="s">
        <v>155</v>
      </c>
      <c r="B197" s="33" t="s">
        <v>45</v>
      </c>
      <c r="C197" s="33" t="s">
        <v>733</v>
      </c>
      <c r="D197" s="33" t="s">
        <v>94</v>
      </c>
      <c r="E197" s="33" t="s">
        <v>33</v>
      </c>
      <c r="F197" s="33">
        <v>1</v>
      </c>
      <c r="G197" s="33" t="s">
        <v>609</v>
      </c>
      <c r="H197">
        <v>1</v>
      </c>
      <c r="I197" s="33" t="s">
        <v>732</v>
      </c>
      <c r="J197" s="33" t="str">
        <f t="shared" si="5"/>
        <v>2017-19North Ayrshire</v>
      </c>
      <c r="K197" s="33">
        <v>58.52</v>
      </c>
    </row>
    <row r="198" spans="1:11">
      <c r="A198" s="33" t="s">
        <v>155</v>
      </c>
      <c r="B198" s="33" t="s">
        <v>45</v>
      </c>
      <c r="C198" s="33" t="s">
        <v>733</v>
      </c>
      <c r="D198" s="33" t="s">
        <v>92</v>
      </c>
      <c r="E198" s="33" t="s">
        <v>35</v>
      </c>
      <c r="F198" s="33">
        <v>1</v>
      </c>
      <c r="G198" s="33" t="s">
        <v>609</v>
      </c>
      <c r="H198">
        <v>1</v>
      </c>
      <c r="I198" s="33" t="s">
        <v>732</v>
      </c>
      <c r="J198" s="33" t="str">
        <f t="shared" si="5"/>
        <v>2017-19Orkney Islands</v>
      </c>
      <c r="K198" s="33">
        <v>69.33</v>
      </c>
    </row>
    <row r="199" spans="1:11">
      <c r="A199" s="33" t="s">
        <v>155</v>
      </c>
      <c r="B199" s="33" t="s">
        <v>45</v>
      </c>
      <c r="C199" s="33" t="s">
        <v>733</v>
      </c>
      <c r="D199" s="33" t="s">
        <v>89</v>
      </c>
      <c r="E199" s="33" t="s">
        <v>38</v>
      </c>
      <c r="F199" s="33">
        <v>1</v>
      </c>
      <c r="G199" s="33" t="s">
        <v>609</v>
      </c>
      <c r="H199">
        <v>1</v>
      </c>
      <c r="I199" s="33" t="s">
        <v>732</v>
      </c>
      <c r="J199" s="33" t="str">
        <f t="shared" si="5"/>
        <v>2017-19Scottish Borders</v>
      </c>
      <c r="K199" s="33">
        <v>63.31</v>
      </c>
    </row>
    <row r="200" spans="1:11">
      <c r="A200" s="33" t="s">
        <v>155</v>
      </c>
      <c r="B200" s="33" t="s">
        <v>45</v>
      </c>
      <c r="C200" s="33" t="s">
        <v>733</v>
      </c>
      <c r="D200" s="33" t="s">
        <v>88</v>
      </c>
      <c r="E200" s="33" t="s">
        <v>39</v>
      </c>
      <c r="F200" s="33">
        <v>1</v>
      </c>
      <c r="G200" s="33" t="s">
        <v>609</v>
      </c>
      <c r="H200">
        <v>1</v>
      </c>
      <c r="I200" s="33" t="s">
        <v>732</v>
      </c>
      <c r="J200" s="33" t="str">
        <f t="shared" si="5"/>
        <v>2017-19Shetland Islands</v>
      </c>
      <c r="K200" s="33">
        <v>68.95</v>
      </c>
    </row>
    <row r="201" spans="1:11">
      <c r="A201" s="33" t="s">
        <v>155</v>
      </c>
      <c r="B201" s="33" t="s">
        <v>45</v>
      </c>
      <c r="C201" s="33" t="s">
        <v>733</v>
      </c>
      <c r="D201" s="33" t="s">
        <v>87</v>
      </c>
      <c r="E201" s="33" t="s">
        <v>40</v>
      </c>
      <c r="F201" s="33">
        <v>1</v>
      </c>
      <c r="G201" s="33" t="s">
        <v>609</v>
      </c>
      <c r="H201">
        <v>1</v>
      </c>
      <c r="I201" s="33" t="s">
        <v>732</v>
      </c>
      <c r="J201" s="33" t="str">
        <f t="shared" si="5"/>
        <v>2017-19South Ayrshire</v>
      </c>
      <c r="K201" s="33">
        <v>59.96</v>
      </c>
    </row>
    <row r="202" spans="1:11">
      <c r="A202" s="33" t="s">
        <v>155</v>
      </c>
      <c r="B202" s="33" t="s">
        <v>45</v>
      </c>
      <c r="C202" s="33" t="s">
        <v>733</v>
      </c>
      <c r="D202" s="33" t="s">
        <v>86</v>
      </c>
      <c r="E202" s="33" t="s">
        <v>41</v>
      </c>
      <c r="F202" s="33">
        <v>1</v>
      </c>
      <c r="G202" s="33" t="s">
        <v>609</v>
      </c>
      <c r="H202">
        <v>1</v>
      </c>
      <c r="I202" s="33" t="s">
        <v>732</v>
      </c>
      <c r="J202" s="33" t="str">
        <f t="shared" si="5"/>
        <v>2017-19South Lanarkshire</v>
      </c>
      <c r="K202" s="33">
        <v>57.91</v>
      </c>
    </row>
    <row r="203" spans="1:11">
      <c r="A203" s="33" t="s">
        <v>155</v>
      </c>
      <c r="B203" s="33" t="s">
        <v>45</v>
      </c>
      <c r="C203" s="33" t="s">
        <v>733</v>
      </c>
      <c r="D203" s="33" t="s">
        <v>85</v>
      </c>
      <c r="E203" s="33" t="s">
        <v>42</v>
      </c>
      <c r="F203" s="33">
        <v>1</v>
      </c>
      <c r="G203" s="33" t="s">
        <v>609</v>
      </c>
      <c r="H203">
        <v>1</v>
      </c>
      <c r="I203" s="33" t="s">
        <v>732</v>
      </c>
      <c r="J203" s="33" t="str">
        <f t="shared" si="5"/>
        <v>2017-19Stirling</v>
      </c>
      <c r="K203" s="33">
        <v>61.79</v>
      </c>
    </row>
    <row r="204" spans="1:11">
      <c r="A204" s="33" t="s">
        <v>155</v>
      </c>
      <c r="B204" s="33" t="s">
        <v>45</v>
      </c>
      <c r="C204" s="33" t="s">
        <v>733</v>
      </c>
      <c r="D204" s="33" t="s">
        <v>114</v>
      </c>
      <c r="E204" s="33" t="s">
        <v>14</v>
      </c>
      <c r="F204" s="33">
        <v>1</v>
      </c>
      <c r="G204" s="33" t="s">
        <v>609</v>
      </c>
      <c r="H204">
        <v>1</v>
      </c>
      <c r="I204" s="33" t="s">
        <v>732</v>
      </c>
      <c r="J204" s="33" t="str">
        <f t="shared" si="5"/>
        <v>2017-19Aberdeen City</v>
      </c>
      <c r="K204" s="33">
        <v>60.59</v>
      </c>
    </row>
    <row r="205" spans="1:11">
      <c r="A205" s="33" t="s">
        <v>155</v>
      </c>
      <c r="B205" s="33" t="s">
        <v>45</v>
      </c>
      <c r="C205" s="33" t="s">
        <v>733</v>
      </c>
      <c r="D205" s="33" t="s">
        <v>113</v>
      </c>
      <c r="E205" s="33" t="s">
        <v>15</v>
      </c>
      <c r="F205" s="33">
        <v>1</v>
      </c>
      <c r="G205" s="33" t="s">
        <v>609</v>
      </c>
      <c r="H205">
        <v>1</v>
      </c>
      <c r="I205" s="33" t="s">
        <v>732</v>
      </c>
      <c r="J205" s="33" t="str">
        <f t="shared" si="5"/>
        <v>2017-19Aberdeenshire</v>
      </c>
      <c r="K205" s="33">
        <v>67.91</v>
      </c>
    </row>
    <row r="206" spans="1:11">
      <c r="A206" s="33" t="s">
        <v>155</v>
      </c>
      <c r="B206" s="33" t="s">
        <v>45</v>
      </c>
      <c r="C206" s="33" t="s">
        <v>733</v>
      </c>
      <c r="D206" s="33" t="s">
        <v>111</v>
      </c>
      <c r="E206" s="33" t="s">
        <v>17</v>
      </c>
      <c r="F206" s="33">
        <v>1</v>
      </c>
      <c r="G206" s="33" t="s">
        <v>609</v>
      </c>
      <c r="H206">
        <v>1</v>
      </c>
      <c r="I206" s="33" t="s">
        <v>732</v>
      </c>
      <c r="J206" s="33" t="str">
        <f t="shared" si="5"/>
        <v>2017-19Argyll and Bute</v>
      </c>
      <c r="K206" s="33">
        <v>64.7</v>
      </c>
    </row>
    <row r="207" spans="1:11">
      <c r="A207" s="33" t="s">
        <v>155</v>
      </c>
      <c r="B207" s="33" t="s">
        <v>45</v>
      </c>
      <c r="C207" s="33" t="s">
        <v>733</v>
      </c>
      <c r="D207" s="33" t="s">
        <v>110</v>
      </c>
      <c r="E207" s="33" t="s">
        <v>586</v>
      </c>
      <c r="F207" s="33">
        <v>1</v>
      </c>
      <c r="G207" s="33" t="s">
        <v>609</v>
      </c>
      <c r="H207">
        <v>1</v>
      </c>
      <c r="I207" s="33" t="s">
        <v>732</v>
      </c>
      <c r="J207" s="33" t="str">
        <f t="shared" si="5"/>
        <v>2017-19City of Edinburgh</v>
      </c>
      <c r="K207" s="33">
        <v>66.290000000000006</v>
      </c>
    </row>
    <row r="208" spans="1:11">
      <c r="A208" s="33" t="s">
        <v>155</v>
      </c>
      <c r="B208" s="33" t="s">
        <v>45</v>
      </c>
      <c r="C208" s="33" t="s">
        <v>733</v>
      </c>
      <c r="D208" s="33" t="s">
        <v>90</v>
      </c>
      <c r="E208" s="33" t="s">
        <v>37</v>
      </c>
      <c r="F208" s="33">
        <v>1</v>
      </c>
      <c r="G208" s="33" t="s">
        <v>609</v>
      </c>
      <c r="H208">
        <v>1</v>
      </c>
      <c r="I208" s="33" t="s">
        <v>732</v>
      </c>
      <c r="J208" s="33" t="str">
        <f t="shared" si="5"/>
        <v>2017-19Renfrewshire</v>
      </c>
      <c r="K208" s="33">
        <v>60.74</v>
      </c>
    </row>
    <row r="209" spans="1:11">
      <c r="A209" s="33" t="s">
        <v>155</v>
      </c>
      <c r="B209" s="33" t="s">
        <v>45</v>
      </c>
      <c r="C209" s="33" t="s">
        <v>733</v>
      </c>
      <c r="D209" s="33" t="s">
        <v>84</v>
      </c>
      <c r="E209" s="33" t="s">
        <v>43</v>
      </c>
      <c r="F209" s="33">
        <v>1</v>
      </c>
      <c r="G209" s="33" t="s">
        <v>609</v>
      </c>
      <c r="H209">
        <v>1</v>
      </c>
      <c r="I209" s="33" t="s">
        <v>732</v>
      </c>
      <c r="J209" s="33" t="str">
        <f t="shared" si="5"/>
        <v>2017-19West Dunbartonshire</v>
      </c>
      <c r="K209" s="33">
        <v>59.13</v>
      </c>
    </row>
    <row r="210" spans="1:11">
      <c r="A210" s="33" t="s">
        <v>155</v>
      </c>
      <c r="B210" s="33" t="s">
        <v>45</v>
      </c>
      <c r="C210" s="33" t="s">
        <v>733</v>
      </c>
      <c r="D210" s="33" t="s">
        <v>83</v>
      </c>
      <c r="E210" s="33" t="s">
        <v>44</v>
      </c>
      <c r="F210" s="33">
        <v>1</v>
      </c>
      <c r="G210" s="33" t="s">
        <v>609</v>
      </c>
      <c r="H210">
        <v>1</v>
      </c>
      <c r="I210" s="33" t="s">
        <v>732</v>
      </c>
      <c r="J210" s="33" t="str">
        <f t="shared" si="5"/>
        <v>2017-19West Lothian</v>
      </c>
      <c r="K210" s="33">
        <v>61.33</v>
      </c>
    </row>
    <row r="211" spans="1:11">
      <c r="A211" s="33" t="s">
        <v>155</v>
      </c>
      <c r="B211" s="33" t="s">
        <v>45</v>
      </c>
      <c r="C211" s="33" t="s">
        <v>733</v>
      </c>
      <c r="D211" s="33" t="s">
        <v>112</v>
      </c>
      <c r="E211" s="33" t="s">
        <v>16</v>
      </c>
      <c r="F211" s="33">
        <v>1</v>
      </c>
      <c r="G211" s="33" t="s">
        <v>609</v>
      </c>
      <c r="H211">
        <v>1</v>
      </c>
      <c r="I211" s="33" t="s">
        <v>732</v>
      </c>
      <c r="J211" s="33" t="str">
        <f t="shared" si="5"/>
        <v>2017-19Angus</v>
      </c>
      <c r="K211" s="33">
        <v>60.98</v>
      </c>
    </row>
    <row r="212" spans="1:11">
      <c r="A212" s="33" t="s">
        <v>155</v>
      </c>
      <c r="B212" s="33" t="s">
        <v>45</v>
      </c>
      <c r="C212" s="33" t="s">
        <v>733</v>
      </c>
      <c r="D212" s="33" t="s">
        <v>107</v>
      </c>
      <c r="E212" s="33" t="s">
        <v>20</v>
      </c>
      <c r="F212" s="33">
        <v>1</v>
      </c>
      <c r="G212" s="33" t="s">
        <v>609</v>
      </c>
      <c r="H212">
        <v>1</v>
      </c>
      <c r="I212" s="33" t="s">
        <v>732</v>
      </c>
      <c r="J212" s="33" t="str">
        <f t="shared" si="5"/>
        <v>2017-19Dundee City</v>
      </c>
      <c r="K212" s="33">
        <v>56.84</v>
      </c>
    </row>
    <row r="213" spans="1:11">
      <c r="A213" s="33" t="s">
        <v>155</v>
      </c>
      <c r="B213" s="33" t="s">
        <v>45</v>
      </c>
      <c r="C213" s="33" t="s">
        <v>733</v>
      </c>
      <c r="D213" s="33" t="s">
        <v>105</v>
      </c>
      <c r="E213" s="33" t="s">
        <v>22</v>
      </c>
      <c r="F213" s="33">
        <v>1</v>
      </c>
      <c r="G213" s="33" t="s">
        <v>609</v>
      </c>
      <c r="H213">
        <v>1</v>
      </c>
      <c r="I213" s="33" t="s">
        <v>732</v>
      </c>
      <c r="J213" s="33" t="str">
        <f t="shared" si="5"/>
        <v>2017-19East Dunbartonshire</v>
      </c>
      <c r="K213" s="33">
        <v>69.81</v>
      </c>
    </row>
    <row r="214" spans="1:11">
      <c r="A214" s="33" t="s">
        <v>155</v>
      </c>
      <c r="B214" s="33" t="s">
        <v>45</v>
      </c>
      <c r="C214" s="33" t="s">
        <v>733</v>
      </c>
      <c r="D214" s="33" t="s">
        <v>101</v>
      </c>
      <c r="E214" s="33" t="s">
        <v>26</v>
      </c>
      <c r="F214" s="33">
        <v>1</v>
      </c>
      <c r="G214" s="33" t="s">
        <v>609</v>
      </c>
      <c r="H214">
        <v>1</v>
      </c>
      <c r="I214" s="33" t="s">
        <v>732</v>
      </c>
      <c r="J214" s="33" t="str">
        <f t="shared" si="5"/>
        <v>2017-19Fife</v>
      </c>
      <c r="K214" s="33">
        <v>61.56</v>
      </c>
    </row>
    <row r="215" spans="1:11">
      <c r="A215" s="33" t="s">
        <v>155</v>
      </c>
      <c r="B215" s="33" t="s">
        <v>45</v>
      </c>
      <c r="C215" s="33" t="s">
        <v>733</v>
      </c>
      <c r="D215" s="33" t="s">
        <v>91</v>
      </c>
      <c r="E215" s="33" t="s">
        <v>36</v>
      </c>
      <c r="F215" s="33">
        <v>1</v>
      </c>
      <c r="G215" s="33" t="s">
        <v>609</v>
      </c>
      <c r="H215">
        <v>1</v>
      </c>
      <c r="I215" s="33" t="s">
        <v>732</v>
      </c>
      <c r="J215" s="33" t="str">
        <f t="shared" si="5"/>
        <v>2017-19Perth and Kinross</v>
      </c>
      <c r="K215" s="33">
        <v>66.319999999999993</v>
      </c>
    </row>
    <row r="216" spans="1:11">
      <c r="A216" s="33" t="s">
        <v>155</v>
      </c>
      <c r="B216" s="33" t="s">
        <v>45</v>
      </c>
      <c r="C216" s="33" t="s">
        <v>733</v>
      </c>
      <c r="D216" s="33" t="s">
        <v>163</v>
      </c>
      <c r="E216" s="33" t="s">
        <v>27</v>
      </c>
      <c r="F216" s="33">
        <v>1</v>
      </c>
      <c r="G216" s="33" t="s">
        <v>609</v>
      </c>
      <c r="H216">
        <v>1</v>
      </c>
      <c r="I216" s="33" t="s">
        <v>732</v>
      </c>
      <c r="J216" s="33" t="str">
        <f t="shared" si="5"/>
        <v>2017-19Glasgow City</v>
      </c>
      <c r="K216" s="33">
        <v>54.59</v>
      </c>
    </row>
    <row r="217" spans="1:11">
      <c r="A217" s="33" t="s">
        <v>155</v>
      </c>
      <c r="B217" s="33" t="s">
        <v>45</v>
      </c>
      <c r="C217" s="33" t="s">
        <v>733</v>
      </c>
      <c r="D217" s="33" t="s">
        <v>162</v>
      </c>
      <c r="E217" s="33" t="s">
        <v>34</v>
      </c>
      <c r="F217" s="33">
        <v>1</v>
      </c>
      <c r="G217" s="33" t="s">
        <v>609</v>
      </c>
      <c r="H217">
        <v>1</v>
      </c>
      <c r="I217" s="33" t="s">
        <v>732</v>
      </c>
      <c r="J217" s="33" t="str">
        <f t="shared" si="5"/>
        <v>2017-19North Lanarkshire</v>
      </c>
      <c r="K217" s="33">
        <v>58.67</v>
      </c>
    </row>
    <row r="218" spans="1:11">
      <c r="A218" s="33" t="s">
        <v>155</v>
      </c>
      <c r="B218" s="33" t="s">
        <v>45</v>
      </c>
      <c r="C218" s="33" t="s">
        <v>725</v>
      </c>
      <c r="D218" s="33" t="s">
        <v>488</v>
      </c>
      <c r="E218" s="33" t="s">
        <v>45</v>
      </c>
      <c r="F218" s="33">
        <v>1</v>
      </c>
      <c r="G218" s="33" t="s">
        <v>609</v>
      </c>
      <c r="H218">
        <v>1</v>
      </c>
      <c r="I218" s="33" t="s">
        <v>732</v>
      </c>
      <c r="J218" s="33" t="str">
        <f t="shared" si="5"/>
        <v>2017-19Scotland</v>
      </c>
      <c r="K218" s="33">
        <v>61.68</v>
      </c>
    </row>
    <row r="219" spans="1:11">
      <c r="A219" s="33" t="s">
        <v>607</v>
      </c>
      <c r="B219" s="33" t="s">
        <v>46</v>
      </c>
      <c r="C219" s="33" t="s">
        <v>725</v>
      </c>
      <c r="D219" s="33" t="s">
        <v>608</v>
      </c>
      <c r="E219" s="33" t="s">
        <v>46</v>
      </c>
      <c r="F219" s="33">
        <v>1</v>
      </c>
      <c r="G219" s="33" t="s">
        <v>609</v>
      </c>
      <c r="H219">
        <v>1</v>
      </c>
      <c r="I219" s="33" t="s">
        <v>732</v>
      </c>
      <c r="J219" s="33" t="str">
        <f t="shared" si="5"/>
        <v>2018-20United Kingdom</v>
      </c>
      <c r="K219" s="33">
        <v>62.83</v>
      </c>
    </row>
    <row r="220" spans="1:11">
      <c r="A220" s="33" t="s">
        <v>607</v>
      </c>
      <c r="B220" s="33" t="s">
        <v>45</v>
      </c>
      <c r="C220" s="33" t="s">
        <v>733</v>
      </c>
      <c r="D220" s="33" t="s">
        <v>109</v>
      </c>
      <c r="E220" s="33" t="s">
        <v>18</v>
      </c>
      <c r="F220" s="33">
        <v>1</v>
      </c>
      <c r="G220" s="33" t="s">
        <v>609</v>
      </c>
      <c r="H220">
        <v>1</v>
      </c>
      <c r="I220" s="33" t="s">
        <v>732</v>
      </c>
      <c r="J220" s="33" t="str">
        <f t="shared" si="5"/>
        <v>2018-20Clackmannanshire</v>
      </c>
      <c r="K220" s="33">
        <v>62.47</v>
      </c>
    </row>
    <row r="221" spans="1:11">
      <c r="A221" s="33" t="s">
        <v>607</v>
      </c>
      <c r="B221" s="33" t="s">
        <v>45</v>
      </c>
      <c r="C221" s="33" t="s">
        <v>733</v>
      </c>
      <c r="D221" s="33" t="s">
        <v>108</v>
      </c>
      <c r="E221" s="33" t="s">
        <v>19</v>
      </c>
      <c r="F221" s="33">
        <v>1</v>
      </c>
      <c r="G221" s="33" t="s">
        <v>609</v>
      </c>
      <c r="H221">
        <v>1</v>
      </c>
      <c r="I221" s="33" t="s">
        <v>732</v>
      </c>
      <c r="J221" s="33" t="str">
        <f t="shared" si="5"/>
        <v>2018-20Dumfries and Galloway</v>
      </c>
      <c r="K221" s="33">
        <v>63.11</v>
      </c>
    </row>
    <row r="222" spans="1:11">
      <c r="A222" s="33" t="s">
        <v>607</v>
      </c>
      <c r="B222" s="33" t="s">
        <v>45</v>
      </c>
      <c r="C222" s="33" t="s">
        <v>733</v>
      </c>
      <c r="D222" s="33" t="s">
        <v>106</v>
      </c>
      <c r="E222" s="33" t="s">
        <v>21</v>
      </c>
      <c r="F222" s="33">
        <v>1</v>
      </c>
      <c r="G222" s="33" t="s">
        <v>609</v>
      </c>
      <c r="H222">
        <v>1</v>
      </c>
      <c r="I222" s="33" t="s">
        <v>732</v>
      </c>
      <c r="J222" s="33" t="str">
        <f t="shared" si="5"/>
        <v>2018-20East Ayrshire</v>
      </c>
      <c r="K222" s="33">
        <v>57.19</v>
      </c>
    </row>
    <row r="223" spans="1:11">
      <c r="A223" s="33" t="s">
        <v>607</v>
      </c>
      <c r="B223" s="33" t="s">
        <v>45</v>
      </c>
      <c r="C223" s="33" t="s">
        <v>733</v>
      </c>
      <c r="D223" s="33" t="s">
        <v>104</v>
      </c>
      <c r="E223" s="33" t="s">
        <v>23</v>
      </c>
      <c r="F223" s="33">
        <v>1</v>
      </c>
      <c r="G223" s="33" t="s">
        <v>609</v>
      </c>
      <c r="H223">
        <v>1</v>
      </c>
      <c r="I223" s="33" t="s">
        <v>732</v>
      </c>
      <c r="J223" s="33" t="str">
        <f t="shared" si="5"/>
        <v>2018-20East Lothian</v>
      </c>
      <c r="K223" s="33">
        <v>63.66</v>
      </c>
    </row>
    <row r="224" spans="1:11">
      <c r="A224" s="33" t="s">
        <v>607</v>
      </c>
      <c r="B224" s="33" t="s">
        <v>45</v>
      </c>
      <c r="C224" s="33" t="s">
        <v>733</v>
      </c>
      <c r="D224" s="33" t="s">
        <v>103</v>
      </c>
      <c r="E224" s="33" t="s">
        <v>24</v>
      </c>
      <c r="F224" s="33">
        <v>1</v>
      </c>
      <c r="G224" s="33" t="s">
        <v>609</v>
      </c>
      <c r="H224">
        <v>1</v>
      </c>
      <c r="I224" s="33" t="s">
        <v>732</v>
      </c>
      <c r="J224" s="33" t="str">
        <f t="shared" si="5"/>
        <v>2018-20East Renfrewshire</v>
      </c>
      <c r="K224" s="33">
        <v>68.650000000000006</v>
      </c>
    </row>
    <row r="225" spans="1:11">
      <c r="A225" s="33" t="s">
        <v>607</v>
      </c>
      <c r="B225" s="33" t="s">
        <v>45</v>
      </c>
      <c r="C225" s="33" t="s">
        <v>733</v>
      </c>
      <c r="D225" s="33" t="s">
        <v>95</v>
      </c>
      <c r="E225" s="33" t="s">
        <v>32</v>
      </c>
      <c r="F225" s="33">
        <v>1</v>
      </c>
      <c r="G225" s="33" t="s">
        <v>609</v>
      </c>
      <c r="H225">
        <v>1</v>
      </c>
      <c r="I225" s="33" t="s">
        <v>732</v>
      </c>
      <c r="J225" s="33" t="str">
        <f t="shared" si="5"/>
        <v>2018-20Na h-Eileanan Siar</v>
      </c>
      <c r="K225" s="33">
        <v>68.33</v>
      </c>
    </row>
    <row r="226" spans="1:11">
      <c r="A226" s="33" t="s">
        <v>607</v>
      </c>
      <c r="B226" s="33" t="s">
        <v>45</v>
      </c>
      <c r="C226" s="33" t="s">
        <v>733</v>
      </c>
      <c r="D226" s="33" t="s">
        <v>102</v>
      </c>
      <c r="E226" s="33" t="s">
        <v>25</v>
      </c>
      <c r="F226" s="33">
        <v>1</v>
      </c>
      <c r="G226" s="33" t="s">
        <v>609</v>
      </c>
      <c r="H226">
        <v>1</v>
      </c>
      <c r="I226" s="33" t="s">
        <v>732</v>
      </c>
      <c r="J226" s="33" t="str">
        <f t="shared" si="5"/>
        <v>2018-20Falkirk</v>
      </c>
      <c r="K226" s="33">
        <v>60.77</v>
      </c>
    </row>
    <row r="227" spans="1:11">
      <c r="A227" s="33" t="s">
        <v>607</v>
      </c>
      <c r="B227" s="33" t="s">
        <v>45</v>
      </c>
      <c r="C227" s="33" t="s">
        <v>733</v>
      </c>
      <c r="D227" s="33" t="s">
        <v>99</v>
      </c>
      <c r="E227" s="33" t="s">
        <v>28</v>
      </c>
      <c r="F227" s="33">
        <v>1</v>
      </c>
      <c r="G227" s="33" t="s">
        <v>609</v>
      </c>
      <c r="H227">
        <v>1</v>
      </c>
      <c r="I227" s="33" t="s">
        <v>732</v>
      </c>
      <c r="J227" s="33" t="str">
        <f t="shared" si="5"/>
        <v>2018-20Highland</v>
      </c>
      <c r="K227" s="33">
        <v>64.53</v>
      </c>
    </row>
    <row r="228" spans="1:11">
      <c r="A228" s="33" t="s">
        <v>607</v>
      </c>
      <c r="B228" s="33" t="s">
        <v>45</v>
      </c>
      <c r="C228" s="33" t="s">
        <v>733</v>
      </c>
      <c r="D228" s="33" t="s">
        <v>98</v>
      </c>
      <c r="E228" s="33" t="s">
        <v>29</v>
      </c>
      <c r="F228" s="33">
        <v>1</v>
      </c>
      <c r="G228" s="33" t="s">
        <v>609</v>
      </c>
      <c r="H228">
        <v>1</v>
      </c>
      <c r="I228" s="33" t="s">
        <v>732</v>
      </c>
      <c r="J228" s="33" t="str">
        <f t="shared" si="5"/>
        <v>2018-20Inverclyde</v>
      </c>
      <c r="K228" s="33">
        <v>54.36</v>
      </c>
    </row>
    <row r="229" spans="1:11">
      <c r="A229" s="33" t="s">
        <v>607</v>
      </c>
      <c r="B229" s="33" t="s">
        <v>45</v>
      </c>
      <c r="C229" s="33" t="s">
        <v>733</v>
      </c>
      <c r="D229" s="33" t="s">
        <v>97</v>
      </c>
      <c r="E229" s="33" t="s">
        <v>30</v>
      </c>
      <c r="F229" s="33">
        <v>1</v>
      </c>
      <c r="G229" s="33" t="s">
        <v>609</v>
      </c>
      <c r="H229">
        <v>1</v>
      </c>
      <c r="I229" s="33" t="s">
        <v>732</v>
      </c>
      <c r="J229" s="33" t="str">
        <f t="shared" si="5"/>
        <v>2018-20Midlothian</v>
      </c>
      <c r="K229" s="33">
        <v>58.59</v>
      </c>
    </row>
    <row r="230" spans="1:11">
      <c r="A230" s="33" t="s">
        <v>607</v>
      </c>
      <c r="B230" s="33" t="s">
        <v>45</v>
      </c>
      <c r="C230" s="33" t="s">
        <v>733</v>
      </c>
      <c r="D230" s="33" t="s">
        <v>96</v>
      </c>
      <c r="E230" s="33" t="s">
        <v>31</v>
      </c>
      <c r="F230" s="33">
        <v>1</v>
      </c>
      <c r="G230" s="33" t="s">
        <v>609</v>
      </c>
      <c r="H230">
        <v>1</v>
      </c>
      <c r="I230" s="33" t="s">
        <v>732</v>
      </c>
      <c r="J230" s="33" t="str">
        <f t="shared" si="5"/>
        <v>2018-20Moray</v>
      </c>
      <c r="K230" s="33">
        <v>61.56</v>
      </c>
    </row>
    <row r="231" spans="1:11">
      <c r="A231" s="33" t="s">
        <v>607</v>
      </c>
      <c r="B231" s="33" t="s">
        <v>45</v>
      </c>
      <c r="C231" s="33" t="s">
        <v>733</v>
      </c>
      <c r="D231" s="33" t="s">
        <v>94</v>
      </c>
      <c r="E231" s="33" t="s">
        <v>33</v>
      </c>
      <c r="F231" s="33">
        <v>1</v>
      </c>
      <c r="G231" s="33" t="s">
        <v>609</v>
      </c>
      <c r="H231">
        <v>1</v>
      </c>
      <c r="I231" s="33" t="s">
        <v>732</v>
      </c>
      <c r="J231" s="33" t="str">
        <f t="shared" si="5"/>
        <v>2018-20North Ayrshire</v>
      </c>
      <c r="K231" s="33">
        <v>57.42</v>
      </c>
    </row>
    <row r="232" spans="1:11">
      <c r="A232" s="33" t="s">
        <v>607</v>
      </c>
      <c r="B232" s="33" t="s">
        <v>45</v>
      </c>
      <c r="C232" s="33" t="s">
        <v>733</v>
      </c>
      <c r="D232" s="33" t="s">
        <v>92</v>
      </c>
      <c r="E232" s="33" t="s">
        <v>35</v>
      </c>
      <c r="F232" s="33">
        <v>1</v>
      </c>
      <c r="G232" s="33" t="s">
        <v>609</v>
      </c>
      <c r="H232">
        <v>1</v>
      </c>
      <c r="I232" s="33" t="s">
        <v>732</v>
      </c>
      <c r="J232" s="33" t="str">
        <f t="shared" si="5"/>
        <v>2018-20Orkney Islands</v>
      </c>
      <c r="K232" s="33">
        <v>71.239999999999995</v>
      </c>
    </row>
    <row r="233" spans="1:11">
      <c r="A233" s="33" t="s">
        <v>607</v>
      </c>
      <c r="B233" s="33" t="s">
        <v>45</v>
      </c>
      <c r="C233" s="33" t="s">
        <v>733</v>
      </c>
      <c r="D233" s="33" t="s">
        <v>89</v>
      </c>
      <c r="E233" s="33" t="s">
        <v>38</v>
      </c>
      <c r="F233" s="33">
        <v>1</v>
      </c>
      <c r="G233" s="33" t="s">
        <v>609</v>
      </c>
      <c r="H233">
        <v>1</v>
      </c>
      <c r="I233" s="33" t="s">
        <v>732</v>
      </c>
      <c r="J233" s="33" t="str">
        <f t="shared" si="5"/>
        <v>2018-20Scottish Borders</v>
      </c>
      <c r="K233" s="33">
        <v>64.12</v>
      </c>
    </row>
    <row r="234" spans="1:11">
      <c r="A234" s="33" t="s">
        <v>607</v>
      </c>
      <c r="B234" s="33" t="s">
        <v>45</v>
      </c>
      <c r="C234" s="33" t="s">
        <v>733</v>
      </c>
      <c r="D234" s="33" t="s">
        <v>88</v>
      </c>
      <c r="E234" s="33" t="s">
        <v>39</v>
      </c>
      <c r="F234" s="33">
        <v>1</v>
      </c>
      <c r="G234" s="33" t="s">
        <v>609</v>
      </c>
      <c r="H234">
        <v>1</v>
      </c>
      <c r="I234" s="33" t="s">
        <v>732</v>
      </c>
      <c r="J234" s="33" t="str">
        <f t="shared" si="5"/>
        <v>2018-20Shetland Islands</v>
      </c>
      <c r="K234" s="33">
        <v>63.51</v>
      </c>
    </row>
    <row r="235" spans="1:11">
      <c r="A235" s="33" t="s">
        <v>607</v>
      </c>
      <c r="B235" s="33" t="s">
        <v>45</v>
      </c>
      <c r="C235" s="33" t="s">
        <v>733</v>
      </c>
      <c r="D235" s="33" t="s">
        <v>87</v>
      </c>
      <c r="E235" s="33" t="s">
        <v>40</v>
      </c>
      <c r="F235" s="33">
        <v>1</v>
      </c>
      <c r="G235" s="33" t="s">
        <v>609</v>
      </c>
      <c r="H235">
        <v>1</v>
      </c>
      <c r="I235" s="33" t="s">
        <v>732</v>
      </c>
      <c r="J235" s="33" t="str">
        <f t="shared" si="5"/>
        <v>2018-20South Ayrshire</v>
      </c>
      <c r="K235" s="33">
        <v>61.84</v>
      </c>
    </row>
    <row r="236" spans="1:11">
      <c r="A236" s="33" t="s">
        <v>607</v>
      </c>
      <c r="B236" s="33" t="s">
        <v>45</v>
      </c>
      <c r="C236" s="33" t="s">
        <v>733</v>
      </c>
      <c r="D236" s="33" t="s">
        <v>86</v>
      </c>
      <c r="E236" s="33" t="s">
        <v>41</v>
      </c>
      <c r="F236" s="33">
        <v>1</v>
      </c>
      <c r="G236" s="33" t="s">
        <v>609</v>
      </c>
      <c r="H236">
        <v>1</v>
      </c>
      <c r="I236" s="33" t="s">
        <v>732</v>
      </c>
      <c r="J236" s="33" t="str">
        <f t="shared" si="5"/>
        <v>2018-20South Lanarkshire</v>
      </c>
      <c r="K236" s="33">
        <v>59.52</v>
      </c>
    </row>
    <row r="237" spans="1:11">
      <c r="A237" s="33" t="s">
        <v>607</v>
      </c>
      <c r="B237" s="33" t="s">
        <v>45</v>
      </c>
      <c r="C237" s="33" t="s">
        <v>733</v>
      </c>
      <c r="D237" s="33" t="s">
        <v>85</v>
      </c>
      <c r="E237" s="33" t="s">
        <v>42</v>
      </c>
      <c r="F237" s="33">
        <v>1</v>
      </c>
      <c r="G237" s="33" t="s">
        <v>609</v>
      </c>
      <c r="H237">
        <v>1</v>
      </c>
      <c r="I237" s="33" t="s">
        <v>732</v>
      </c>
      <c r="J237" s="33" t="str">
        <f t="shared" si="5"/>
        <v>2018-20Stirling</v>
      </c>
      <c r="K237" s="33">
        <v>63.38</v>
      </c>
    </row>
    <row r="238" spans="1:11">
      <c r="A238" s="33" t="s">
        <v>607</v>
      </c>
      <c r="B238" s="33" t="s">
        <v>45</v>
      </c>
      <c r="C238" s="33" t="s">
        <v>733</v>
      </c>
      <c r="D238" s="33" t="s">
        <v>114</v>
      </c>
      <c r="E238" s="33" t="s">
        <v>14</v>
      </c>
      <c r="F238" s="33">
        <v>1</v>
      </c>
      <c r="G238" s="33" t="s">
        <v>609</v>
      </c>
      <c r="H238">
        <v>1</v>
      </c>
      <c r="I238" s="33" t="s">
        <v>732</v>
      </c>
      <c r="J238" s="33" t="str">
        <f t="shared" ref="J238:J252" si="6">CONCATENATE(A238,E238)</f>
        <v>2018-20Aberdeen City</v>
      </c>
      <c r="K238" s="33">
        <v>58.29</v>
      </c>
    </row>
    <row r="239" spans="1:11">
      <c r="A239" s="33" t="s">
        <v>607</v>
      </c>
      <c r="B239" s="33" t="s">
        <v>45</v>
      </c>
      <c r="C239" s="33" t="s">
        <v>733</v>
      </c>
      <c r="D239" s="33" t="s">
        <v>113</v>
      </c>
      <c r="E239" s="33" t="s">
        <v>15</v>
      </c>
      <c r="F239" s="33">
        <v>1</v>
      </c>
      <c r="G239" s="33" t="s">
        <v>609</v>
      </c>
      <c r="H239">
        <v>1</v>
      </c>
      <c r="I239" s="33" t="s">
        <v>732</v>
      </c>
      <c r="J239" s="33" t="str">
        <f t="shared" si="6"/>
        <v>2018-20Aberdeenshire</v>
      </c>
      <c r="K239" s="33">
        <v>67.010000000000005</v>
      </c>
    </row>
    <row r="240" spans="1:11">
      <c r="A240" s="33" t="s">
        <v>607</v>
      </c>
      <c r="B240" s="33" t="s">
        <v>45</v>
      </c>
      <c r="C240" s="33" t="s">
        <v>733</v>
      </c>
      <c r="D240" s="33" t="s">
        <v>111</v>
      </c>
      <c r="E240" s="33" t="s">
        <v>17</v>
      </c>
      <c r="F240" s="33">
        <v>1</v>
      </c>
      <c r="G240" s="33" t="s">
        <v>609</v>
      </c>
      <c r="H240">
        <v>1</v>
      </c>
      <c r="I240" s="33" t="s">
        <v>732</v>
      </c>
      <c r="J240" s="33" t="str">
        <f t="shared" si="6"/>
        <v>2018-20Argyll and Bute</v>
      </c>
      <c r="K240" s="33">
        <v>63.39</v>
      </c>
    </row>
    <row r="241" spans="1:11">
      <c r="A241" s="33" t="s">
        <v>607</v>
      </c>
      <c r="B241" s="33" t="s">
        <v>45</v>
      </c>
      <c r="C241" s="33" t="s">
        <v>733</v>
      </c>
      <c r="D241" s="33" t="s">
        <v>110</v>
      </c>
      <c r="E241" s="33" t="s">
        <v>586</v>
      </c>
      <c r="F241" s="33">
        <v>1</v>
      </c>
      <c r="G241" s="33" t="s">
        <v>609</v>
      </c>
      <c r="H241">
        <v>1</v>
      </c>
      <c r="I241" s="33" t="s">
        <v>732</v>
      </c>
      <c r="J241" s="33" t="str">
        <f t="shared" si="6"/>
        <v>2018-20City of Edinburgh</v>
      </c>
      <c r="K241" s="33">
        <v>64.2</v>
      </c>
    </row>
    <row r="242" spans="1:11">
      <c r="A242" s="33" t="s">
        <v>607</v>
      </c>
      <c r="B242" s="33" t="s">
        <v>45</v>
      </c>
      <c r="C242" s="33" t="s">
        <v>733</v>
      </c>
      <c r="D242" s="33" t="s">
        <v>90</v>
      </c>
      <c r="E242" s="33" t="s">
        <v>37</v>
      </c>
      <c r="F242" s="33">
        <v>1</v>
      </c>
      <c r="G242" s="33" t="s">
        <v>609</v>
      </c>
      <c r="H242">
        <v>1</v>
      </c>
      <c r="I242" s="33" t="s">
        <v>732</v>
      </c>
      <c r="J242" s="33" t="str">
        <f t="shared" si="6"/>
        <v>2018-20Renfrewshire</v>
      </c>
      <c r="K242" s="33">
        <v>60.58</v>
      </c>
    </row>
    <row r="243" spans="1:11">
      <c r="A243" s="33" t="s">
        <v>607</v>
      </c>
      <c r="B243" s="33" t="s">
        <v>45</v>
      </c>
      <c r="C243" s="33" t="s">
        <v>733</v>
      </c>
      <c r="D243" s="33" t="s">
        <v>84</v>
      </c>
      <c r="E243" s="33" t="s">
        <v>43</v>
      </c>
      <c r="F243" s="33">
        <v>1</v>
      </c>
      <c r="G243" s="33" t="s">
        <v>609</v>
      </c>
      <c r="H243">
        <v>1</v>
      </c>
      <c r="I243" s="33" t="s">
        <v>732</v>
      </c>
      <c r="J243" s="33" t="str">
        <f t="shared" si="6"/>
        <v>2018-20West Dunbartonshire</v>
      </c>
      <c r="K243" s="33">
        <v>58.06</v>
      </c>
    </row>
    <row r="244" spans="1:11">
      <c r="A244" s="33" t="s">
        <v>607</v>
      </c>
      <c r="B244" s="33" t="s">
        <v>45</v>
      </c>
      <c r="C244" s="33" t="s">
        <v>733</v>
      </c>
      <c r="D244" s="33" t="s">
        <v>83</v>
      </c>
      <c r="E244" s="33" t="s">
        <v>44</v>
      </c>
      <c r="F244" s="33">
        <v>1</v>
      </c>
      <c r="G244" s="33" t="s">
        <v>609</v>
      </c>
      <c r="H244">
        <v>1</v>
      </c>
      <c r="I244" s="33" t="s">
        <v>732</v>
      </c>
      <c r="J244" s="33" t="str">
        <f t="shared" si="6"/>
        <v>2018-20West Lothian</v>
      </c>
      <c r="K244" s="33">
        <v>61.31</v>
      </c>
    </row>
    <row r="245" spans="1:11">
      <c r="A245" s="33" t="s">
        <v>607</v>
      </c>
      <c r="B245" s="33" t="s">
        <v>45</v>
      </c>
      <c r="C245" s="33" t="s">
        <v>733</v>
      </c>
      <c r="D245" s="33" t="s">
        <v>112</v>
      </c>
      <c r="E245" s="33" t="s">
        <v>16</v>
      </c>
      <c r="F245" s="33">
        <v>1</v>
      </c>
      <c r="G245" s="33" t="s">
        <v>609</v>
      </c>
      <c r="H245">
        <v>1</v>
      </c>
      <c r="I245" s="33" t="s">
        <v>732</v>
      </c>
      <c r="J245" s="33" t="str">
        <f t="shared" si="6"/>
        <v>2018-20Angus</v>
      </c>
      <c r="K245" s="33">
        <v>62.21</v>
      </c>
    </row>
    <row r="246" spans="1:11">
      <c r="A246" s="33" t="s">
        <v>607</v>
      </c>
      <c r="B246" s="33" t="s">
        <v>45</v>
      </c>
      <c r="C246" s="33" t="s">
        <v>733</v>
      </c>
      <c r="D246" s="33" t="s">
        <v>107</v>
      </c>
      <c r="E246" s="33" t="s">
        <v>20</v>
      </c>
      <c r="F246" s="33">
        <v>1</v>
      </c>
      <c r="G246" s="33" t="s">
        <v>609</v>
      </c>
      <c r="H246">
        <v>1</v>
      </c>
      <c r="I246" s="33" t="s">
        <v>732</v>
      </c>
      <c r="J246" s="33" t="str">
        <f t="shared" si="6"/>
        <v>2018-20Dundee City</v>
      </c>
      <c r="K246" s="33">
        <v>56.14</v>
      </c>
    </row>
    <row r="247" spans="1:11">
      <c r="A247" s="33" t="s">
        <v>607</v>
      </c>
      <c r="B247" s="33" t="s">
        <v>45</v>
      </c>
      <c r="C247" s="33" t="s">
        <v>733</v>
      </c>
      <c r="D247" s="33" t="s">
        <v>105</v>
      </c>
      <c r="E247" s="33" t="s">
        <v>22</v>
      </c>
      <c r="F247" s="33">
        <v>1</v>
      </c>
      <c r="G247" s="33" t="s">
        <v>609</v>
      </c>
      <c r="H247">
        <v>1</v>
      </c>
      <c r="I247" s="33" t="s">
        <v>732</v>
      </c>
      <c r="J247" s="33" t="str">
        <f t="shared" si="6"/>
        <v>2018-20East Dunbartonshire</v>
      </c>
      <c r="K247" s="33">
        <v>66.72</v>
      </c>
    </row>
    <row r="248" spans="1:11">
      <c r="A248" s="33" t="s">
        <v>607</v>
      </c>
      <c r="B248" s="33" t="s">
        <v>45</v>
      </c>
      <c r="C248" s="33" t="s">
        <v>733</v>
      </c>
      <c r="D248" s="33" t="s">
        <v>101</v>
      </c>
      <c r="E248" s="33" t="s">
        <v>26</v>
      </c>
      <c r="F248" s="33">
        <v>1</v>
      </c>
      <c r="G248" s="33" t="s">
        <v>609</v>
      </c>
      <c r="H248">
        <v>1</v>
      </c>
      <c r="I248" s="33" t="s">
        <v>732</v>
      </c>
      <c r="J248" s="33" t="str">
        <f t="shared" si="6"/>
        <v>2018-20Fife</v>
      </c>
      <c r="K248" s="33">
        <v>57.84</v>
      </c>
    </row>
    <row r="249" spans="1:11">
      <c r="A249" s="33" t="s">
        <v>607</v>
      </c>
      <c r="B249" s="33" t="s">
        <v>45</v>
      </c>
      <c r="C249" s="33" t="s">
        <v>733</v>
      </c>
      <c r="D249" s="33" t="s">
        <v>91</v>
      </c>
      <c r="E249" s="33" t="s">
        <v>36</v>
      </c>
      <c r="F249" s="33">
        <v>1</v>
      </c>
      <c r="G249" s="33" t="s">
        <v>609</v>
      </c>
      <c r="H249">
        <v>1</v>
      </c>
      <c r="I249" s="33" t="s">
        <v>732</v>
      </c>
      <c r="J249" s="33" t="str">
        <f t="shared" si="6"/>
        <v>2018-20Perth and Kinross</v>
      </c>
      <c r="K249" s="33">
        <v>66.98</v>
      </c>
    </row>
    <row r="250" spans="1:11">
      <c r="A250" s="33" t="s">
        <v>607</v>
      </c>
      <c r="B250" s="33" t="s">
        <v>45</v>
      </c>
      <c r="C250" s="33" t="s">
        <v>733</v>
      </c>
      <c r="D250" s="33" t="s">
        <v>163</v>
      </c>
      <c r="E250" s="33" t="s">
        <v>27</v>
      </c>
      <c r="F250" s="33">
        <v>1</v>
      </c>
      <c r="G250" s="33" t="s">
        <v>609</v>
      </c>
      <c r="H250">
        <v>1</v>
      </c>
      <c r="I250" s="33" t="s">
        <v>732</v>
      </c>
      <c r="J250" s="33" t="str">
        <f t="shared" si="6"/>
        <v>2018-20Glasgow City</v>
      </c>
      <c r="K250" s="33">
        <v>56.01</v>
      </c>
    </row>
    <row r="251" spans="1:11">
      <c r="A251" s="33" t="s">
        <v>607</v>
      </c>
      <c r="B251" s="33" t="s">
        <v>45</v>
      </c>
      <c r="C251" s="33" t="s">
        <v>733</v>
      </c>
      <c r="D251" s="33" t="s">
        <v>162</v>
      </c>
      <c r="E251" s="33" t="s">
        <v>34</v>
      </c>
      <c r="F251" s="33">
        <v>1</v>
      </c>
      <c r="G251" s="33" t="s">
        <v>609</v>
      </c>
      <c r="H251">
        <v>1</v>
      </c>
      <c r="I251" s="33" t="s">
        <v>732</v>
      </c>
      <c r="J251" s="33" t="str">
        <f t="shared" si="6"/>
        <v>2018-20North Lanarkshire</v>
      </c>
      <c r="K251" s="33">
        <v>56.56</v>
      </c>
    </row>
    <row r="252" spans="1:11">
      <c r="A252" s="33" t="s">
        <v>607</v>
      </c>
      <c r="B252" s="33" t="s">
        <v>45</v>
      </c>
      <c r="C252" s="33" t="s">
        <v>725</v>
      </c>
      <c r="D252" s="33" t="s">
        <v>488</v>
      </c>
      <c r="E252" s="33" t="s">
        <v>45</v>
      </c>
      <c r="F252" s="33">
        <v>1</v>
      </c>
      <c r="G252" s="33" t="s">
        <v>609</v>
      </c>
      <c r="H252">
        <v>1</v>
      </c>
      <c r="I252" s="33" t="s">
        <v>732</v>
      </c>
      <c r="J252" s="33" t="str">
        <f t="shared" si="6"/>
        <v>2018-20Scotland</v>
      </c>
      <c r="K252" s="33">
        <v>60.93</v>
      </c>
    </row>
    <row r="253" spans="1:11">
      <c r="H253"/>
    </row>
    <row r="254" spans="1:11">
      <c r="H254"/>
    </row>
    <row r="255" spans="1:11">
      <c r="H255"/>
    </row>
    <row r="256" spans="1:11">
      <c r="H256"/>
    </row>
    <row r="257" spans="8:8">
      <c r="H257"/>
    </row>
    <row r="258" spans="8:8">
      <c r="H258"/>
    </row>
    <row r="259" spans="8:8">
      <c r="H259"/>
    </row>
    <row r="260" spans="8:8">
      <c r="H260"/>
    </row>
    <row r="261" spans="8:8">
      <c r="H261"/>
    </row>
    <row r="262" spans="8:8">
      <c r="H262"/>
    </row>
    <row r="263" spans="8:8">
      <c r="H263"/>
    </row>
    <row r="264" spans="8:8">
      <c r="H264"/>
    </row>
    <row r="265" spans="8:8">
      <c r="H265"/>
    </row>
    <row r="266" spans="8:8">
      <c r="H266"/>
    </row>
    <row r="267" spans="8:8">
      <c r="H267"/>
    </row>
    <row r="268" spans="8:8">
      <c r="H268"/>
    </row>
    <row r="269" spans="8:8">
      <c r="H269"/>
    </row>
    <row r="270" spans="8:8">
      <c r="H270"/>
    </row>
    <row r="271" spans="8:8">
      <c r="H271"/>
    </row>
    <row r="272" spans="8:8">
      <c r="H272"/>
    </row>
    <row r="273" spans="8:8">
      <c r="H273"/>
    </row>
    <row r="274" spans="8:8">
      <c r="H274"/>
    </row>
    <row r="275" spans="8:8">
      <c r="H275"/>
    </row>
    <row r="276" spans="8:8">
      <c r="H276"/>
    </row>
    <row r="277" spans="8:8">
      <c r="H277"/>
    </row>
    <row r="278" spans="8:8">
      <c r="H278"/>
    </row>
    <row r="279" spans="8:8">
      <c r="H279"/>
    </row>
    <row r="280" spans="8:8">
      <c r="H280"/>
    </row>
    <row r="281" spans="8:8">
      <c r="H281"/>
    </row>
    <row r="282" spans="8:8">
      <c r="H282"/>
    </row>
    <row r="283" spans="8:8">
      <c r="H283"/>
    </row>
    <row r="284" spans="8:8">
      <c r="H284"/>
    </row>
    <row r="285" spans="8:8">
      <c r="H285"/>
    </row>
    <row r="286" spans="8:8">
      <c r="H286"/>
    </row>
    <row r="287" spans="8:8">
      <c r="H287"/>
    </row>
    <row r="288" spans="8:8">
      <c r="H288"/>
    </row>
    <row r="289" spans="8:8">
      <c r="H289"/>
    </row>
    <row r="290" spans="8:8">
      <c r="H290"/>
    </row>
    <row r="291" spans="8:8">
      <c r="H291"/>
    </row>
    <row r="292" spans="8:8">
      <c r="H292"/>
    </row>
    <row r="293" spans="8:8">
      <c r="H293"/>
    </row>
    <row r="294" spans="8:8">
      <c r="H294"/>
    </row>
    <row r="295" spans="8:8">
      <c r="H295"/>
    </row>
    <row r="296" spans="8:8">
      <c r="H296"/>
    </row>
    <row r="297" spans="8:8">
      <c r="H297"/>
    </row>
    <row r="298" spans="8:8">
      <c r="H298"/>
    </row>
    <row r="299" spans="8:8">
      <c r="H299"/>
    </row>
    <row r="300" spans="8:8">
      <c r="H300"/>
    </row>
    <row r="301" spans="8:8">
      <c r="H301"/>
    </row>
    <row r="302" spans="8:8">
      <c r="H302"/>
    </row>
    <row r="303" spans="8:8">
      <c r="H303"/>
    </row>
    <row r="304" spans="8:8">
      <c r="H304"/>
    </row>
    <row r="305" spans="8:8">
      <c r="H305"/>
    </row>
    <row r="306" spans="8:8">
      <c r="H306"/>
    </row>
    <row r="307" spans="8:8">
      <c r="H307"/>
    </row>
    <row r="308" spans="8:8">
      <c r="H308"/>
    </row>
    <row r="309" spans="8:8">
      <c r="H309"/>
    </row>
    <row r="310" spans="8:8">
      <c r="H310"/>
    </row>
    <row r="311" spans="8:8">
      <c r="H311"/>
    </row>
    <row r="312" spans="8:8">
      <c r="H312"/>
    </row>
    <row r="313" spans="8:8">
      <c r="H313"/>
    </row>
    <row r="314" spans="8:8">
      <c r="H314"/>
    </row>
    <row r="315" spans="8:8">
      <c r="H315"/>
    </row>
    <row r="316" spans="8:8">
      <c r="H316"/>
    </row>
    <row r="317" spans="8:8">
      <c r="H317"/>
    </row>
    <row r="318" spans="8:8">
      <c r="H318"/>
    </row>
    <row r="319" spans="8:8">
      <c r="H319"/>
    </row>
    <row r="320" spans="8:8">
      <c r="H320"/>
    </row>
    <row r="321" spans="8:8">
      <c r="H321"/>
    </row>
    <row r="322" spans="8:8">
      <c r="H322"/>
    </row>
    <row r="323" spans="8:8">
      <c r="H323"/>
    </row>
    <row r="324" spans="8:8">
      <c r="H324"/>
    </row>
    <row r="325" spans="8:8">
      <c r="H325"/>
    </row>
    <row r="326" spans="8:8">
      <c r="H326"/>
    </row>
    <row r="327" spans="8:8">
      <c r="H327"/>
    </row>
    <row r="328" spans="8:8">
      <c r="H328"/>
    </row>
    <row r="329" spans="8:8">
      <c r="H329"/>
    </row>
    <row r="330" spans="8:8">
      <c r="H330"/>
    </row>
    <row r="331" spans="8:8">
      <c r="H331"/>
    </row>
    <row r="332" spans="8:8">
      <c r="H332"/>
    </row>
    <row r="333" spans="8:8">
      <c r="H333"/>
    </row>
    <row r="334" spans="8:8">
      <c r="H334"/>
    </row>
    <row r="335" spans="8:8">
      <c r="H335"/>
    </row>
    <row r="336" spans="8:8">
      <c r="H336"/>
    </row>
    <row r="337" spans="8:8">
      <c r="H337"/>
    </row>
    <row r="338" spans="8:8">
      <c r="H338"/>
    </row>
    <row r="339" spans="8:8">
      <c r="H339"/>
    </row>
    <row r="340" spans="8:8">
      <c r="H340"/>
    </row>
    <row r="341" spans="8:8">
      <c r="H341"/>
    </row>
    <row r="342" spans="8:8">
      <c r="H342"/>
    </row>
    <row r="343" spans="8:8">
      <c r="H343"/>
    </row>
    <row r="344" spans="8:8">
      <c r="H344"/>
    </row>
    <row r="345" spans="8:8">
      <c r="H345"/>
    </row>
    <row r="346" spans="8:8">
      <c r="H346"/>
    </row>
    <row r="347" spans="8:8">
      <c r="H347"/>
    </row>
    <row r="348" spans="8:8">
      <c r="H348"/>
    </row>
    <row r="349" spans="8:8">
      <c r="H349"/>
    </row>
    <row r="350" spans="8:8">
      <c r="H350"/>
    </row>
    <row r="351" spans="8:8">
      <c r="H351"/>
    </row>
    <row r="352" spans="8:8">
      <c r="H352"/>
    </row>
    <row r="353" spans="8:8">
      <c r="H353"/>
    </row>
    <row r="354" spans="8:8">
      <c r="H354"/>
    </row>
    <row r="355" spans="8:8">
      <c r="H355"/>
    </row>
    <row r="356" spans="8:8">
      <c r="H356"/>
    </row>
    <row r="357" spans="8:8">
      <c r="H357"/>
    </row>
    <row r="358" spans="8:8">
      <c r="H358"/>
    </row>
    <row r="359" spans="8:8">
      <c r="H359"/>
    </row>
    <row r="360" spans="8:8">
      <c r="H360"/>
    </row>
    <row r="361" spans="8:8">
      <c r="H361"/>
    </row>
    <row r="362" spans="8:8">
      <c r="H362"/>
    </row>
    <row r="363" spans="8:8">
      <c r="H363"/>
    </row>
    <row r="364" spans="8:8">
      <c r="H364"/>
    </row>
    <row r="365" spans="8:8">
      <c r="H365"/>
    </row>
    <row r="366" spans="8:8">
      <c r="H366"/>
    </row>
    <row r="367" spans="8:8">
      <c r="H367"/>
    </row>
    <row r="368" spans="8:8">
      <c r="H368"/>
    </row>
    <row r="369" spans="8:8">
      <c r="H369"/>
    </row>
    <row r="370" spans="8:8">
      <c r="H370"/>
    </row>
    <row r="371" spans="8:8">
      <c r="H371"/>
    </row>
    <row r="372" spans="8:8">
      <c r="H372"/>
    </row>
    <row r="373" spans="8:8">
      <c r="H373"/>
    </row>
    <row r="374" spans="8:8">
      <c r="H374"/>
    </row>
    <row r="375" spans="8:8">
      <c r="H375"/>
    </row>
    <row r="376" spans="8:8">
      <c r="H376"/>
    </row>
    <row r="377" spans="8:8">
      <c r="H377"/>
    </row>
    <row r="378" spans="8:8">
      <c r="H378"/>
    </row>
    <row r="379" spans="8:8">
      <c r="H379"/>
    </row>
    <row r="380" spans="8:8">
      <c r="H380"/>
    </row>
    <row r="381" spans="8:8">
      <c r="H381"/>
    </row>
    <row r="382" spans="8:8">
      <c r="H382"/>
    </row>
    <row r="383" spans="8:8">
      <c r="H383"/>
    </row>
    <row r="384" spans="8:8">
      <c r="H384"/>
    </row>
    <row r="385" spans="8:8">
      <c r="H385"/>
    </row>
    <row r="386" spans="8:8">
      <c r="H386"/>
    </row>
    <row r="387" spans="8:8">
      <c r="H387"/>
    </row>
    <row r="388" spans="8:8">
      <c r="H388"/>
    </row>
    <row r="389" spans="8:8">
      <c r="H389"/>
    </row>
    <row r="390" spans="8:8">
      <c r="H390"/>
    </row>
    <row r="391" spans="8:8">
      <c r="H391"/>
    </row>
    <row r="392" spans="8:8">
      <c r="H392"/>
    </row>
    <row r="393" spans="8:8">
      <c r="H393"/>
    </row>
    <row r="394" spans="8:8">
      <c r="H394"/>
    </row>
    <row r="395" spans="8:8">
      <c r="H395"/>
    </row>
    <row r="396" spans="8:8">
      <c r="H396"/>
    </row>
    <row r="397" spans="8:8">
      <c r="H397"/>
    </row>
    <row r="398" spans="8:8">
      <c r="H398"/>
    </row>
    <row r="399" spans="8:8">
      <c r="H399"/>
    </row>
    <row r="400" spans="8:8">
      <c r="H400"/>
    </row>
    <row r="401" spans="8:8">
      <c r="H401"/>
    </row>
    <row r="402" spans="8:8">
      <c r="H402"/>
    </row>
    <row r="403" spans="8:8">
      <c r="H403"/>
    </row>
    <row r="404" spans="8:8">
      <c r="H404"/>
    </row>
    <row r="405" spans="8:8">
      <c r="H405"/>
    </row>
    <row r="406" spans="8:8">
      <c r="H406"/>
    </row>
    <row r="407" spans="8:8">
      <c r="H407"/>
    </row>
    <row r="408" spans="8:8">
      <c r="H408"/>
    </row>
    <row r="409" spans="8:8">
      <c r="H409"/>
    </row>
    <row r="410" spans="8:8">
      <c r="H410"/>
    </row>
    <row r="411" spans="8:8">
      <c r="H411"/>
    </row>
    <row r="412" spans="8:8">
      <c r="H412"/>
    </row>
    <row r="413" spans="8:8">
      <c r="H413"/>
    </row>
    <row r="414" spans="8:8">
      <c r="H414"/>
    </row>
    <row r="415" spans="8:8">
      <c r="H415"/>
    </row>
    <row r="416" spans="8:8">
      <c r="H416"/>
    </row>
    <row r="417" spans="8:8">
      <c r="H417"/>
    </row>
    <row r="418" spans="8:8">
      <c r="H418"/>
    </row>
    <row r="419" spans="8:8">
      <c r="H419"/>
    </row>
    <row r="420" spans="8:8">
      <c r="H420"/>
    </row>
    <row r="421" spans="8:8">
      <c r="H421"/>
    </row>
    <row r="422" spans="8:8">
      <c r="H422"/>
    </row>
    <row r="423" spans="8:8">
      <c r="H423"/>
    </row>
    <row r="424" spans="8:8">
      <c r="H424"/>
    </row>
    <row r="425" spans="8:8">
      <c r="H425"/>
    </row>
    <row r="426" spans="8:8">
      <c r="H426"/>
    </row>
    <row r="427" spans="8:8">
      <c r="H427"/>
    </row>
    <row r="428" spans="8:8">
      <c r="H428"/>
    </row>
    <row r="429" spans="8:8">
      <c r="H429"/>
    </row>
    <row r="430" spans="8:8">
      <c r="H430"/>
    </row>
    <row r="431" spans="8:8">
      <c r="H431"/>
    </row>
    <row r="432" spans="8:8">
      <c r="H432"/>
    </row>
    <row r="433" spans="8:8">
      <c r="H433"/>
    </row>
    <row r="434" spans="8:8">
      <c r="H434"/>
    </row>
    <row r="435" spans="8:8">
      <c r="H435"/>
    </row>
    <row r="436" spans="8:8">
      <c r="H436"/>
    </row>
    <row r="437" spans="8:8">
      <c r="H437"/>
    </row>
    <row r="438" spans="8:8">
      <c r="H438"/>
    </row>
    <row r="439" spans="8:8">
      <c r="H439"/>
    </row>
    <row r="440" spans="8:8">
      <c r="H440"/>
    </row>
    <row r="441" spans="8:8">
      <c r="H441"/>
    </row>
    <row r="442" spans="8:8">
      <c r="H442"/>
    </row>
    <row r="443" spans="8:8">
      <c r="H443"/>
    </row>
    <row r="444" spans="8:8">
      <c r="H444"/>
    </row>
    <row r="445" spans="8:8">
      <c r="H445"/>
    </row>
    <row r="446" spans="8:8">
      <c r="H446"/>
    </row>
    <row r="447" spans="8:8">
      <c r="H447"/>
    </row>
    <row r="448" spans="8:8">
      <c r="H448"/>
    </row>
    <row r="449" spans="8:8">
      <c r="H449"/>
    </row>
    <row r="450" spans="8:8">
      <c r="H450"/>
    </row>
    <row r="451" spans="8:8">
      <c r="H451"/>
    </row>
    <row r="452" spans="8:8">
      <c r="H452"/>
    </row>
    <row r="453" spans="8:8">
      <c r="H453"/>
    </row>
    <row r="454" spans="8:8">
      <c r="H454"/>
    </row>
    <row r="455" spans="8:8">
      <c r="H455"/>
    </row>
    <row r="456" spans="8:8">
      <c r="H456"/>
    </row>
    <row r="457" spans="8:8">
      <c r="H457"/>
    </row>
    <row r="458" spans="8:8">
      <c r="H458"/>
    </row>
    <row r="459" spans="8:8">
      <c r="H459"/>
    </row>
    <row r="460" spans="8:8">
      <c r="H460"/>
    </row>
    <row r="461" spans="8:8">
      <c r="H461"/>
    </row>
    <row r="462" spans="8:8">
      <c r="H462"/>
    </row>
    <row r="463" spans="8:8">
      <c r="H463"/>
    </row>
    <row r="464" spans="8:8">
      <c r="H464"/>
    </row>
    <row r="465" spans="8:8">
      <c r="H465"/>
    </row>
    <row r="466" spans="8:8">
      <c r="H466"/>
    </row>
    <row r="467" spans="8:8">
      <c r="H467"/>
    </row>
    <row r="468" spans="8:8">
      <c r="H468"/>
    </row>
    <row r="469" spans="8:8">
      <c r="H469"/>
    </row>
    <row r="470" spans="8:8">
      <c r="H470"/>
    </row>
    <row r="471" spans="8:8">
      <c r="H471"/>
    </row>
    <row r="472" spans="8:8">
      <c r="H472"/>
    </row>
    <row r="473" spans="8:8">
      <c r="H473"/>
    </row>
    <row r="474" spans="8:8">
      <c r="H474"/>
    </row>
    <row r="475" spans="8:8">
      <c r="H475"/>
    </row>
    <row r="476" spans="8:8">
      <c r="H476"/>
    </row>
    <row r="477" spans="8:8">
      <c r="H477"/>
    </row>
    <row r="478" spans="8:8">
      <c r="H478"/>
    </row>
    <row r="479" spans="8:8">
      <c r="H479"/>
    </row>
    <row r="480" spans="8:8">
      <c r="H480"/>
    </row>
    <row r="481" spans="8:8">
      <c r="H481"/>
    </row>
    <row r="482" spans="8:8">
      <c r="H482"/>
    </row>
    <row r="483" spans="8:8">
      <c r="H483"/>
    </row>
    <row r="484" spans="8:8">
      <c r="H484"/>
    </row>
    <row r="485" spans="8:8">
      <c r="H485"/>
    </row>
    <row r="486" spans="8:8">
      <c r="H486"/>
    </row>
    <row r="487" spans="8:8">
      <c r="H487"/>
    </row>
    <row r="488" spans="8:8">
      <c r="H488"/>
    </row>
    <row r="489" spans="8:8">
      <c r="H489"/>
    </row>
    <row r="490" spans="8:8">
      <c r="H490"/>
    </row>
    <row r="491" spans="8:8">
      <c r="H491"/>
    </row>
    <row r="492" spans="8:8">
      <c r="H492"/>
    </row>
    <row r="493" spans="8:8">
      <c r="H493"/>
    </row>
    <row r="494" spans="8:8">
      <c r="H494"/>
    </row>
    <row r="495" spans="8:8">
      <c r="H495"/>
    </row>
    <row r="496" spans="8:8">
      <c r="H496"/>
    </row>
    <row r="497" spans="8:8">
      <c r="H497"/>
    </row>
    <row r="498" spans="8:8">
      <c r="H498"/>
    </row>
    <row r="499" spans="8:8">
      <c r="H499"/>
    </row>
    <row r="500" spans="8:8">
      <c r="H500"/>
    </row>
    <row r="501" spans="8:8">
      <c r="H501"/>
    </row>
    <row r="502" spans="8:8">
      <c r="H502"/>
    </row>
    <row r="503" spans="8:8">
      <c r="H503"/>
    </row>
    <row r="504" spans="8:8">
      <c r="H504"/>
    </row>
    <row r="505" spans="8:8">
      <c r="H505"/>
    </row>
    <row r="506" spans="8:8">
      <c r="H506"/>
    </row>
    <row r="507" spans="8:8">
      <c r="H507"/>
    </row>
    <row r="508" spans="8:8">
      <c r="H508"/>
    </row>
    <row r="509" spans="8:8">
      <c r="H509"/>
    </row>
    <row r="510" spans="8:8">
      <c r="H510"/>
    </row>
    <row r="511" spans="8:8">
      <c r="H511"/>
    </row>
    <row r="512" spans="8:8">
      <c r="H512"/>
    </row>
    <row r="513" spans="8:8">
      <c r="H513"/>
    </row>
    <row r="514" spans="8:8">
      <c r="H514"/>
    </row>
    <row r="515" spans="8:8">
      <c r="H515"/>
    </row>
    <row r="516" spans="8:8">
      <c r="H516"/>
    </row>
    <row r="517" spans="8:8">
      <c r="H517"/>
    </row>
    <row r="518" spans="8:8">
      <c r="H518"/>
    </row>
    <row r="519" spans="8:8">
      <c r="H519"/>
    </row>
    <row r="520" spans="8:8">
      <c r="H520"/>
    </row>
    <row r="521" spans="8:8">
      <c r="H521"/>
    </row>
    <row r="522" spans="8:8">
      <c r="H522"/>
    </row>
    <row r="523" spans="8:8">
      <c r="H523"/>
    </row>
    <row r="524" spans="8:8">
      <c r="H524"/>
    </row>
    <row r="525" spans="8:8">
      <c r="H525"/>
    </row>
    <row r="526" spans="8:8">
      <c r="H526"/>
    </row>
    <row r="527" spans="8:8">
      <c r="H527"/>
    </row>
    <row r="528" spans="8:8">
      <c r="H528"/>
    </row>
    <row r="529" spans="8:8">
      <c r="H529"/>
    </row>
    <row r="530" spans="8:8">
      <c r="H530"/>
    </row>
    <row r="531" spans="8:8">
      <c r="H531"/>
    </row>
    <row r="532" spans="8:8">
      <c r="H532"/>
    </row>
    <row r="533" spans="8:8">
      <c r="H533"/>
    </row>
    <row r="534" spans="8:8">
      <c r="H534"/>
    </row>
    <row r="535" spans="8:8">
      <c r="H535"/>
    </row>
    <row r="536" spans="8:8">
      <c r="H536"/>
    </row>
    <row r="537" spans="8:8">
      <c r="H537"/>
    </row>
    <row r="538" spans="8:8">
      <c r="H538"/>
    </row>
    <row r="539" spans="8:8">
      <c r="H539"/>
    </row>
    <row r="540" spans="8:8">
      <c r="H540"/>
    </row>
    <row r="541" spans="8:8">
      <c r="H541"/>
    </row>
    <row r="542" spans="8:8">
      <c r="H542"/>
    </row>
    <row r="543" spans="8:8">
      <c r="H543"/>
    </row>
    <row r="544" spans="8:8">
      <c r="H544"/>
    </row>
    <row r="545" spans="8:8">
      <c r="H545"/>
    </row>
    <row r="546" spans="8:8">
      <c r="H546"/>
    </row>
    <row r="547" spans="8:8">
      <c r="H547"/>
    </row>
    <row r="548" spans="8:8">
      <c r="H548"/>
    </row>
    <row r="549" spans="8:8">
      <c r="H549"/>
    </row>
    <row r="550" spans="8:8">
      <c r="H550"/>
    </row>
    <row r="551" spans="8:8">
      <c r="H551"/>
    </row>
    <row r="552" spans="8:8">
      <c r="H552"/>
    </row>
    <row r="553" spans="8:8">
      <c r="H553"/>
    </row>
    <row r="554" spans="8:8">
      <c r="H554"/>
    </row>
    <row r="555" spans="8:8">
      <c r="H555"/>
    </row>
    <row r="556" spans="8:8">
      <c r="H556"/>
    </row>
    <row r="557" spans="8:8">
      <c r="H557"/>
    </row>
    <row r="558" spans="8:8">
      <c r="H558"/>
    </row>
    <row r="559" spans="8:8">
      <c r="H559"/>
    </row>
    <row r="560" spans="8:8">
      <c r="H560"/>
    </row>
    <row r="561" spans="8:8">
      <c r="H561"/>
    </row>
    <row r="562" spans="8:8">
      <c r="H562"/>
    </row>
    <row r="563" spans="8:8">
      <c r="H563"/>
    </row>
    <row r="564" spans="8:8">
      <c r="H564"/>
    </row>
    <row r="565" spans="8:8">
      <c r="H565"/>
    </row>
    <row r="566" spans="8:8">
      <c r="H566"/>
    </row>
    <row r="567" spans="8:8">
      <c r="H567"/>
    </row>
    <row r="568" spans="8:8">
      <c r="H568"/>
    </row>
    <row r="569" spans="8:8">
      <c r="H569"/>
    </row>
    <row r="570" spans="8:8">
      <c r="H570"/>
    </row>
    <row r="571" spans="8:8">
      <c r="H571"/>
    </row>
    <row r="572" spans="8:8">
      <c r="H572"/>
    </row>
    <row r="573" spans="8:8">
      <c r="H573"/>
    </row>
    <row r="574" spans="8:8">
      <c r="H574"/>
    </row>
    <row r="575" spans="8:8">
      <c r="H575"/>
    </row>
    <row r="576" spans="8:8">
      <c r="H576"/>
    </row>
    <row r="577" spans="8:8">
      <c r="H577"/>
    </row>
    <row r="578" spans="8:8">
      <c r="H578"/>
    </row>
    <row r="579" spans="8:8">
      <c r="H579"/>
    </row>
    <row r="580" spans="8:8">
      <c r="H580"/>
    </row>
    <row r="581" spans="8:8">
      <c r="H581"/>
    </row>
    <row r="582" spans="8:8">
      <c r="H582"/>
    </row>
    <row r="583" spans="8:8">
      <c r="H583"/>
    </row>
    <row r="584" spans="8:8">
      <c r="H584"/>
    </row>
    <row r="585" spans="8:8">
      <c r="H585"/>
    </row>
    <row r="586" spans="8:8">
      <c r="H586"/>
    </row>
    <row r="587" spans="8:8">
      <c r="H587"/>
    </row>
    <row r="588" spans="8:8">
      <c r="H588"/>
    </row>
    <row r="589" spans="8:8">
      <c r="H589"/>
    </row>
    <row r="590" spans="8:8">
      <c r="H590"/>
    </row>
    <row r="591" spans="8:8">
      <c r="H591"/>
    </row>
    <row r="592" spans="8:8">
      <c r="H592"/>
    </row>
    <row r="593" spans="8:8">
      <c r="H593"/>
    </row>
    <row r="594" spans="8:8">
      <c r="H594"/>
    </row>
    <row r="595" spans="8:8">
      <c r="H595"/>
    </row>
    <row r="596" spans="8:8">
      <c r="H596"/>
    </row>
    <row r="597" spans="8:8">
      <c r="H597"/>
    </row>
    <row r="598" spans="8:8">
      <c r="H598"/>
    </row>
    <row r="599" spans="8:8">
      <c r="H599"/>
    </row>
    <row r="600" spans="8:8">
      <c r="H600"/>
    </row>
    <row r="601" spans="8:8">
      <c r="H601"/>
    </row>
    <row r="602" spans="8:8">
      <c r="H602"/>
    </row>
    <row r="603" spans="8:8">
      <c r="H603"/>
    </row>
    <row r="604" spans="8:8">
      <c r="H604"/>
    </row>
    <row r="605" spans="8:8">
      <c r="H605"/>
    </row>
    <row r="606" spans="8:8">
      <c r="H606"/>
    </row>
    <row r="607" spans="8:8">
      <c r="H607"/>
    </row>
    <row r="608" spans="8:8">
      <c r="H608"/>
    </row>
    <row r="609" spans="8:8">
      <c r="H609"/>
    </row>
    <row r="610" spans="8:8">
      <c r="H610"/>
    </row>
    <row r="611" spans="8:8">
      <c r="H611"/>
    </row>
    <row r="612" spans="8:8">
      <c r="H612"/>
    </row>
    <row r="613" spans="8:8">
      <c r="H613"/>
    </row>
    <row r="614" spans="8:8">
      <c r="H614"/>
    </row>
    <row r="615" spans="8:8">
      <c r="H615"/>
    </row>
    <row r="616" spans="8:8">
      <c r="H616"/>
    </row>
    <row r="617" spans="8:8">
      <c r="H617"/>
    </row>
    <row r="618" spans="8:8">
      <c r="H618"/>
    </row>
    <row r="619" spans="8:8">
      <c r="H619"/>
    </row>
    <row r="620" spans="8:8">
      <c r="H620"/>
    </row>
    <row r="621" spans="8:8">
      <c r="H621"/>
    </row>
    <row r="622" spans="8:8">
      <c r="H622"/>
    </row>
    <row r="623" spans="8:8">
      <c r="H623"/>
    </row>
    <row r="624" spans="8:8">
      <c r="H624"/>
    </row>
    <row r="625" spans="8:8">
      <c r="H625"/>
    </row>
    <row r="626" spans="8:8">
      <c r="H626"/>
    </row>
    <row r="627" spans="8:8">
      <c r="H627"/>
    </row>
    <row r="628" spans="8:8">
      <c r="H628"/>
    </row>
    <row r="629" spans="8:8">
      <c r="H629"/>
    </row>
    <row r="630" spans="8:8">
      <c r="H630"/>
    </row>
    <row r="631" spans="8:8">
      <c r="H631"/>
    </row>
    <row r="632" spans="8:8">
      <c r="H632"/>
    </row>
    <row r="633" spans="8:8">
      <c r="H633"/>
    </row>
    <row r="634" spans="8:8">
      <c r="H634"/>
    </row>
    <row r="635" spans="8:8">
      <c r="H635"/>
    </row>
    <row r="636" spans="8:8">
      <c r="H636"/>
    </row>
    <row r="637" spans="8:8">
      <c r="H637"/>
    </row>
    <row r="638" spans="8:8">
      <c r="H638"/>
    </row>
    <row r="639" spans="8:8">
      <c r="H639"/>
    </row>
    <row r="640" spans="8:8">
      <c r="H640"/>
    </row>
    <row r="641" spans="8:8">
      <c r="H641"/>
    </row>
    <row r="642" spans="8:8">
      <c r="H642"/>
    </row>
    <row r="643" spans="8:8">
      <c r="H643"/>
    </row>
    <row r="644" spans="8:8">
      <c r="H644"/>
    </row>
    <row r="645" spans="8:8">
      <c r="H645"/>
    </row>
    <row r="646" spans="8:8">
      <c r="H646"/>
    </row>
    <row r="647" spans="8:8">
      <c r="H647"/>
    </row>
    <row r="648" spans="8:8">
      <c r="H648"/>
    </row>
    <row r="649" spans="8:8">
      <c r="H649"/>
    </row>
    <row r="650" spans="8:8">
      <c r="H650"/>
    </row>
    <row r="651" spans="8:8">
      <c r="H651"/>
    </row>
    <row r="652" spans="8:8">
      <c r="H652"/>
    </row>
    <row r="653" spans="8:8">
      <c r="H653"/>
    </row>
    <row r="654" spans="8:8">
      <c r="H654"/>
    </row>
    <row r="655" spans="8:8">
      <c r="H655"/>
    </row>
    <row r="656" spans="8:8">
      <c r="H656"/>
    </row>
    <row r="657" spans="8:8">
      <c r="H657"/>
    </row>
    <row r="658" spans="8:8">
      <c r="H658"/>
    </row>
    <row r="659" spans="8:8">
      <c r="H659"/>
    </row>
    <row r="660" spans="8:8">
      <c r="H660"/>
    </row>
    <row r="661" spans="8:8">
      <c r="H661"/>
    </row>
    <row r="662" spans="8:8">
      <c r="H662"/>
    </row>
    <row r="663" spans="8:8">
      <c r="H663"/>
    </row>
    <row r="664" spans="8:8">
      <c r="H664"/>
    </row>
    <row r="665" spans="8:8">
      <c r="H665"/>
    </row>
    <row r="666" spans="8:8">
      <c r="H666"/>
    </row>
    <row r="667" spans="8:8">
      <c r="H667"/>
    </row>
    <row r="668" spans="8:8">
      <c r="H668"/>
    </row>
    <row r="669" spans="8:8">
      <c r="H669"/>
    </row>
    <row r="670" spans="8:8">
      <c r="H670"/>
    </row>
    <row r="671" spans="8:8">
      <c r="H671"/>
    </row>
    <row r="672" spans="8:8">
      <c r="H672"/>
    </row>
    <row r="673" spans="8:8">
      <c r="H673"/>
    </row>
    <row r="674" spans="8:8">
      <c r="H674"/>
    </row>
    <row r="675" spans="8:8">
      <c r="H675"/>
    </row>
    <row r="676" spans="8:8">
      <c r="H676"/>
    </row>
    <row r="677" spans="8:8">
      <c r="H677"/>
    </row>
    <row r="678" spans="8:8">
      <c r="H678"/>
    </row>
    <row r="679" spans="8:8">
      <c r="H679"/>
    </row>
    <row r="680" spans="8:8">
      <c r="H680"/>
    </row>
    <row r="681" spans="8:8">
      <c r="H681"/>
    </row>
    <row r="682" spans="8:8">
      <c r="H682"/>
    </row>
    <row r="683" spans="8:8">
      <c r="H683"/>
    </row>
    <row r="684" spans="8:8">
      <c r="H684"/>
    </row>
    <row r="685" spans="8:8">
      <c r="H685"/>
    </row>
    <row r="686" spans="8:8">
      <c r="H686"/>
    </row>
    <row r="687" spans="8:8">
      <c r="H687"/>
    </row>
    <row r="688" spans="8:8">
      <c r="H688"/>
    </row>
    <row r="689" spans="8:8">
      <c r="H689"/>
    </row>
    <row r="690" spans="8:8">
      <c r="H690"/>
    </row>
    <row r="691" spans="8:8">
      <c r="H691"/>
    </row>
    <row r="692" spans="8:8">
      <c r="H692"/>
    </row>
    <row r="693" spans="8:8">
      <c r="H693"/>
    </row>
    <row r="694" spans="8:8">
      <c r="H694"/>
    </row>
    <row r="695" spans="8:8">
      <c r="H695"/>
    </row>
    <row r="696" spans="8:8">
      <c r="H696"/>
    </row>
    <row r="697" spans="8:8">
      <c r="H697"/>
    </row>
    <row r="698" spans="8:8">
      <c r="H698"/>
    </row>
    <row r="699" spans="8:8">
      <c r="H699"/>
    </row>
    <row r="700" spans="8:8">
      <c r="H700"/>
    </row>
    <row r="701" spans="8:8">
      <c r="H701"/>
    </row>
    <row r="702" spans="8:8">
      <c r="H702"/>
    </row>
    <row r="703" spans="8:8">
      <c r="H703"/>
    </row>
    <row r="704" spans="8:8">
      <c r="H704"/>
    </row>
    <row r="705" spans="8:8">
      <c r="H705"/>
    </row>
    <row r="706" spans="8:8">
      <c r="H706"/>
    </row>
    <row r="707" spans="8:8">
      <c r="H707"/>
    </row>
    <row r="708" spans="8:8">
      <c r="H708"/>
    </row>
    <row r="709" spans="8:8">
      <c r="H709"/>
    </row>
    <row r="710" spans="8:8">
      <c r="H710"/>
    </row>
    <row r="711" spans="8:8">
      <c r="H711"/>
    </row>
    <row r="712" spans="8:8">
      <c r="H712"/>
    </row>
    <row r="713" spans="8:8">
      <c r="H713"/>
    </row>
    <row r="714" spans="8:8">
      <c r="H714"/>
    </row>
    <row r="715" spans="8:8">
      <c r="H715"/>
    </row>
    <row r="716" spans="8:8">
      <c r="H716"/>
    </row>
    <row r="717" spans="8:8">
      <c r="H717"/>
    </row>
    <row r="718" spans="8:8">
      <c r="H718"/>
    </row>
    <row r="719" spans="8:8">
      <c r="H719"/>
    </row>
    <row r="720" spans="8:8">
      <c r="H720"/>
    </row>
    <row r="721" spans="8:8">
      <c r="H721"/>
    </row>
    <row r="722" spans="8:8">
      <c r="H722"/>
    </row>
    <row r="723" spans="8:8">
      <c r="H723"/>
    </row>
    <row r="724" spans="8:8">
      <c r="H724"/>
    </row>
    <row r="725" spans="8:8">
      <c r="H725"/>
    </row>
    <row r="726" spans="8:8">
      <c r="H726"/>
    </row>
    <row r="727" spans="8:8">
      <c r="H727"/>
    </row>
    <row r="728" spans="8:8">
      <c r="H728"/>
    </row>
    <row r="729" spans="8:8">
      <c r="H729"/>
    </row>
    <row r="730" spans="8:8">
      <c r="H730"/>
    </row>
    <row r="731" spans="8:8">
      <c r="H731"/>
    </row>
    <row r="732" spans="8:8">
      <c r="H732"/>
    </row>
    <row r="733" spans="8:8">
      <c r="H733"/>
    </row>
    <row r="734" spans="8:8">
      <c r="H734"/>
    </row>
    <row r="735" spans="8:8">
      <c r="H735"/>
    </row>
    <row r="736" spans="8:8">
      <c r="H736"/>
    </row>
    <row r="737" spans="8:8">
      <c r="H737"/>
    </row>
    <row r="738" spans="8:8">
      <c r="H738"/>
    </row>
    <row r="739" spans="8:8">
      <c r="H739"/>
    </row>
    <row r="740" spans="8:8">
      <c r="H740"/>
    </row>
    <row r="741" spans="8:8">
      <c r="H741"/>
    </row>
    <row r="742" spans="8:8">
      <c r="H742"/>
    </row>
    <row r="743" spans="8:8">
      <c r="H743"/>
    </row>
    <row r="744" spans="8:8">
      <c r="H744"/>
    </row>
    <row r="745" spans="8:8">
      <c r="H745"/>
    </row>
    <row r="746" spans="8:8">
      <c r="H746"/>
    </row>
    <row r="747" spans="8:8">
      <c r="H747"/>
    </row>
    <row r="748" spans="8:8">
      <c r="H748"/>
    </row>
    <row r="749" spans="8:8">
      <c r="H749"/>
    </row>
    <row r="750" spans="8:8">
      <c r="H750"/>
    </row>
    <row r="751" spans="8:8">
      <c r="H751"/>
    </row>
    <row r="752" spans="8:8">
      <c r="H752"/>
    </row>
    <row r="753" spans="8:8">
      <c r="H753"/>
    </row>
    <row r="754" spans="8:8">
      <c r="H754"/>
    </row>
    <row r="755" spans="8:8">
      <c r="H755"/>
    </row>
    <row r="756" spans="8:8">
      <c r="H756"/>
    </row>
    <row r="757" spans="8:8">
      <c r="H757"/>
    </row>
    <row r="758" spans="8:8">
      <c r="H758"/>
    </row>
    <row r="759" spans="8:8">
      <c r="H759"/>
    </row>
    <row r="760" spans="8:8">
      <c r="H760"/>
    </row>
    <row r="761" spans="8:8">
      <c r="H761"/>
    </row>
    <row r="762" spans="8:8">
      <c r="H762"/>
    </row>
    <row r="763" spans="8:8">
      <c r="H763"/>
    </row>
    <row r="764" spans="8:8">
      <c r="H764"/>
    </row>
    <row r="765" spans="8:8">
      <c r="H765"/>
    </row>
    <row r="766" spans="8:8">
      <c r="H766"/>
    </row>
    <row r="767" spans="8:8">
      <c r="H767"/>
    </row>
    <row r="768" spans="8:8">
      <c r="H768"/>
    </row>
    <row r="769" spans="8:8">
      <c r="H769"/>
    </row>
    <row r="770" spans="8:8">
      <c r="H770"/>
    </row>
    <row r="771" spans="8:8">
      <c r="H771"/>
    </row>
    <row r="772" spans="8:8">
      <c r="H772"/>
    </row>
    <row r="773" spans="8:8">
      <c r="H773"/>
    </row>
    <row r="774" spans="8:8">
      <c r="H774"/>
    </row>
    <row r="775" spans="8:8">
      <c r="H775"/>
    </row>
    <row r="776" spans="8:8">
      <c r="H776"/>
    </row>
    <row r="777" spans="8:8">
      <c r="H777"/>
    </row>
    <row r="778" spans="8:8">
      <c r="H778"/>
    </row>
    <row r="779" spans="8:8">
      <c r="H779"/>
    </row>
    <row r="780" spans="8:8">
      <c r="H780"/>
    </row>
    <row r="781" spans="8:8">
      <c r="H781"/>
    </row>
    <row r="782" spans="8:8">
      <c r="H782"/>
    </row>
    <row r="783" spans="8:8">
      <c r="H783"/>
    </row>
    <row r="784" spans="8:8">
      <c r="H784"/>
    </row>
    <row r="785" spans="8:8">
      <c r="H785"/>
    </row>
    <row r="786" spans="8:8">
      <c r="H786"/>
    </row>
    <row r="787" spans="8:8">
      <c r="H787"/>
    </row>
    <row r="788" spans="8:8">
      <c r="H788"/>
    </row>
    <row r="789" spans="8:8">
      <c r="H789"/>
    </row>
    <row r="790" spans="8:8">
      <c r="H790"/>
    </row>
    <row r="791" spans="8:8">
      <c r="H791"/>
    </row>
    <row r="792" spans="8:8">
      <c r="H792"/>
    </row>
    <row r="793" spans="8:8">
      <c r="H793"/>
    </row>
    <row r="794" spans="8:8">
      <c r="H794"/>
    </row>
    <row r="795" spans="8:8">
      <c r="H795"/>
    </row>
    <row r="796" spans="8:8">
      <c r="H796"/>
    </row>
    <row r="797" spans="8:8">
      <c r="H797"/>
    </row>
    <row r="798" spans="8:8">
      <c r="H798"/>
    </row>
    <row r="799" spans="8:8">
      <c r="H799"/>
    </row>
    <row r="800" spans="8:8">
      <c r="H800"/>
    </row>
    <row r="801" spans="8:8">
      <c r="H801"/>
    </row>
    <row r="802" spans="8:8">
      <c r="H802"/>
    </row>
    <row r="803" spans="8:8">
      <c r="H803"/>
    </row>
    <row r="804" spans="8:8">
      <c r="H804"/>
    </row>
    <row r="805" spans="8:8">
      <c r="H805"/>
    </row>
    <row r="806" spans="8:8">
      <c r="H806"/>
    </row>
    <row r="807" spans="8:8">
      <c r="H807"/>
    </row>
    <row r="808" spans="8:8">
      <c r="H808"/>
    </row>
    <row r="809" spans="8:8">
      <c r="H809"/>
    </row>
    <row r="810" spans="8:8">
      <c r="H810"/>
    </row>
    <row r="811" spans="8:8">
      <c r="H811"/>
    </row>
    <row r="812" spans="8:8">
      <c r="H812"/>
    </row>
    <row r="813" spans="8:8">
      <c r="H813"/>
    </row>
    <row r="814" spans="8:8">
      <c r="H814"/>
    </row>
    <row r="815" spans="8:8">
      <c r="H815"/>
    </row>
    <row r="816" spans="8:8">
      <c r="H816"/>
    </row>
    <row r="817" spans="8:8">
      <c r="H817"/>
    </row>
    <row r="818" spans="8:8">
      <c r="H818"/>
    </row>
    <row r="819" spans="8:8">
      <c r="H819"/>
    </row>
    <row r="820" spans="8:8">
      <c r="H820"/>
    </row>
    <row r="821" spans="8:8">
      <c r="H821"/>
    </row>
    <row r="822" spans="8:8">
      <c r="H822"/>
    </row>
    <row r="823" spans="8:8">
      <c r="H823"/>
    </row>
    <row r="824" spans="8:8">
      <c r="H824"/>
    </row>
    <row r="825" spans="8:8">
      <c r="H825"/>
    </row>
    <row r="826" spans="8:8">
      <c r="H826"/>
    </row>
    <row r="827" spans="8:8">
      <c r="H827"/>
    </row>
    <row r="828" spans="8:8">
      <c r="H828"/>
    </row>
    <row r="829" spans="8:8">
      <c r="H829"/>
    </row>
    <row r="830" spans="8:8">
      <c r="H830"/>
    </row>
    <row r="831" spans="8:8">
      <c r="H831"/>
    </row>
    <row r="832" spans="8:8">
      <c r="H832"/>
    </row>
    <row r="833" spans="8:8">
      <c r="H833"/>
    </row>
    <row r="834" spans="8:8">
      <c r="H834"/>
    </row>
    <row r="835" spans="8:8">
      <c r="H835"/>
    </row>
    <row r="836" spans="8:8">
      <c r="H836"/>
    </row>
    <row r="837" spans="8:8">
      <c r="H837"/>
    </row>
    <row r="838" spans="8:8">
      <c r="H838"/>
    </row>
    <row r="839" spans="8:8">
      <c r="H839"/>
    </row>
    <row r="840" spans="8:8">
      <c r="H840"/>
    </row>
    <row r="841" spans="8:8">
      <c r="H841"/>
    </row>
    <row r="842" spans="8:8">
      <c r="H842"/>
    </row>
    <row r="843" spans="8:8">
      <c r="H843"/>
    </row>
    <row r="844" spans="8:8">
      <c r="H844"/>
    </row>
    <row r="845" spans="8:8">
      <c r="H845"/>
    </row>
    <row r="846" spans="8:8">
      <c r="H846"/>
    </row>
    <row r="847" spans="8:8">
      <c r="H847"/>
    </row>
    <row r="848" spans="8:8">
      <c r="H848"/>
    </row>
    <row r="849" spans="8:8">
      <c r="H849"/>
    </row>
    <row r="850" spans="8:8">
      <c r="H850"/>
    </row>
    <row r="851" spans="8:8">
      <c r="H851"/>
    </row>
    <row r="852" spans="8:8">
      <c r="H852"/>
    </row>
    <row r="853" spans="8:8">
      <c r="H853"/>
    </row>
    <row r="854" spans="8:8">
      <c r="H854"/>
    </row>
    <row r="855" spans="8:8">
      <c r="H855"/>
    </row>
    <row r="856" spans="8:8">
      <c r="H856"/>
    </row>
    <row r="857" spans="8:8">
      <c r="H857"/>
    </row>
    <row r="858" spans="8:8">
      <c r="H858"/>
    </row>
    <row r="859" spans="8:8">
      <c r="H859"/>
    </row>
    <row r="860" spans="8:8">
      <c r="H860"/>
    </row>
    <row r="861" spans="8:8">
      <c r="H861"/>
    </row>
    <row r="862" spans="8:8">
      <c r="H862"/>
    </row>
    <row r="863" spans="8:8">
      <c r="H863"/>
    </row>
    <row r="864" spans="8:8">
      <c r="H864"/>
    </row>
    <row r="865" spans="8:8">
      <c r="H865"/>
    </row>
    <row r="866" spans="8:8">
      <c r="H866"/>
    </row>
    <row r="867" spans="8:8">
      <c r="H867"/>
    </row>
    <row r="868" spans="8:8">
      <c r="H868"/>
    </row>
    <row r="869" spans="8:8">
      <c r="H869"/>
    </row>
    <row r="870" spans="8:8">
      <c r="H870"/>
    </row>
    <row r="871" spans="8:8">
      <c r="H871"/>
    </row>
    <row r="872" spans="8:8">
      <c r="H872"/>
    </row>
    <row r="873" spans="8:8">
      <c r="H873"/>
    </row>
    <row r="874" spans="8:8">
      <c r="H874"/>
    </row>
    <row r="875" spans="8:8">
      <c r="H875"/>
    </row>
    <row r="876" spans="8:8">
      <c r="H876"/>
    </row>
    <row r="877" spans="8:8">
      <c r="H877"/>
    </row>
    <row r="878" spans="8:8">
      <c r="H878"/>
    </row>
    <row r="879" spans="8:8">
      <c r="H879"/>
    </row>
    <row r="880" spans="8:8">
      <c r="H880"/>
    </row>
    <row r="881" spans="8:8">
      <c r="H881"/>
    </row>
    <row r="882" spans="8:8">
      <c r="H882"/>
    </row>
    <row r="883" spans="8:8">
      <c r="H883"/>
    </row>
    <row r="884" spans="8:8">
      <c r="H884"/>
    </row>
    <row r="885" spans="8:8">
      <c r="H885"/>
    </row>
    <row r="886" spans="8:8">
      <c r="H886"/>
    </row>
    <row r="887" spans="8:8">
      <c r="H887"/>
    </row>
    <row r="888" spans="8:8">
      <c r="H888"/>
    </row>
    <row r="889" spans="8:8">
      <c r="H889"/>
    </row>
    <row r="890" spans="8:8">
      <c r="H890"/>
    </row>
    <row r="891" spans="8:8">
      <c r="H891"/>
    </row>
    <row r="892" spans="8:8">
      <c r="H892"/>
    </row>
    <row r="893" spans="8:8">
      <c r="H893"/>
    </row>
    <row r="894" spans="8:8">
      <c r="H894"/>
    </row>
    <row r="895" spans="8:8">
      <c r="H895"/>
    </row>
    <row r="896" spans="8:8">
      <c r="H896"/>
    </row>
    <row r="897" spans="8:8">
      <c r="H897"/>
    </row>
    <row r="898" spans="8:8">
      <c r="H898"/>
    </row>
    <row r="899" spans="8:8">
      <c r="H899"/>
    </row>
    <row r="900" spans="8:8">
      <c r="H900"/>
    </row>
    <row r="901" spans="8:8">
      <c r="H901"/>
    </row>
    <row r="902" spans="8:8">
      <c r="H902"/>
    </row>
    <row r="903" spans="8:8">
      <c r="H903"/>
    </row>
    <row r="904" spans="8:8">
      <c r="H904"/>
    </row>
    <row r="905" spans="8:8">
      <c r="H905"/>
    </row>
    <row r="906" spans="8:8">
      <c r="H906"/>
    </row>
    <row r="907" spans="8:8">
      <c r="H907"/>
    </row>
    <row r="908" spans="8:8">
      <c r="H908"/>
    </row>
    <row r="909" spans="8:8">
      <c r="H909"/>
    </row>
    <row r="910" spans="8:8">
      <c r="H910"/>
    </row>
    <row r="911" spans="8:8">
      <c r="H911"/>
    </row>
    <row r="912" spans="8:8">
      <c r="H912"/>
    </row>
    <row r="913" spans="8:8">
      <c r="H913"/>
    </row>
    <row r="914" spans="8:8">
      <c r="H914"/>
    </row>
    <row r="915" spans="8:8">
      <c r="H915"/>
    </row>
    <row r="916" spans="8:8">
      <c r="H916"/>
    </row>
    <row r="917" spans="8:8">
      <c r="H917"/>
    </row>
    <row r="918" spans="8:8">
      <c r="H918"/>
    </row>
    <row r="919" spans="8:8">
      <c r="H919"/>
    </row>
    <row r="920" spans="8:8">
      <c r="H920"/>
    </row>
    <row r="921" spans="8:8">
      <c r="H921"/>
    </row>
    <row r="922" spans="8:8">
      <c r="H922"/>
    </row>
    <row r="923" spans="8:8">
      <c r="H923"/>
    </row>
    <row r="924" spans="8:8">
      <c r="H924"/>
    </row>
    <row r="925" spans="8:8">
      <c r="H925"/>
    </row>
    <row r="926" spans="8:8">
      <c r="H926"/>
    </row>
    <row r="927" spans="8:8">
      <c r="H927"/>
    </row>
    <row r="928" spans="8:8">
      <c r="H928"/>
    </row>
    <row r="929" spans="8:8">
      <c r="H929"/>
    </row>
    <row r="930" spans="8:8">
      <c r="H930"/>
    </row>
    <row r="931" spans="8:8">
      <c r="H931"/>
    </row>
    <row r="932" spans="8:8">
      <c r="H932"/>
    </row>
    <row r="933" spans="8:8">
      <c r="H933"/>
    </row>
    <row r="934" spans="8:8">
      <c r="H934"/>
    </row>
    <row r="935" spans="8:8">
      <c r="H935"/>
    </row>
    <row r="936" spans="8:8">
      <c r="H936"/>
    </row>
    <row r="937" spans="8:8">
      <c r="H937"/>
    </row>
    <row r="938" spans="8:8">
      <c r="H938"/>
    </row>
    <row r="939" spans="8:8">
      <c r="H939"/>
    </row>
    <row r="940" spans="8:8">
      <c r="H940"/>
    </row>
    <row r="941" spans="8:8">
      <c r="H941"/>
    </row>
    <row r="942" spans="8:8">
      <c r="H942"/>
    </row>
    <row r="943" spans="8:8">
      <c r="H943"/>
    </row>
    <row r="944" spans="8:8">
      <c r="H944"/>
    </row>
    <row r="945" spans="8:8">
      <c r="H945"/>
    </row>
    <row r="946" spans="8:8">
      <c r="H946"/>
    </row>
    <row r="947" spans="8:8">
      <c r="H947"/>
    </row>
    <row r="948" spans="8:8">
      <c r="H948"/>
    </row>
    <row r="949" spans="8:8">
      <c r="H949"/>
    </row>
    <row r="950" spans="8:8">
      <c r="H950"/>
    </row>
    <row r="951" spans="8:8">
      <c r="H951"/>
    </row>
    <row r="952" spans="8:8">
      <c r="H952"/>
    </row>
    <row r="953" spans="8:8">
      <c r="H953"/>
    </row>
    <row r="954" spans="8:8">
      <c r="H954"/>
    </row>
    <row r="955" spans="8:8">
      <c r="H955"/>
    </row>
    <row r="956" spans="8:8">
      <c r="H956"/>
    </row>
    <row r="957" spans="8:8">
      <c r="H957"/>
    </row>
    <row r="958" spans="8:8">
      <c r="H958"/>
    </row>
    <row r="959" spans="8:8">
      <c r="H959"/>
    </row>
    <row r="960" spans="8:8">
      <c r="H960"/>
    </row>
    <row r="961" spans="8:8">
      <c r="H961"/>
    </row>
    <row r="962" spans="8:8">
      <c r="H962"/>
    </row>
    <row r="963" spans="8:8">
      <c r="H963"/>
    </row>
    <row r="964" spans="8:8">
      <c r="H964"/>
    </row>
    <row r="965" spans="8:8">
      <c r="H965"/>
    </row>
    <row r="966" spans="8:8">
      <c r="H966"/>
    </row>
    <row r="967" spans="8:8">
      <c r="H967"/>
    </row>
    <row r="968" spans="8:8">
      <c r="H968"/>
    </row>
    <row r="969" spans="8:8">
      <c r="H969"/>
    </row>
    <row r="970" spans="8:8">
      <c r="H970"/>
    </row>
    <row r="971" spans="8:8">
      <c r="H971"/>
    </row>
    <row r="972" spans="8:8">
      <c r="H972"/>
    </row>
    <row r="973" spans="8:8">
      <c r="H973"/>
    </row>
    <row r="974" spans="8:8">
      <c r="H974"/>
    </row>
    <row r="975" spans="8:8">
      <c r="H975"/>
    </row>
    <row r="976" spans="8:8">
      <c r="H976"/>
    </row>
    <row r="977" spans="8:8">
      <c r="H977"/>
    </row>
    <row r="978" spans="8:8">
      <c r="H978"/>
    </row>
    <row r="979" spans="8:8">
      <c r="H979"/>
    </row>
    <row r="980" spans="8:8">
      <c r="H980"/>
    </row>
    <row r="981" spans="8:8">
      <c r="H981"/>
    </row>
    <row r="982" spans="8:8">
      <c r="H982"/>
    </row>
    <row r="983" spans="8:8">
      <c r="H983"/>
    </row>
    <row r="984" spans="8:8">
      <c r="H984"/>
    </row>
    <row r="985" spans="8:8">
      <c r="H985"/>
    </row>
    <row r="986" spans="8:8">
      <c r="H986"/>
    </row>
    <row r="987" spans="8:8">
      <c r="H987"/>
    </row>
    <row r="988" spans="8:8">
      <c r="H988"/>
    </row>
    <row r="989" spans="8:8">
      <c r="H989"/>
    </row>
    <row r="990" spans="8:8">
      <c r="H990"/>
    </row>
    <row r="991" spans="8:8">
      <c r="H991"/>
    </row>
    <row r="992" spans="8:8">
      <c r="H992"/>
    </row>
    <row r="993" spans="8:8">
      <c r="H993"/>
    </row>
    <row r="994" spans="8:8">
      <c r="H994"/>
    </row>
    <row r="995" spans="8:8">
      <c r="H995"/>
    </row>
    <row r="996" spans="8:8">
      <c r="H996"/>
    </row>
    <row r="997" spans="8:8">
      <c r="H997"/>
    </row>
    <row r="998" spans="8:8">
      <c r="H998"/>
    </row>
    <row r="999" spans="8:8">
      <c r="H999"/>
    </row>
    <row r="1000" spans="8:8">
      <c r="H1000"/>
    </row>
    <row r="1001" spans="8:8">
      <c r="H1001"/>
    </row>
    <row r="1002" spans="8:8">
      <c r="H1002"/>
    </row>
    <row r="1003" spans="8:8">
      <c r="H1003"/>
    </row>
    <row r="1004" spans="8:8">
      <c r="H1004"/>
    </row>
    <row r="1005" spans="8:8">
      <c r="H1005"/>
    </row>
    <row r="1006" spans="8:8">
      <c r="H1006"/>
    </row>
    <row r="1007" spans="8:8">
      <c r="H1007"/>
    </row>
    <row r="1008" spans="8:8">
      <c r="H1008"/>
    </row>
    <row r="1009" spans="8:8">
      <c r="H1009"/>
    </row>
    <row r="1010" spans="8:8">
      <c r="H1010"/>
    </row>
    <row r="1011" spans="8:8">
      <c r="H1011"/>
    </row>
    <row r="1012" spans="8:8">
      <c r="H1012"/>
    </row>
    <row r="1013" spans="8:8">
      <c r="H1013"/>
    </row>
    <row r="1014" spans="8:8">
      <c r="H1014"/>
    </row>
    <row r="1015" spans="8:8">
      <c r="H1015"/>
    </row>
    <row r="1016" spans="8:8">
      <c r="H1016"/>
    </row>
    <row r="1017" spans="8:8">
      <c r="H1017"/>
    </row>
    <row r="1018" spans="8:8">
      <c r="H1018"/>
    </row>
    <row r="1019" spans="8:8">
      <c r="H1019"/>
    </row>
    <row r="1020" spans="8:8">
      <c r="H1020"/>
    </row>
    <row r="1021" spans="8:8">
      <c r="H1021"/>
    </row>
    <row r="1022" spans="8:8">
      <c r="H1022"/>
    </row>
    <row r="1023" spans="8:8">
      <c r="H1023"/>
    </row>
    <row r="1024" spans="8:8">
      <c r="H1024"/>
    </row>
    <row r="1025" spans="8:8">
      <c r="H1025"/>
    </row>
    <row r="1026" spans="8:8">
      <c r="H1026"/>
    </row>
    <row r="1027" spans="8:8">
      <c r="H1027"/>
    </row>
    <row r="1028" spans="8:8">
      <c r="H1028"/>
    </row>
    <row r="1029" spans="8:8">
      <c r="H1029"/>
    </row>
    <row r="1030" spans="8:8">
      <c r="H1030"/>
    </row>
    <row r="1031" spans="8:8">
      <c r="H1031"/>
    </row>
    <row r="1032" spans="8:8">
      <c r="H1032"/>
    </row>
    <row r="1033" spans="8:8">
      <c r="H1033"/>
    </row>
    <row r="1034" spans="8:8">
      <c r="H1034"/>
    </row>
    <row r="1035" spans="8:8">
      <c r="H1035"/>
    </row>
    <row r="1036" spans="8:8">
      <c r="H1036"/>
    </row>
    <row r="1037" spans="8:8">
      <c r="H1037"/>
    </row>
    <row r="1038" spans="8:8">
      <c r="H1038"/>
    </row>
    <row r="1039" spans="8:8">
      <c r="H1039"/>
    </row>
    <row r="1040" spans="8:8">
      <c r="H1040"/>
    </row>
    <row r="1041" spans="8:8">
      <c r="H1041"/>
    </row>
    <row r="1042" spans="8:8">
      <c r="H1042"/>
    </row>
    <row r="1043" spans="8:8">
      <c r="H1043"/>
    </row>
    <row r="1044" spans="8:8">
      <c r="H1044"/>
    </row>
    <row r="1045" spans="8:8">
      <c r="H1045"/>
    </row>
    <row r="1046" spans="8:8">
      <c r="H1046"/>
    </row>
    <row r="1047" spans="8:8">
      <c r="H1047"/>
    </row>
    <row r="1048" spans="8:8">
      <c r="H1048"/>
    </row>
    <row r="1049" spans="8:8">
      <c r="H1049"/>
    </row>
    <row r="1050" spans="8:8">
      <c r="H1050"/>
    </row>
    <row r="1051" spans="8:8">
      <c r="H1051"/>
    </row>
    <row r="1052" spans="8:8">
      <c r="H1052"/>
    </row>
    <row r="1053" spans="8:8">
      <c r="H1053"/>
    </row>
    <row r="1054" spans="8:8">
      <c r="H1054"/>
    </row>
    <row r="1055" spans="8:8">
      <c r="H1055"/>
    </row>
    <row r="1056" spans="8:8">
      <c r="H1056"/>
    </row>
    <row r="1057" spans="8:8">
      <c r="H1057"/>
    </row>
    <row r="1058" spans="8:8">
      <c r="H1058"/>
    </row>
    <row r="1059" spans="8:8">
      <c r="H1059"/>
    </row>
    <row r="1060" spans="8:8">
      <c r="H1060"/>
    </row>
    <row r="1061" spans="8:8">
      <c r="H1061"/>
    </row>
    <row r="1062" spans="8:8">
      <c r="H1062"/>
    </row>
    <row r="1063" spans="8:8">
      <c r="H1063"/>
    </row>
    <row r="1064" spans="8:8">
      <c r="H1064"/>
    </row>
    <row r="1065" spans="8:8">
      <c r="H1065"/>
    </row>
    <row r="1066" spans="8:8">
      <c r="H1066"/>
    </row>
    <row r="1067" spans="8:8">
      <c r="H1067"/>
    </row>
    <row r="1068" spans="8:8">
      <c r="H1068"/>
    </row>
    <row r="1069" spans="8:8">
      <c r="H1069"/>
    </row>
    <row r="1070" spans="8:8">
      <c r="H1070"/>
    </row>
    <row r="1071" spans="8:8">
      <c r="H1071"/>
    </row>
    <row r="1072" spans="8:8">
      <c r="H1072"/>
    </row>
    <row r="1073" spans="8:8">
      <c r="H1073"/>
    </row>
    <row r="1074" spans="8:8">
      <c r="H1074"/>
    </row>
    <row r="1075" spans="8:8">
      <c r="H1075"/>
    </row>
    <row r="1076" spans="8:8">
      <c r="H1076"/>
    </row>
    <row r="1077" spans="8:8">
      <c r="H1077"/>
    </row>
    <row r="1078" spans="8:8">
      <c r="H1078"/>
    </row>
    <row r="1079" spans="8:8">
      <c r="H1079"/>
    </row>
    <row r="1080" spans="8:8">
      <c r="H1080"/>
    </row>
    <row r="1081" spans="8:8">
      <c r="H1081"/>
    </row>
    <row r="1082" spans="8:8">
      <c r="H1082"/>
    </row>
    <row r="1083" spans="8:8">
      <c r="H1083"/>
    </row>
    <row r="1084" spans="8:8">
      <c r="H1084"/>
    </row>
    <row r="1085" spans="8:8">
      <c r="H1085"/>
    </row>
    <row r="1086" spans="8:8">
      <c r="H1086"/>
    </row>
    <row r="1087" spans="8:8">
      <c r="H1087"/>
    </row>
    <row r="1088" spans="8:8">
      <c r="H1088"/>
    </row>
    <row r="1089" spans="8:8">
      <c r="H1089"/>
    </row>
    <row r="1090" spans="8:8">
      <c r="H1090"/>
    </row>
    <row r="1091" spans="8:8">
      <c r="H1091"/>
    </row>
    <row r="1092" spans="8:8">
      <c r="H1092"/>
    </row>
    <row r="1093" spans="8:8">
      <c r="H1093"/>
    </row>
    <row r="1094" spans="8:8">
      <c r="H1094"/>
    </row>
    <row r="1095" spans="8:8">
      <c r="H1095"/>
    </row>
    <row r="1096" spans="8:8">
      <c r="H1096"/>
    </row>
    <row r="1097" spans="8:8">
      <c r="H1097"/>
    </row>
    <row r="1098" spans="8:8">
      <c r="H1098"/>
    </row>
    <row r="1099" spans="8:8">
      <c r="H1099"/>
    </row>
    <row r="1100" spans="8:8">
      <c r="H1100"/>
    </row>
    <row r="1101" spans="8:8">
      <c r="H1101"/>
    </row>
    <row r="1102" spans="8:8">
      <c r="H1102"/>
    </row>
    <row r="1103" spans="8:8">
      <c r="H1103"/>
    </row>
    <row r="1104" spans="8:8">
      <c r="H1104"/>
    </row>
    <row r="1105" spans="8:8">
      <c r="H1105"/>
    </row>
    <row r="1106" spans="8:8">
      <c r="H1106"/>
    </row>
    <row r="1107" spans="8:8">
      <c r="H1107"/>
    </row>
    <row r="1108" spans="8:8">
      <c r="H1108"/>
    </row>
    <row r="1109" spans="8:8">
      <c r="H1109"/>
    </row>
    <row r="1110" spans="8:8">
      <c r="H1110"/>
    </row>
    <row r="1111" spans="8:8">
      <c r="H1111"/>
    </row>
    <row r="1112" spans="8:8">
      <c r="H1112"/>
    </row>
    <row r="1113" spans="8:8">
      <c r="H1113"/>
    </row>
    <row r="1114" spans="8:8">
      <c r="H1114"/>
    </row>
    <row r="1115" spans="8:8">
      <c r="H1115"/>
    </row>
    <row r="1116" spans="8:8">
      <c r="H1116"/>
    </row>
    <row r="1117" spans="8:8">
      <c r="H1117"/>
    </row>
    <row r="1118" spans="8:8">
      <c r="H1118"/>
    </row>
    <row r="1119" spans="8:8">
      <c r="H1119"/>
    </row>
    <row r="1120" spans="8:8">
      <c r="H1120"/>
    </row>
    <row r="1121" spans="8:8">
      <c r="H1121"/>
    </row>
    <row r="1122" spans="8:8">
      <c r="H1122"/>
    </row>
    <row r="1123" spans="8:8">
      <c r="H1123"/>
    </row>
    <row r="1124" spans="8:8">
      <c r="H1124"/>
    </row>
    <row r="1125" spans="8:8">
      <c r="H1125"/>
    </row>
    <row r="1126" spans="8:8">
      <c r="H1126"/>
    </row>
    <row r="1127" spans="8:8">
      <c r="H1127"/>
    </row>
    <row r="1128" spans="8:8">
      <c r="H1128"/>
    </row>
    <row r="1129" spans="8:8">
      <c r="H1129"/>
    </row>
    <row r="1130" spans="8:8">
      <c r="H1130"/>
    </row>
    <row r="1131" spans="8:8">
      <c r="H1131"/>
    </row>
    <row r="1132" spans="8:8">
      <c r="H1132"/>
    </row>
    <row r="1133" spans="8:8">
      <c r="H1133"/>
    </row>
    <row r="1134" spans="8:8">
      <c r="H1134"/>
    </row>
    <row r="1135" spans="8:8">
      <c r="H1135"/>
    </row>
    <row r="1136" spans="8:8">
      <c r="H1136"/>
    </row>
    <row r="1137" spans="8:8">
      <c r="H1137"/>
    </row>
    <row r="1138" spans="8:8">
      <c r="H1138"/>
    </row>
    <row r="1139" spans="8:8">
      <c r="H1139"/>
    </row>
    <row r="1140" spans="8:8">
      <c r="H1140"/>
    </row>
    <row r="1141" spans="8:8">
      <c r="H1141"/>
    </row>
    <row r="1142" spans="8:8">
      <c r="H1142"/>
    </row>
    <row r="1143" spans="8:8">
      <c r="H1143"/>
    </row>
    <row r="1144" spans="8:8">
      <c r="H1144"/>
    </row>
    <row r="1145" spans="8:8">
      <c r="H1145"/>
    </row>
    <row r="1146" spans="8:8">
      <c r="H1146"/>
    </row>
    <row r="1147" spans="8:8">
      <c r="H1147"/>
    </row>
    <row r="1148" spans="8:8">
      <c r="H1148"/>
    </row>
    <row r="1149" spans="8:8">
      <c r="H1149"/>
    </row>
    <row r="1150" spans="8:8">
      <c r="H1150"/>
    </row>
    <row r="1151" spans="8:8">
      <c r="H1151"/>
    </row>
    <row r="1152" spans="8:8">
      <c r="H1152"/>
    </row>
    <row r="1153" spans="8:8">
      <c r="H1153"/>
    </row>
    <row r="1154" spans="8:8">
      <c r="H1154"/>
    </row>
    <row r="1155" spans="8:8">
      <c r="H1155"/>
    </row>
    <row r="1156" spans="8:8">
      <c r="H1156"/>
    </row>
    <row r="1157" spans="8:8">
      <c r="H1157"/>
    </row>
    <row r="1158" spans="8:8">
      <c r="H1158"/>
    </row>
    <row r="1159" spans="8:8">
      <c r="H1159"/>
    </row>
    <row r="1160" spans="8:8">
      <c r="H1160"/>
    </row>
    <row r="1161" spans="8:8">
      <c r="H1161"/>
    </row>
    <row r="1162" spans="8:8">
      <c r="H1162"/>
    </row>
    <row r="1163" spans="8:8">
      <c r="H1163"/>
    </row>
    <row r="1164" spans="8:8">
      <c r="H1164"/>
    </row>
    <row r="1165" spans="8:8">
      <c r="H1165"/>
    </row>
    <row r="1166" spans="8:8">
      <c r="H1166"/>
    </row>
    <row r="1167" spans="8:8">
      <c r="H1167"/>
    </row>
    <row r="1168" spans="8:8">
      <c r="H1168"/>
    </row>
    <row r="1169" spans="8:8">
      <c r="H1169"/>
    </row>
    <row r="1170" spans="8:8">
      <c r="H1170"/>
    </row>
    <row r="1171" spans="8:8">
      <c r="H1171"/>
    </row>
    <row r="1172" spans="8:8">
      <c r="H1172"/>
    </row>
    <row r="1173" spans="8:8">
      <c r="H1173"/>
    </row>
    <row r="1174" spans="8:8">
      <c r="H1174"/>
    </row>
    <row r="1175" spans="8:8">
      <c r="H1175"/>
    </row>
    <row r="1176" spans="8:8">
      <c r="H1176"/>
    </row>
    <row r="1177" spans="8:8">
      <c r="H1177"/>
    </row>
    <row r="1178" spans="8:8">
      <c r="H1178"/>
    </row>
    <row r="1179" spans="8:8">
      <c r="H1179"/>
    </row>
    <row r="1180" spans="8:8">
      <c r="H1180"/>
    </row>
    <row r="1181" spans="8:8">
      <c r="H1181"/>
    </row>
    <row r="1182" spans="8:8">
      <c r="H1182"/>
    </row>
    <row r="1183" spans="8:8">
      <c r="H1183"/>
    </row>
    <row r="1184" spans="8:8">
      <c r="H1184"/>
    </row>
    <row r="1185" spans="8:8">
      <c r="H1185"/>
    </row>
    <row r="1186" spans="8:8">
      <c r="H1186"/>
    </row>
    <row r="1187" spans="8:8">
      <c r="H1187"/>
    </row>
    <row r="1188" spans="8:8">
      <c r="H1188"/>
    </row>
    <row r="1189" spans="8:8">
      <c r="H1189"/>
    </row>
    <row r="1190" spans="8:8">
      <c r="H1190"/>
    </row>
    <row r="1191" spans="8:8">
      <c r="H1191"/>
    </row>
    <row r="1192" spans="8:8">
      <c r="H1192"/>
    </row>
    <row r="1193" spans="8:8">
      <c r="H1193"/>
    </row>
    <row r="1194" spans="8:8">
      <c r="H1194"/>
    </row>
    <row r="1195" spans="8:8">
      <c r="H1195"/>
    </row>
    <row r="1196" spans="8:8">
      <c r="H1196"/>
    </row>
    <row r="1197" spans="8:8">
      <c r="H1197"/>
    </row>
    <row r="1198" spans="8:8">
      <c r="H1198"/>
    </row>
    <row r="1199" spans="8:8">
      <c r="H1199"/>
    </row>
    <row r="1200" spans="8:8">
      <c r="H1200"/>
    </row>
    <row r="1201" spans="8:8">
      <c r="H1201"/>
    </row>
    <row r="1202" spans="8:8">
      <c r="H1202"/>
    </row>
    <row r="1203" spans="8:8">
      <c r="H1203"/>
    </row>
    <row r="1204" spans="8:8">
      <c r="H1204"/>
    </row>
    <row r="1205" spans="8:8">
      <c r="H1205"/>
    </row>
    <row r="1206" spans="8:8">
      <c r="H1206"/>
    </row>
    <row r="1207" spans="8:8">
      <c r="H1207"/>
    </row>
    <row r="1208" spans="8:8">
      <c r="H1208"/>
    </row>
    <row r="1209" spans="8:8">
      <c r="H1209"/>
    </row>
    <row r="1210" spans="8:8">
      <c r="H1210"/>
    </row>
    <row r="1211" spans="8:8">
      <c r="H1211"/>
    </row>
    <row r="1212" spans="8:8">
      <c r="H1212"/>
    </row>
    <row r="1213" spans="8:8">
      <c r="H1213"/>
    </row>
    <row r="1214" spans="8:8">
      <c r="H1214"/>
    </row>
    <row r="1215" spans="8:8">
      <c r="H1215"/>
    </row>
    <row r="1216" spans="8:8">
      <c r="H1216"/>
    </row>
    <row r="1217" spans="8:8">
      <c r="H1217"/>
    </row>
    <row r="1218" spans="8:8">
      <c r="H1218"/>
    </row>
    <row r="1219" spans="8:8">
      <c r="H1219"/>
    </row>
    <row r="1220" spans="8:8">
      <c r="H1220"/>
    </row>
    <row r="1221" spans="8:8">
      <c r="H1221"/>
    </row>
    <row r="1222" spans="8:8">
      <c r="H1222"/>
    </row>
    <row r="1223" spans="8:8">
      <c r="H1223"/>
    </row>
    <row r="1224" spans="8:8">
      <c r="H1224"/>
    </row>
    <row r="1225" spans="8:8">
      <c r="H1225"/>
    </row>
    <row r="1226" spans="8:8">
      <c r="H1226"/>
    </row>
    <row r="1227" spans="8:8">
      <c r="H1227"/>
    </row>
    <row r="1228" spans="8:8">
      <c r="H1228"/>
    </row>
    <row r="1229" spans="8:8">
      <c r="H1229"/>
    </row>
    <row r="1230" spans="8:8">
      <c r="H1230"/>
    </row>
    <row r="1231" spans="8:8">
      <c r="H1231"/>
    </row>
    <row r="1232" spans="8:8">
      <c r="H1232"/>
    </row>
    <row r="1233" spans="8:8">
      <c r="H1233"/>
    </row>
    <row r="1234" spans="8:8">
      <c r="H1234"/>
    </row>
    <row r="1235" spans="8:8">
      <c r="H1235"/>
    </row>
    <row r="1236" spans="8:8">
      <c r="H1236"/>
    </row>
    <row r="1237" spans="8:8">
      <c r="H1237"/>
    </row>
    <row r="1238" spans="8:8">
      <c r="H1238"/>
    </row>
    <row r="1239" spans="8:8">
      <c r="H1239"/>
    </row>
    <row r="1240" spans="8:8">
      <c r="H1240"/>
    </row>
    <row r="1241" spans="8:8">
      <c r="H1241"/>
    </row>
    <row r="1242" spans="8:8">
      <c r="H1242"/>
    </row>
    <row r="1243" spans="8:8">
      <c r="H1243"/>
    </row>
    <row r="1244" spans="8:8">
      <c r="H1244"/>
    </row>
    <row r="1245" spans="8:8">
      <c r="H1245"/>
    </row>
    <row r="1246" spans="8:8">
      <c r="H1246"/>
    </row>
    <row r="1247" spans="8:8">
      <c r="H1247"/>
    </row>
    <row r="1248" spans="8:8">
      <c r="H1248"/>
    </row>
    <row r="1249" spans="8:8">
      <c r="H1249"/>
    </row>
    <row r="1250" spans="8:8">
      <c r="H1250"/>
    </row>
    <row r="1251" spans="8:8">
      <c r="H1251"/>
    </row>
    <row r="1252" spans="8:8">
      <c r="H1252"/>
    </row>
    <row r="1253" spans="8:8">
      <c r="H1253"/>
    </row>
    <row r="1254" spans="8:8">
      <c r="H1254"/>
    </row>
    <row r="1255" spans="8:8">
      <c r="H1255"/>
    </row>
    <row r="1256" spans="8:8">
      <c r="H1256"/>
    </row>
    <row r="1257" spans="8:8">
      <c r="H1257"/>
    </row>
    <row r="1258" spans="8:8">
      <c r="H1258"/>
    </row>
    <row r="1259" spans="8:8">
      <c r="H1259"/>
    </row>
    <row r="1260" spans="8:8">
      <c r="H1260"/>
    </row>
    <row r="1261" spans="8:8">
      <c r="H1261"/>
    </row>
    <row r="1262" spans="8:8">
      <c r="H1262"/>
    </row>
    <row r="1263" spans="8:8">
      <c r="H1263"/>
    </row>
    <row r="1264" spans="8:8">
      <c r="H1264"/>
    </row>
    <row r="1265" spans="8:8">
      <c r="H1265"/>
    </row>
    <row r="1266" spans="8:8">
      <c r="H1266"/>
    </row>
    <row r="1267" spans="8:8">
      <c r="H1267"/>
    </row>
    <row r="1268" spans="8:8">
      <c r="H1268"/>
    </row>
    <row r="1269" spans="8:8">
      <c r="H1269"/>
    </row>
    <row r="1270" spans="8:8">
      <c r="H1270"/>
    </row>
    <row r="1271" spans="8:8">
      <c r="H1271"/>
    </row>
    <row r="1272" spans="8:8">
      <c r="H1272"/>
    </row>
    <row r="1273" spans="8:8">
      <c r="H1273"/>
    </row>
    <row r="1274" spans="8:8">
      <c r="H1274"/>
    </row>
    <row r="1275" spans="8:8">
      <c r="H1275"/>
    </row>
    <row r="1276" spans="8:8">
      <c r="H1276"/>
    </row>
    <row r="1277" spans="8:8">
      <c r="H1277"/>
    </row>
    <row r="1278" spans="8:8">
      <c r="H1278"/>
    </row>
    <row r="1279" spans="8:8">
      <c r="H1279"/>
    </row>
    <row r="1280" spans="8:8">
      <c r="H1280"/>
    </row>
    <row r="1281" spans="8:8">
      <c r="H1281"/>
    </row>
    <row r="1282" spans="8:8">
      <c r="H1282"/>
    </row>
    <row r="1283" spans="8:8">
      <c r="H1283"/>
    </row>
    <row r="1284" spans="8:8">
      <c r="H1284"/>
    </row>
    <row r="1285" spans="8:8">
      <c r="H1285"/>
    </row>
    <row r="1286" spans="8:8">
      <c r="H1286"/>
    </row>
    <row r="1287" spans="8:8">
      <c r="H1287"/>
    </row>
    <row r="1288" spans="8:8">
      <c r="H1288"/>
    </row>
    <row r="1289" spans="8:8">
      <c r="H1289"/>
    </row>
    <row r="1290" spans="8:8">
      <c r="H1290"/>
    </row>
    <row r="1291" spans="8:8">
      <c r="H1291"/>
    </row>
    <row r="1292" spans="8:8">
      <c r="H1292"/>
    </row>
    <row r="1293" spans="8:8">
      <c r="H1293"/>
    </row>
    <row r="1294" spans="8:8">
      <c r="H1294"/>
    </row>
    <row r="1295" spans="8:8">
      <c r="H1295"/>
    </row>
    <row r="1296" spans="8:8">
      <c r="H1296"/>
    </row>
    <row r="1297" spans="8:8">
      <c r="H1297"/>
    </row>
    <row r="1298" spans="8:8">
      <c r="H1298"/>
    </row>
    <row r="1299" spans="8:8">
      <c r="H1299"/>
    </row>
    <row r="1300" spans="8:8">
      <c r="H1300"/>
    </row>
    <row r="1301" spans="8:8">
      <c r="H1301"/>
    </row>
    <row r="1302" spans="8:8">
      <c r="H1302"/>
    </row>
    <row r="1303" spans="8:8">
      <c r="H1303"/>
    </row>
    <row r="1304" spans="8:8">
      <c r="H1304"/>
    </row>
    <row r="1305" spans="8:8">
      <c r="H1305"/>
    </row>
    <row r="1306" spans="8:8">
      <c r="H1306"/>
    </row>
    <row r="1307" spans="8:8">
      <c r="H1307"/>
    </row>
    <row r="1308" spans="8:8">
      <c r="H1308"/>
    </row>
    <row r="1309" spans="8:8">
      <c r="H1309"/>
    </row>
    <row r="1310" spans="8:8">
      <c r="H1310"/>
    </row>
    <row r="1311" spans="8:8">
      <c r="H1311"/>
    </row>
    <row r="1312" spans="8:8">
      <c r="H1312"/>
    </row>
    <row r="1313" spans="8:8">
      <c r="H1313"/>
    </row>
    <row r="1314" spans="8:8">
      <c r="H1314"/>
    </row>
    <row r="1315" spans="8:8">
      <c r="H1315"/>
    </row>
    <row r="1316" spans="8:8">
      <c r="H1316"/>
    </row>
    <row r="1317" spans="8:8">
      <c r="H1317"/>
    </row>
    <row r="1318" spans="8:8">
      <c r="H1318"/>
    </row>
    <row r="1319" spans="8:8">
      <c r="H1319"/>
    </row>
    <row r="1320" spans="8:8">
      <c r="H1320"/>
    </row>
    <row r="1321" spans="8:8">
      <c r="H1321"/>
    </row>
    <row r="1322" spans="8:8">
      <c r="H1322"/>
    </row>
    <row r="1323" spans="8:8">
      <c r="H1323"/>
    </row>
    <row r="1324" spans="8:8">
      <c r="H1324"/>
    </row>
    <row r="1325" spans="8:8">
      <c r="H1325"/>
    </row>
    <row r="1326" spans="8:8">
      <c r="H1326"/>
    </row>
    <row r="1327" spans="8:8">
      <c r="H1327"/>
    </row>
    <row r="1328" spans="8:8">
      <c r="H1328"/>
    </row>
    <row r="1329" spans="8:8">
      <c r="H1329"/>
    </row>
    <row r="1330" spans="8:8">
      <c r="H1330"/>
    </row>
    <row r="1331" spans="8:8">
      <c r="H1331"/>
    </row>
    <row r="1332" spans="8:8">
      <c r="H1332"/>
    </row>
    <row r="1333" spans="8:8">
      <c r="H1333"/>
    </row>
    <row r="1334" spans="8:8">
      <c r="H1334"/>
    </row>
    <row r="1335" spans="8:8">
      <c r="H1335"/>
    </row>
    <row r="1336" spans="8:8">
      <c r="H1336"/>
    </row>
    <row r="1337" spans="8:8">
      <c r="H1337"/>
    </row>
    <row r="1338" spans="8:8">
      <c r="H1338"/>
    </row>
    <row r="1339" spans="8:8">
      <c r="H1339"/>
    </row>
    <row r="1340" spans="8:8">
      <c r="H1340"/>
    </row>
    <row r="1341" spans="8:8">
      <c r="H1341"/>
    </row>
    <row r="1342" spans="8:8">
      <c r="H1342"/>
    </row>
    <row r="1343" spans="8:8">
      <c r="H1343"/>
    </row>
    <row r="1344" spans="8:8">
      <c r="H1344"/>
    </row>
    <row r="1345" spans="8:8">
      <c r="H1345"/>
    </row>
    <row r="1346" spans="8:8">
      <c r="H1346"/>
    </row>
    <row r="1347" spans="8:8">
      <c r="H1347"/>
    </row>
    <row r="1348" spans="8:8">
      <c r="H1348"/>
    </row>
    <row r="1349" spans="8:8">
      <c r="H1349"/>
    </row>
    <row r="1350" spans="8:8">
      <c r="H1350"/>
    </row>
    <row r="1351" spans="8:8">
      <c r="H1351"/>
    </row>
    <row r="1352" spans="8:8">
      <c r="H1352"/>
    </row>
    <row r="1353" spans="8:8">
      <c r="H1353"/>
    </row>
    <row r="1354" spans="8:8">
      <c r="H1354"/>
    </row>
    <row r="1355" spans="8:8">
      <c r="H1355"/>
    </row>
    <row r="1356" spans="8:8">
      <c r="H1356"/>
    </row>
    <row r="1357" spans="8:8">
      <c r="H1357"/>
    </row>
    <row r="1358" spans="8:8">
      <c r="H1358"/>
    </row>
    <row r="1359" spans="8:8">
      <c r="H1359"/>
    </row>
    <row r="1360" spans="8:8">
      <c r="H1360"/>
    </row>
    <row r="1361" spans="8:8">
      <c r="H1361"/>
    </row>
    <row r="1362" spans="8:8">
      <c r="H1362"/>
    </row>
    <row r="1363" spans="8:8">
      <c r="H1363"/>
    </row>
    <row r="1364" spans="8:8">
      <c r="H1364"/>
    </row>
    <row r="1365" spans="8:8">
      <c r="H1365"/>
    </row>
    <row r="1366" spans="8:8">
      <c r="H1366"/>
    </row>
    <row r="1367" spans="8:8">
      <c r="H1367"/>
    </row>
    <row r="1368" spans="8:8">
      <c r="H1368"/>
    </row>
    <row r="1369" spans="8:8">
      <c r="H1369"/>
    </row>
    <row r="1370" spans="8:8">
      <c r="H1370"/>
    </row>
    <row r="1371" spans="8:8">
      <c r="H1371"/>
    </row>
    <row r="1372" spans="8:8">
      <c r="H1372"/>
    </row>
    <row r="1373" spans="8:8">
      <c r="H1373"/>
    </row>
    <row r="1374" spans="8:8">
      <c r="H1374"/>
    </row>
    <row r="1375" spans="8:8">
      <c r="H1375"/>
    </row>
    <row r="1376" spans="8:8">
      <c r="H1376"/>
    </row>
    <row r="1377" spans="8:8">
      <c r="H1377"/>
    </row>
    <row r="1378" spans="8:8">
      <c r="H1378"/>
    </row>
    <row r="1379" spans="8:8">
      <c r="H1379"/>
    </row>
    <row r="1380" spans="8:8">
      <c r="H1380"/>
    </row>
    <row r="1381" spans="8:8">
      <c r="H1381"/>
    </row>
    <row r="1382" spans="8:8">
      <c r="H1382"/>
    </row>
    <row r="1383" spans="8:8">
      <c r="H1383"/>
    </row>
    <row r="1384" spans="8:8">
      <c r="H1384"/>
    </row>
    <row r="1385" spans="8:8">
      <c r="H1385"/>
    </row>
    <row r="1386" spans="8:8">
      <c r="H1386"/>
    </row>
    <row r="1387" spans="8:8">
      <c r="H1387"/>
    </row>
    <row r="1388" spans="8:8">
      <c r="H1388"/>
    </row>
    <row r="1389" spans="8:8">
      <c r="H1389"/>
    </row>
    <row r="1390" spans="8:8">
      <c r="H1390"/>
    </row>
    <row r="1391" spans="8:8">
      <c r="H1391"/>
    </row>
    <row r="1392" spans="8:8">
      <c r="H1392"/>
    </row>
    <row r="1393" spans="8:8">
      <c r="H1393"/>
    </row>
    <row r="1394" spans="8:8">
      <c r="H1394"/>
    </row>
    <row r="1395" spans="8:8">
      <c r="H1395"/>
    </row>
    <row r="1396" spans="8:8">
      <c r="H1396"/>
    </row>
    <row r="1397" spans="8:8">
      <c r="H1397"/>
    </row>
    <row r="1398" spans="8:8">
      <c r="H1398"/>
    </row>
    <row r="1399" spans="8:8">
      <c r="H1399"/>
    </row>
    <row r="1400" spans="8:8">
      <c r="H1400"/>
    </row>
    <row r="1401" spans="8:8">
      <c r="H1401"/>
    </row>
    <row r="1402" spans="8:8">
      <c r="H1402"/>
    </row>
    <row r="1403" spans="8:8">
      <c r="H1403"/>
    </row>
    <row r="1404" spans="8:8">
      <c r="H1404"/>
    </row>
    <row r="1405" spans="8:8">
      <c r="H1405"/>
    </row>
    <row r="1406" spans="8:8">
      <c r="H1406"/>
    </row>
    <row r="1407" spans="8:8">
      <c r="H1407"/>
    </row>
    <row r="1408" spans="8:8">
      <c r="H1408"/>
    </row>
    <row r="1409" spans="8:8">
      <c r="H1409"/>
    </row>
    <row r="1410" spans="8:8">
      <c r="H1410"/>
    </row>
    <row r="1411" spans="8:8">
      <c r="H1411"/>
    </row>
    <row r="1412" spans="8:8">
      <c r="H1412"/>
    </row>
    <row r="1413" spans="8:8">
      <c r="H1413"/>
    </row>
    <row r="1414" spans="8:8">
      <c r="H1414"/>
    </row>
    <row r="1415" spans="8:8">
      <c r="H1415"/>
    </row>
    <row r="1416" spans="8:8">
      <c r="H1416"/>
    </row>
    <row r="1417" spans="8:8">
      <c r="H1417"/>
    </row>
    <row r="1418" spans="8:8">
      <c r="H1418"/>
    </row>
    <row r="1419" spans="8:8">
      <c r="H1419"/>
    </row>
    <row r="1420" spans="8:8">
      <c r="H1420"/>
    </row>
    <row r="1421" spans="8:8">
      <c r="H1421"/>
    </row>
    <row r="1422" spans="8:8">
      <c r="H1422"/>
    </row>
    <row r="1423" spans="8:8">
      <c r="H1423"/>
    </row>
    <row r="1424" spans="8:8">
      <c r="H1424"/>
    </row>
    <row r="1425" spans="8:8">
      <c r="H1425"/>
    </row>
    <row r="1426" spans="8:8">
      <c r="H1426"/>
    </row>
    <row r="1427" spans="8:8">
      <c r="H1427"/>
    </row>
    <row r="1428" spans="8:8">
      <c r="H1428"/>
    </row>
    <row r="1429" spans="8:8">
      <c r="H1429"/>
    </row>
    <row r="1430" spans="8:8">
      <c r="H1430"/>
    </row>
    <row r="1431" spans="8:8">
      <c r="H1431"/>
    </row>
    <row r="1432" spans="8:8">
      <c r="H1432"/>
    </row>
    <row r="1433" spans="8:8">
      <c r="H1433"/>
    </row>
    <row r="1434" spans="8:8">
      <c r="H1434"/>
    </row>
    <row r="1435" spans="8:8">
      <c r="H1435"/>
    </row>
    <row r="1436" spans="8:8">
      <c r="H1436"/>
    </row>
    <row r="1437" spans="8:8">
      <c r="H1437"/>
    </row>
    <row r="1438" spans="8:8">
      <c r="H1438"/>
    </row>
    <row r="1439" spans="8:8">
      <c r="H1439"/>
    </row>
    <row r="1440" spans="8:8">
      <c r="H1440"/>
    </row>
    <row r="1441" spans="8:8">
      <c r="H1441"/>
    </row>
    <row r="1442" spans="8:8">
      <c r="H1442"/>
    </row>
    <row r="1443" spans="8:8">
      <c r="H1443"/>
    </row>
    <row r="1444" spans="8:8">
      <c r="H1444"/>
    </row>
    <row r="1445" spans="8:8">
      <c r="H1445"/>
    </row>
    <row r="1446" spans="8:8">
      <c r="H1446"/>
    </row>
    <row r="1447" spans="8:8">
      <c r="H1447"/>
    </row>
    <row r="1448" spans="8:8">
      <c r="H1448"/>
    </row>
    <row r="1449" spans="8:8">
      <c r="H1449"/>
    </row>
    <row r="1450" spans="8:8">
      <c r="H1450"/>
    </row>
    <row r="1451" spans="8:8">
      <c r="H1451"/>
    </row>
    <row r="1452" spans="8:8">
      <c r="H1452"/>
    </row>
    <row r="1453" spans="8:8">
      <c r="H1453"/>
    </row>
    <row r="1454" spans="8:8">
      <c r="H1454"/>
    </row>
    <row r="1455" spans="8:8">
      <c r="H1455"/>
    </row>
    <row r="1456" spans="8:8">
      <c r="H1456"/>
    </row>
    <row r="1457" spans="8:8">
      <c r="H1457"/>
    </row>
    <row r="1458" spans="8:8">
      <c r="H1458"/>
    </row>
    <row r="1459" spans="8:8">
      <c r="H1459"/>
    </row>
    <row r="1460" spans="8:8">
      <c r="H1460"/>
    </row>
    <row r="1461" spans="8:8">
      <c r="H1461"/>
    </row>
    <row r="1462" spans="8:8">
      <c r="H1462"/>
    </row>
    <row r="1463" spans="8:8">
      <c r="H1463"/>
    </row>
    <row r="1464" spans="8:8">
      <c r="H1464"/>
    </row>
    <row r="1465" spans="8:8">
      <c r="H1465"/>
    </row>
    <row r="1466" spans="8:8">
      <c r="H1466"/>
    </row>
    <row r="1467" spans="8:8">
      <c r="H1467"/>
    </row>
    <row r="1468" spans="8:8">
      <c r="H1468"/>
    </row>
    <row r="1469" spans="8:8">
      <c r="H1469"/>
    </row>
    <row r="1470" spans="8:8">
      <c r="H1470"/>
    </row>
    <row r="1471" spans="8:8">
      <c r="H1471"/>
    </row>
    <row r="1472" spans="8:8">
      <c r="H1472"/>
    </row>
    <row r="1473" spans="8:8">
      <c r="H1473"/>
    </row>
    <row r="1474" spans="8:8">
      <c r="H1474"/>
    </row>
    <row r="1475" spans="8:8">
      <c r="H1475"/>
    </row>
    <row r="1476" spans="8:8">
      <c r="H1476"/>
    </row>
    <row r="1477" spans="8:8">
      <c r="H1477"/>
    </row>
    <row r="1478" spans="8:8">
      <c r="H1478"/>
    </row>
    <row r="1479" spans="8:8">
      <c r="H1479"/>
    </row>
    <row r="1480" spans="8:8">
      <c r="H1480"/>
    </row>
    <row r="1481" spans="8:8">
      <c r="H1481"/>
    </row>
    <row r="1482" spans="8:8">
      <c r="H1482"/>
    </row>
    <row r="1483" spans="8:8">
      <c r="H1483"/>
    </row>
    <row r="1484" spans="8:8">
      <c r="H1484"/>
    </row>
    <row r="1485" spans="8:8">
      <c r="H1485"/>
    </row>
    <row r="1486" spans="8:8">
      <c r="H1486"/>
    </row>
    <row r="1487" spans="8:8">
      <c r="H1487"/>
    </row>
    <row r="1488" spans="8:8">
      <c r="H1488"/>
    </row>
    <row r="1489" spans="8:8">
      <c r="H1489"/>
    </row>
    <row r="1490" spans="8:8">
      <c r="H1490"/>
    </row>
    <row r="1491" spans="8:8">
      <c r="H1491"/>
    </row>
    <row r="1492" spans="8:8">
      <c r="H1492"/>
    </row>
    <row r="1493" spans="8:8">
      <c r="H1493"/>
    </row>
    <row r="1494" spans="8:8">
      <c r="H1494"/>
    </row>
    <row r="1495" spans="8:8">
      <c r="H1495"/>
    </row>
    <row r="1496" spans="8:8">
      <c r="H1496"/>
    </row>
    <row r="1497" spans="8:8">
      <c r="H1497"/>
    </row>
    <row r="1498" spans="8:8">
      <c r="H1498"/>
    </row>
    <row r="1499" spans="8:8">
      <c r="H1499"/>
    </row>
    <row r="1500" spans="8:8">
      <c r="H1500"/>
    </row>
    <row r="1501" spans="8:8">
      <c r="H1501"/>
    </row>
    <row r="1502" spans="8:8">
      <c r="H1502"/>
    </row>
    <row r="1503" spans="8:8">
      <c r="H1503"/>
    </row>
    <row r="1504" spans="8:8">
      <c r="H1504"/>
    </row>
    <row r="1505" spans="8:8">
      <c r="H1505"/>
    </row>
    <row r="1506" spans="8:8">
      <c r="H1506"/>
    </row>
    <row r="1507" spans="8:8">
      <c r="H1507"/>
    </row>
    <row r="1508" spans="8:8">
      <c r="H1508"/>
    </row>
    <row r="1509" spans="8:8">
      <c r="H1509"/>
    </row>
    <row r="1510" spans="8:8">
      <c r="H1510"/>
    </row>
    <row r="1511" spans="8:8">
      <c r="H1511"/>
    </row>
    <row r="1512" spans="8:8">
      <c r="H1512"/>
    </row>
    <row r="1513" spans="8:8">
      <c r="H1513"/>
    </row>
    <row r="1514" spans="8:8">
      <c r="H1514"/>
    </row>
    <row r="1515" spans="8:8">
      <c r="H1515"/>
    </row>
    <row r="1516" spans="8:8">
      <c r="H1516"/>
    </row>
    <row r="1517" spans="8:8">
      <c r="H1517"/>
    </row>
    <row r="1518" spans="8:8">
      <c r="H1518"/>
    </row>
    <row r="1519" spans="8:8">
      <c r="H1519"/>
    </row>
    <row r="1520" spans="8:8">
      <c r="H1520"/>
    </row>
    <row r="1521" spans="8:8">
      <c r="H1521"/>
    </row>
    <row r="1522" spans="8:8">
      <c r="H1522"/>
    </row>
    <row r="1523" spans="8:8">
      <c r="H1523"/>
    </row>
    <row r="1524" spans="8:8">
      <c r="H1524"/>
    </row>
    <row r="1525" spans="8:8">
      <c r="H1525"/>
    </row>
    <row r="1526" spans="8:8">
      <c r="H1526"/>
    </row>
    <row r="1527" spans="8:8">
      <c r="H1527"/>
    </row>
    <row r="1528" spans="8:8">
      <c r="H1528"/>
    </row>
    <row r="1529" spans="8:8">
      <c r="H1529"/>
    </row>
    <row r="1530" spans="8:8">
      <c r="H1530"/>
    </row>
    <row r="1531" spans="8:8">
      <c r="H1531"/>
    </row>
    <row r="1532" spans="8:8">
      <c r="H1532"/>
    </row>
    <row r="1533" spans="8:8">
      <c r="H1533"/>
    </row>
    <row r="1534" spans="8:8">
      <c r="H1534"/>
    </row>
    <row r="1535" spans="8:8">
      <c r="H1535"/>
    </row>
    <row r="1536" spans="8:8">
      <c r="H1536"/>
    </row>
    <row r="1537" spans="8:8">
      <c r="H1537"/>
    </row>
    <row r="1538" spans="8:8">
      <c r="H1538"/>
    </row>
    <row r="1539" spans="8:8">
      <c r="H1539"/>
    </row>
    <row r="1540" spans="8:8">
      <c r="H1540"/>
    </row>
    <row r="1541" spans="8:8">
      <c r="H1541"/>
    </row>
    <row r="1542" spans="8:8">
      <c r="H1542"/>
    </row>
    <row r="1543" spans="8:8">
      <c r="H1543"/>
    </row>
    <row r="1544" spans="8:8">
      <c r="H1544"/>
    </row>
    <row r="1545" spans="8:8">
      <c r="H1545"/>
    </row>
    <row r="1546" spans="8:8">
      <c r="H1546"/>
    </row>
    <row r="1547" spans="8:8">
      <c r="H1547"/>
    </row>
    <row r="1548" spans="8:8">
      <c r="H1548"/>
    </row>
    <row r="1549" spans="8:8">
      <c r="H1549"/>
    </row>
    <row r="1550" spans="8:8">
      <c r="H1550"/>
    </row>
    <row r="1551" spans="8:8">
      <c r="H1551"/>
    </row>
    <row r="1552" spans="8:8">
      <c r="H1552"/>
    </row>
    <row r="1553" spans="8:8">
      <c r="H1553"/>
    </row>
    <row r="1554" spans="8:8">
      <c r="H1554"/>
    </row>
    <row r="1555" spans="8:8">
      <c r="H1555"/>
    </row>
    <row r="1556" spans="8:8">
      <c r="H1556"/>
    </row>
    <row r="1557" spans="8:8">
      <c r="H1557"/>
    </row>
    <row r="1558" spans="8:8">
      <c r="H1558"/>
    </row>
    <row r="1559" spans="8:8">
      <c r="H1559"/>
    </row>
    <row r="1560" spans="8:8">
      <c r="H1560"/>
    </row>
    <row r="1561" spans="8:8">
      <c r="H1561"/>
    </row>
    <row r="1562" spans="8:8">
      <c r="H1562"/>
    </row>
    <row r="1563" spans="8:8">
      <c r="H1563"/>
    </row>
    <row r="1564" spans="8:8">
      <c r="H1564"/>
    </row>
    <row r="1565" spans="8:8">
      <c r="H1565"/>
    </row>
    <row r="1566" spans="8:8">
      <c r="H1566"/>
    </row>
    <row r="1567" spans="8:8">
      <c r="H1567"/>
    </row>
    <row r="1568" spans="8:8">
      <c r="H1568"/>
    </row>
    <row r="1569" spans="8:8">
      <c r="H1569"/>
    </row>
    <row r="1570" spans="8:8">
      <c r="H1570"/>
    </row>
    <row r="1571" spans="8:8">
      <c r="H1571"/>
    </row>
    <row r="1572" spans="8:8">
      <c r="H1572"/>
    </row>
    <row r="1573" spans="8:8">
      <c r="H1573"/>
    </row>
    <row r="1574" spans="8:8">
      <c r="H1574"/>
    </row>
    <row r="1575" spans="8:8">
      <c r="H1575"/>
    </row>
    <row r="1576" spans="8:8">
      <c r="H1576"/>
    </row>
    <row r="1577" spans="8:8">
      <c r="H1577"/>
    </row>
    <row r="1578" spans="8:8">
      <c r="H1578"/>
    </row>
    <row r="1579" spans="8:8">
      <c r="H1579"/>
    </row>
    <row r="1580" spans="8:8">
      <c r="H1580"/>
    </row>
    <row r="1581" spans="8:8">
      <c r="H1581"/>
    </row>
    <row r="1582" spans="8:8">
      <c r="H1582"/>
    </row>
    <row r="1583" spans="8:8">
      <c r="H1583"/>
    </row>
    <row r="1584" spans="8:8">
      <c r="H1584"/>
    </row>
    <row r="1585" spans="8:8">
      <c r="H1585"/>
    </row>
    <row r="1586" spans="8:8">
      <c r="H1586"/>
    </row>
    <row r="1587" spans="8:8">
      <c r="H1587"/>
    </row>
    <row r="1588" spans="8:8">
      <c r="H1588"/>
    </row>
    <row r="1589" spans="8:8">
      <c r="H1589"/>
    </row>
    <row r="1590" spans="8:8">
      <c r="H1590"/>
    </row>
    <row r="1591" spans="8:8">
      <c r="H1591"/>
    </row>
    <row r="1592" spans="8:8">
      <c r="H1592"/>
    </row>
    <row r="1593" spans="8:8">
      <c r="H1593"/>
    </row>
    <row r="1594" spans="8:8">
      <c r="H1594"/>
    </row>
    <row r="1595" spans="8:8">
      <c r="H1595"/>
    </row>
    <row r="1596" spans="8:8">
      <c r="H1596"/>
    </row>
    <row r="1597" spans="8:8">
      <c r="H1597"/>
    </row>
    <row r="1598" spans="8:8">
      <c r="H1598"/>
    </row>
    <row r="1599" spans="8:8">
      <c r="H1599"/>
    </row>
    <row r="1600" spans="8:8">
      <c r="H1600"/>
    </row>
    <row r="1601" spans="8:8">
      <c r="H1601"/>
    </row>
    <row r="1602" spans="8:8">
      <c r="H1602"/>
    </row>
    <row r="1603" spans="8:8">
      <c r="H1603"/>
    </row>
    <row r="1604" spans="8:8">
      <c r="H1604"/>
    </row>
    <row r="1605" spans="8:8">
      <c r="H1605"/>
    </row>
    <row r="1606" spans="8:8">
      <c r="H1606"/>
    </row>
    <row r="1607" spans="8:8">
      <c r="H1607"/>
    </row>
    <row r="1608" spans="8:8">
      <c r="H1608"/>
    </row>
    <row r="1609" spans="8:8">
      <c r="H1609"/>
    </row>
    <row r="1610" spans="8:8">
      <c r="H1610"/>
    </row>
    <row r="1611" spans="8:8">
      <c r="H1611"/>
    </row>
    <row r="1612" spans="8:8">
      <c r="H1612"/>
    </row>
    <row r="1613" spans="8:8">
      <c r="H1613"/>
    </row>
    <row r="1614" spans="8:8">
      <c r="H1614"/>
    </row>
    <row r="1615" spans="8:8">
      <c r="H1615"/>
    </row>
    <row r="1616" spans="8:8">
      <c r="H1616"/>
    </row>
    <row r="1617" spans="8:8">
      <c r="H1617"/>
    </row>
    <row r="1618" spans="8:8">
      <c r="H1618"/>
    </row>
    <row r="1619" spans="8:8">
      <c r="H1619"/>
    </row>
    <row r="1620" spans="8:8">
      <c r="H1620"/>
    </row>
    <row r="1621" spans="8:8">
      <c r="H1621"/>
    </row>
    <row r="1622" spans="8:8">
      <c r="H1622"/>
    </row>
    <row r="1623" spans="8:8">
      <c r="H1623"/>
    </row>
    <row r="1624" spans="8:8">
      <c r="H1624"/>
    </row>
    <row r="1625" spans="8:8">
      <c r="H1625"/>
    </row>
    <row r="1626" spans="8:8">
      <c r="H1626"/>
    </row>
    <row r="1627" spans="8:8">
      <c r="H1627"/>
    </row>
    <row r="1628" spans="8:8">
      <c r="H1628"/>
    </row>
    <row r="1629" spans="8:8">
      <c r="H1629"/>
    </row>
    <row r="1630" spans="8:8">
      <c r="H1630"/>
    </row>
    <row r="1631" spans="8:8">
      <c r="H1631"/>
    </row>
    <row r="1632" spans="8:8">
      <c r="H1632"/>
    </row>
    <row r="1633" spans="8:8">
      <c r="H1633"/>
    </row>
    <row r="1634" spans="8:8">
      <c r="H1634"/>
    </row>
    <row r="1635" spans="8:8">
      <c r="H1635"/>
    </row>
    <row r="1636" spans="8:8">
      <c r="H1636"/>
    </row>
    <row r="1637" spans="8:8">
      <c r="H1637"/>
    </row>
    <row r="1638" spans="8:8">
      <c r="H1638"/>
    </row>
    <row r="1639" spans="8:8">
      <c r="H1639"/>
    </row>
    <row r="1640" spans="8:8">
      <c r="H1640"/>
    </row>
    <row r="1641" spans="8:8">
      <c r="H1641"/>
    </row>
    <row r="1642" spans="8:8">
      <c r="H1642"/>
    </row>
    <row r="1643" spans="8:8">
      <c r="H1643"/>
    </row>
    <row r="1644" spans="8:8">
      <c r="H1644"/>
    </row>
    <row r="1645" spans="8:8">
      <c r="H1645"/>
    </row>
    <row r="1646" spans="8:8">
      <c r="H1646"/>
    </row>
    <row r="1647" spans="8:8">
      <c r="H1647"/>
    </row>
    <row r="1648" spans="8:8">
      <c r="H1648"/>
    </row>
    <row r="1649" spans="8:8">
      <c r="H1649"/>
    </row>
    <row r="1650" spans="8:8">
      <c r="H1650"/>
    </row>
    <row r="1651" spans="8:8">
      <c r="H1651"/>
    </row>
    <row r="1652" spans="8:8">
      <c r="H1652"/>
    </row>
    <row r="1653" spans="8:8">
      <c r="H1653"/>
    </row>
    <row r="1654" spans="8:8">
      <c r="H1654"/>
    </row>
    <row r="1655" spans="8:8">
      <c r="H1655"/>
    </row>
    <row r="1656" spans="8:8">
      <c r="H1656"/>
    </row>
    <row r="1657" spans="8:8">
      <c r="H1657"/>
    </row>
    <row r="1658" spans="8:8">
      <c r="H1658"/>
    </row>
    <row r="1659" spans="8:8">
      <c r="H1659"/>
    </row>
    <row r="1660" spans="8:8">
      <c r="H1660"/>
    </row>
    <row r="1661" spans="8:8">
      <c r="H1661"/>
    </row>
    <row r="1662" spans="8:8">
      <c r="H1662"/>
    </row>
    <row r="1663" spans="8:8">
      <c r="H1663"/>
    </row>
    <row r="1664" spans="8:8">
      <c r="H1664"/>
    </row>
    <row r="1665" spans="8:8">
      <c r="H1665"/>
    </row>
    <row r="1666" spans="8:8">
      <c r="H1666"/>
    </row>
    <row r="1667" spans="8:8">
      <c r="H1667"/>
    </row>
    <row r="1668" spans="8:8">
      <c r="H1668"/>
    </row>
    <row r="1669" spans="8:8">
      <c r="H1669"/>
    </row>
    <row r="1670" spans="8:8">
      <c r="H1670"/>
    </row>
    <row r="1671" spans="8:8">
      <c r="H1671"/>
    </row>
    <row r="1672" spans="8:8">
      <c r="H1672"/>
    </row>
    <row r="1673" spans="8:8">
      <c r="H1673"/>
    </row>
    <row r="1674" spans="8:8">
      <c r="H1674"/>
    </row>
    <row r="1675" spans="8:8">
      <c r="H1675"/>
    </row>
    <row r="1676" spans="8:8">
      <c r="H1676"/>
    </row>
    <row r="1677" spans="8:8">
      <c r="H1677"/>
    </row>
    <row r="1678" spans="8:8">
      <c r="H1678"/>
    </row>
    <row r="1679" spans="8:8">
      <c r="H1679"/>
    </row>
    <row r="1680" spans="8:8">
      <c r="H1680"/>
    </row>
    <row r="1681" spans="8:8">
      <c r="H1681"/>
    </row>
    <row r="1682" spans="8:8">
      <c r="H1682"/>
    </row>
    <row r="1683" spans="8:8">
      <c r="H1683"/>
    </row>
    <row r="1684" spans="8:8">
      <c r="H1684"/>
    </row>
    <row r="1685" spans="8:8">
      <c r="H1685"/>
    </row>
    <row r="1686" spans="8:8">
      <c r="H1686"/>
    </row>
    <row r="1687" spans="8:8">
      <c r="H1687"/>
    </row>
    <row r="1688" spans="8:8">
      <c r="H1688"/>
    </row>
    <row r="1689" spans="8:8">
      <c r="H1689"/>
    </row>
    <row r="1690" spans="8:8">
      <c r="H1690"/>
    </row>
    <row r="1691" spans="8:8">
      <c r="H1691"/>
    </row>
    <row r="1692" spans="8:8">
      <c r="H1692"/>
    </row>
    <row r="1693" spans="8:8">
      <c r="H1693"/>
    </row>
    <row r="1694" spans="8:8">
      <c r="H1694"/>
    </row>
    <row r="1695" spans="8:8">
      <c r="H1695"/>
    </row>
    <row r="1696" spans="8:8">
      <c r="H1696"/>
    </row>
    <row r="1697" spans="8:8">
      <c r="H1697"/>
    </row>
    <row r="1698" spans="8:8">
      <c r="H1698"/>
    </row>
    <row r="1699" spans="8:8">
      <c r="H1699"/>
    </row>
    <row r="1700" spans="8:8">
      <c r="H1700"/>
    </row>
    <row r="1701" spans="8:8">
      <c r="H1701"/>
    </row>
    <row r="1702" spans="8:8">
      <c r="H1702"/>
    </row>
    <row r="1703" spans="8:8">
      <c r="H1703"/>
    </row>
    <row r="1704" spans="8:8">
      <c r="H1704"/>
    </row>
    <row r="1705" spans="8:8">
      <c r="H1705"/>
    </row>
    <row r="1706" spans="8:8">
      <c r="H1706"/>
    </row>
    <row r="1707" spans="8:8">
      <c r="H1707"/>
    </row>
    <row r="1708" spans="8:8">
      <c r="H1708"/>
    </row>
    <row r="1709" spans="8:8">
      <c r="H1709"/>
    </row>
    <row r="1710" spans="8:8">
      <c r="H1710"/>
    </row>
    <row r="1711" spans="8:8">
      <c r="H1711"/>
    </row>
    <row r="1712" spans="8:8">
      <c r="H1712"/>
    </row>
    <row r="1713" spans="8:8">
      <c r="H1713"/>
    </row>
    <row r="1714" spans="8:8">
      <c r="H1714"/>
    </row>
    <row r="1715" spans="8:8">
      <c r="H1715"/>
    </row>
    <row r="1716" spans="8:8">
      <c r="H1716"/>
    </row>
    <row r="1717" spans="8:8">
      <c r="H1717"/>
    </row>
    <row r="1718" spans="8:8">
      <c r="H1718"/>
    </row>
    <row r="1719" spans="8:8">
      <c r="H1719"/>
    </row>
    <row r="1720" spans="8:8">
      <c r="H1720"/>
    </row>
    <row r="1721" spans="8:8">
      <c r="H1721"/>
    </row>
    <row r="1722" spans="8:8">
      <c r="H1722"/>
    </row>
    <row r="1723" spans="8:8">
      <c r="H1723"/>
    </row>
    <row r="1724" spans="8:8">
      <c r="H1724"/>
    </row>
    <row r="1725" spans="8:8">
      <c r="H1725"/>
    </row>
    <row r="1726" spans="8:8">
      <c r="H1726"/>
    </row>
    <row r="1727" spans="8:8">
      <c r="H1727"/>
    </row>
    <row r="1728" spans="8:8">
      <c r="H1728"/>
    </row>
    <row r="1729" spans="8:8">
      <c r="H1729"/>
    </row>
    <row r="1730" spans="8:8">
      <c r="H1730"/>
    </row>
    <row r="1731" spans="8:8">
      <c r="H1731"/>
    </row>
    <row r="1732" spans="8:8">
      <c r="H1732"/>
    </row>
    <row r="1733" spans="8:8">
      <c r="H1733"/>
    </row>
    <row r="1734" spans="8:8">
      <c r="H1734"/>
    </row>
    <row r="1735" spans="8:8">
      <c r="H1735"/>
    </row>
    <row r="1736" spans="8:8">
      <c r="H1736"/>
    </row>
    <row r="1737" spans="8:8">
      <c r="H1737"/>
    </row>
    <row r="1738" spans="8:8">
      <c r="H1738"/>
    </row>
    <row r="1739" spans="8:8">
      <c r="H1739"/>
    </row>
    <row r="1740" spans="8:8">
      <c r="H1740"/>
    </row>
    <row r="1741" spans="8:8">
      <c r="H1741"/>
    </row>
    <row r="1742" spans="8:8">
      <c r="H1742"/>
    </row>
    <row r="1743" spans="8:8">
      <c r="H1743"/>
    </row>
    <row r="1744" spans="8:8">
      <c r="H1744"/>
    </row>
    <row r="1745" spans="8:8">
      <c r="H1745"/>
    </row>
    <row r="1746" spans="8:8">
      <c r="H1746"/>
    </row>
    <row r="1747" spans="8:8">
      <c r="H1747"/>
    </row>
    <row r="1748" spans="8:8">
      <c r="H1748"/>
    </row>
    <row r="1749" spans="8:8">
      <c r="H1749"/>
    </row>
    <row r="1750" spans="8:8">
      <c r="H1750"/>
    </row>
    <row r="1751" spans="8:8">
      <c r="H1751"/>
    </row>
    <row r="1752" spans="8:8">
      <c r="H1752"/>
    </row>
    <row r="1753" spans="8:8">
      <c r="H1753"/>
    </row>
    <row r="1754" spans="8:8">
      <c r="H1754"/>
    </row>
    <row r="1755" spans="8:8">
      <c r="H1755"/>
    </row>
    <row r="1756" spans="8:8">
      <c r="H1756"/>
    </row>
    <row r="1757" spans="8:8">
      <c r="H1757"/>
    </row>
    <row r="1758" spans="8:8">
      <c r="H1758"/>
    </row>
    <row r="1759" spans="8:8">
      <c r="H1759"/>
    </row>
    <row r="1760" spans="8:8">
      <c r="H1760"/>
    </row>
    <row r="1761" spans="8:8">
      <c r="H1761"/>
    </row>
    <row r="1762" spans="8:8">
      <c r="H1762"/>
    </row>
    <row r="1763" spans="8:8">
      <c r="H1763"/>
    </row>
    <row r="1764" spans="8:8">
      <c r="H1764"/>
    </row>
    <row r="1765" spans="8:8">
      <c r="H1765"/>
    </row>
    <row r="1766" spans="8:8">
      <c r="H1766"/>
    </row>
    <row r="1767" spans="8:8">
      <c r="H1767"/>
    </row>
    <row r="1768" spans="8:8">
      <c r="H1768"/>
    </row>
    <row r="1769" spans="8:8">
      <c r="H1769"/>
    </row>
    <row r="1770" spans="8:8">
      <c r="H1770"/>
    </row>
    <row r="1771" spans="8:8">
      <c r="H1771"/>
    </row>
    <row r="1772" spans="8:8">
      <c r="H1772"/>
    </row>
    <row r="1773" spans="8:8">
      <c r="H1773"/>
    </row>
    <row r="1774" spans="8:8">
      <c r="H1774"/>
    </row>
    <row r="1775" spans="8:8">
      <c r="H1775"/>
    </row>
    <row r="1776" spans="8:8">
      <c r="H1776"/>
    </row>
    <row r="1777" spans="8:8">
      <c r="H1777"/>
    </row>
    <row r="1778" spans="8:8">
      <c r="H1778"/>
    </row>
    <row r="1779" spans="8:8">
      <c r="H1779"/>
    </row>
    <row r="1780" spans="8:8">
      <c r="H1780"/>
    </row>
    <row r="1781" spans="8:8">
      <c r="H1781"/>
    </row>
    <row r="1782" spans="8:8">
      <c r="H1782"/>
    </row>
    <row r="1783" spans="8:8">
      <c r="H1783"/>
    </row>
    <row r="1784" spans="8:8">
      <c r="H1784"/>
    </row>
    <row r="1785" spans="8:8">
      <c r="H1785"/>
    </row>
    <row r="1786" spans="8:8">
      <c r="H1786"/>
    </row>
    <row r="1787" spans="8:8">
      <c r="H1787"/>
    </row>
    <row r="1788" spans="8:8">
      <c r="H1788"/>
    </row>
    <row r="1789" spans="8:8">
      <c r="H1789"/>
    </row>
    <row r="1790" spans="8:8">
      <c r="H1790"/>
    </row>
    <row r="1791" spans="8:8">
      <c r="H1791"/>
    </row>
    <row r="1792" spans="8:8">
      <c r="H1792"/>
    </row>
    <row r="1793" spans="8:8">
      <c r="H1793"/>
    </row>
    <row r="1794" spans="8:8">
      <c r="H1794"/>
    </row>
    <row r="1795" spans="8:8">
      <c r="H1795"/>
    </row>
    <row r="1796" spans="8:8">
      <c r="H1796"/>
    </row>
    <row r="1797" spans="8:8">
      <c r="H1797"/>
    </row>
    <row r="1798" spans="8:8">
      <c r="H1798"/>
    </row>
    <row r="1799" spans="8:8">
      <c r="H1799"/>
    </row>
    <row r="1800" spans="8:8">
      <c r="H1800"/>
    </row>
    <row r="1801" spans="8:8">
      <c r="H1801"/>
    </row>
    <row r="1802" spans="8:8">
      <c r="H1802"/>
    </row>
    <row r="1803" spans="8:8">
      <c r="H1803"/>
    </row>
    <row r="1804" spans="8:8">
      <c r="H1804"/>
    </row>
    <row r="1805" spans="8:8">
      <c r="H1805"/>
    </row>
    <row r="1806" spans="8:8">
      <c r="H1806"/>
    </row>
    <row r="1807" spans="8:8">
      <c r="H1807"/>
    </row>
    <row r="1808" spans="8:8">
      <c r="H1808"/>
    </row>
    <row r="1809" spans="8:8">
      <c r="H1809"/>
    </row>
    <row r="1810" spans="8:8">
      <c r="H1810"/>
    </row>
    <row r="1811" spans="8:8">
      <c r="H1811"/>
    </row>
    <row r="1812" spans="8:8">
      <c r="H1812"/>
    </row>
    <row r="1813" spans="8:8">
      <c r="H1813"/>
    </row>
    <row r="1814" spans="8:8">
      <c r="H1814"/>
    </row>
    <row r="1815" spans="8:8">
      <c r="H1815"/>
    </row>
    <row r="1816" spans="8:8">
      <c r="H1816"/>
    </row>
    <row r="1817" spans="8:8">
      <c r="H1817"/>
    </row>
    <row r="1818" spans="8:8">
      <c r="H1818"/>
    </row>
    <row r="1819" spans="8:8">
      <c r="H1819"/>
    </row>
    <row r="1820" spans="8:8">
      <c r="H1820"/>
    </row>
    <row r="1821" spans="8:8">
      <c r="H1821"/>
    </row>
    <row r="1822" spans="8:8">
      <c r="H1822"/>
    </row>
    <row r="1823" spans="8:8">
      <c r="H1823"/>
    </row>
    <row r="1824" spans="8:8">
      <c r="H1824"/>
    </row>
    <row r="1825" spans="8:8">
      <c r="H1825"/>
    </row>
    <row r="1826" spans="8:8">
      <c r="H1826"/>
    </row>
    <row r="1827" spans="8:8">
      <c r="H1827"/>
    </row>
    <row r="1828" spans="8:8">
      <c r="H1828"/>
    </row>
    <row r="1829" spans="8:8">
      <c r="H1829"/>
    </row>
    <row r="1830" spans="8:8">
      <c r="H1830"/>
    </row>
    <row r="1831" spans="8:8">
      <c r="H1831"/>
    </row>
    <row r="1832" spans="8:8">
      <c r="H1832"/>
    </row>
    <row r="1833" spans="8:8">
      <c r="H1833"/>
    </row>
    <row r="1834" spans="8:8">
      <c r="H1834"/>
    </row>
    <row r="1835" spans="8:8">
      <c r="H1835"/>
    </row>
    <row r="1836" spans="8:8">
      <c r="H1836"/>
    </row>
    <row r="1837" spans="8:8">
      <c r="H1837"/>
    </row>
    <row r="1838" spans="8:8">
      <c r="H1838"/>
    </row>
    <row r="1839" spans="8:8">
      <c r="H1839"/>
    </row>
    <row r="1840" spans="8:8">
      <c r="H1840"/>
    </row>
    <row r="1841" spans="8:8">
      <c r="H1841"/>
    </row>
    <row r="1842" spans="8:8">
      <c r="H1842"/>
    </row>
    <row r="1843" spans="8:8">
      <c r="H1843"/>
    </row>
    <row r="1844" spans="8:8">
      <c r="H1844"/>
    </row>
    <row r="1845" spans="8:8">
      <c r="H1845"/>
    </row>
    <row r="1846" spans="8:8">
      <c r="H1846"/>
    </row>
    <row r="1847" spans="8:8">
      <c r="H1847"/>
    </row>
    <row r="1848" spans="8:8">
      <c r="H1848"/>
    </row>
    <row r="1849" spans="8:8">
      <c r="H1849"/>
    </row>
    <row r="1850" spans="8:8">
      <c r="H1850"/>
    </row>
    <row r="1851" spans="8:8">
      <c r="H1851"/>
    </row>
    <row r="1852" spans="8:8">
      <c r="H1852"/>
    </row>
    <row r="1853" spans="8:8">
      <c r="H1853"/>
    </row>
    <row r="1854" spans="8:8">
      <c r="H1854"/>
    </row>
    <row r="1855" spans="8:8">
      <c r="H1855"/>
    </row>
    <row r="1856" spans="8:8">
      <c r="H1856"/>
    </row>
    <row r="1857" spans="8:8">
      <c r="H1857"/>
    </row>
    <row r="1858" spans="8:8">
      <c r="H1858"/>
    </row>
    <row r="1859" spans="8:8">
      <c r="H1859"/>
    </row>
    <row r="1860" spans="8:8">
      <c r="H1860"/>
    </row>
    <row r="1861" spans="8:8">
      <c r="H1861"/>
    </row>
    <row r="1862" spans="8:8">
      <c r="H1862"/>
    </row>
    <row r="1863" spans="8:8">
      <c r="H1863"/>
    </row>
    <row r="1864" spans="8:8">
      <c r="H1864"/>
    </row>
    <row r="1865" spans="8:8">
      <c r="H1865"/>
    </row>
    <row r="1866" spans="8:8">
      <c r="H1866"/>
    </row>
    <row r="1867" spans="8:8">
      <c r="H1867"/>
    </row>
    <row r="1868" spans="8:8">
      <c r="H1868"/>
    </row>
    <row r="1869" spans="8:8">
      <c r="H1869"/>
    </row>
    <row r="1870" spans="8:8">
      <c r="H1870"/>
    </row>
    <row r="1871" spans="8:8">
      <c r="H1871"/>
    </row>
    <row r="1872" spans="8:8">
      <c r="H1872"/>
    </row>
    <row r="1873" spans="8:8">
      <c r="H1873"/>
    </row>
    <row r="1874" spans="8:8">
      <c r="H1874"/>
    </row>
    <row r="1875" spans="8:8">
      <c r="H1875"/>
    </row>
    <row r="1876" spans="8:8">
      <c r="H1876"/>
    </row>
    <row r="1877" spans="8:8">
      <c r="H1877"/>
    </row>
    <row r="1878" spans="8:8">
      <c r="H1878"/>
    </row>
    <row r="1879" spans="8:8">
      <c r="H1879"/>
    </row>
    <row r="1880" spans="8:8">
      <c r="H1880"/>
    </row>
    <row r="1881" spans="8:8">
      <c r="H1881"/>
    </row>
    <row r="1882" spans="8:8">
      <c r="H1882"/>
    </row>
    <row r="1883" spans="8:8">
      <c r="H1883"/>
    </row>
    <row r="1884" spans="8:8">
      <c r="H1884"/>
    </row>
    <row r="1885" spans="8:8">
      <c r="H1885"/>
    </row>
    <row r="1886" spans="8:8">
      <c r="H1886"/>
    </row>
    <row r="1887" spans="8:8">
      <c r="H1887"/>
    </row>
    <row r="1888" spans="8:8">
      <c r="H1888"/>
    </row>
    <row r="1889" spans="8:8">
      <c r="H1889"/>
    </row>
    <row r="1890" spans="8:8">
      <c r="H1890"/>
    </row>
    <row r="1891" spans="8:8">
      <c r="H1891"/>
    </row>
    <row r="1892" spans="8:8">
      <c r="H1892"/>
    </row>
    <row r="1893" spans="8:8">
      <c r="H1893"/>
    </row>
    <row r="1894" spans="8:8">
      <c r="H1894"/>
    </row>
    <row r="1895" spans="8:8">
      <c r="H1895"/>
    </row>
    <row r="1896" spans="8:8">
      <c r="H1896"/>
    </row>
    <row r="1897" spans="8:8">
      <c r="H1897"/>
    </row>
    <row r="1898" spans="8:8">
      <c r="H1898"/>
    </row>
    <row r="1899" spans="8:8">
      <c r="H1899"/>
    </row>
    <row r="1900" spans="8:8">
      <c r="H1900"/>
    </row>
    <row r="1901" spans="8:8">
      <c r="H1901"/>
    </row>
    <row r="1902" spans="8:8">
      <c r="H1902"/>
    </row>
    <row r="1903" spans="8:8">
      <c r="H1903"/>
    </row>
    <row r="1904" spans="8:8">
      <c r="H1904"/>
    </row>
    <row r="1905" spans="8:8">
      <c r="H1905"/>
    </row>
    <row r="1906" spans="8:8">
      <c r="H1906"/>
    </row>
    <row r="1907" spans="8:8">
      <c r="H1907"/>
    </row>
    <row r="1908" spans="8:8">
      <c r="H1908"/>
    </row>
    <row r="1909" spans="8:8">
      <c r="H1909"/>
    </row>
    <row r="1910" spans="8:8">
      <c r="H1910"/>
    </row>
    <row r="1911" spans="8:8">
      <c r="H1911"/>
    </row>
    <row r="1912" spans="8:8">
      <c r="H1912"/>
    </row>
    <row r="1913" spans="8:8">
      <c r="H1913"/>
    </row>
    <row r="1914" spans="8:8">
      <c r="H1914"/>
    </row>
    <row r="1915" spans="8:8">
      <c r="H1915"/>
    </row>
    <row r="1916" spans="8:8">
      <c r="H1916"/>
    </row>
    <row r="1917" spans="8:8">
      <c r="H1917"/>
    </row>
    <row r="1918" spans="8:8">
      <c r="H1918"/>
    </row>
    <row r="1919" spans="8:8">
      <c r="H1919"/>
    </row>
    <row r="1920" spans="8:8">
      <c r="H1920"/>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autoPageBreaks="0"/>
  </sheetPr>
  <dimension ref="A1:Q49"/>
  <sheetViews>
    <sheetView topLeftCell="A34" workbookViewId="0">
      <selection activeCell="G2" sqref="G2:H2"/>
    </sheetView>
  </sheetViews>
  <sheetFormatPr defaultColWidth="8.7265625" defaultRowHeight="14.5"/>
  <cols>
    <col min="1" max="1" width="24.1796875" customWidth="1"/>
  </cols>
  <sheetData>
    <row r="1" spans="1:17" ht="15.5">
      <c r="A1" s="229" t="s">
        <v>0</v>
      </c>
    </row>
    <row r="2" spans="1:17">
      <c r="A2" s="230" t="s">
        <v>597</v>
      </c>
    </row>
    <row r="4" spans="1:17">
      <c r="A4" s="231" t="s">
        <v>1</v>
      </c>
      <c r="B4" s="231" t="s">
        <v>2</v>
      </c>
    </row>
    <row r="5" spans="1:17">
      <c r="A5" s="231" t="s">
        <v>3</v>
      </c>
      <c r="B5" s="231" t="s">
        <v>80</v>
      </c>
    </row>
    <row r="7" spans="1:17" ht="22" customHeight="1">
      <c r="A7" s="232" t="s">
        <v>5</v>
      </c>
      <c r="B7" s="603" t="s">
        <v>525</v>
      </c>
      <c r="C7" s="604"/>
      <c r="D7" s="604"/>
      <c r="E7" s="604"/>
      <c r="F7" s="603" t="s">
        <v>598</v>
      </c>
      <c r="G7" s="604"/>
      <c r="H7" s="604"/>
      <c r="I7" s="604"/>
      <c r="J7" s="603" t="s">
        <v>705</v>
      </c>
      <c r="K7" s="604"/>
      <c r="L7" s="604"/>
      <c r="M7" s="604"/>
      <c r="N7" s="603" t="s">
        <v>754</v>
      </c>
      <c r="O7" s="604"/>
      <c r="P7" s="604"/>
      <c r="Q7" s="604"/>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231" t="s">
        <v>14</v>
      </c>
      <c r="B9" s="243">
        <v>35600</v>
      </c>
      <c r="C9" s="243">
        <v>156800</v>
      </c>
      <c r="D9" s="244">
        <v>22.7</v>
      </c>
      <c r="E9" s="244">
        <v>4</v>
      </c>
      <c r="F9" s="243">
        <v>30400</v>
      </c>
      <c r="G9" s="243">
        <v>154600</v>
      </c>
      <c r="H9" s="244">
        <v>19.600000000000001</v>
      </c>
      <c r="I9" s="244">
        <v>3.8</v>
      </c>
      <c r="J9" s="243">
        <v>39500</v>
      </c>
      <c r="K9" s="243">
        <v>158300</v>
      </c>
      <c r="L9" s="244">
        <v>24.9</v>
      </c>
      <c r="M9" s="244">
        <v>4.4000000000000004</v>
      </c>
      <c r="N9" s="243">
        <v>34100</v>
      </c>
      <c r="O9" s="243">
        <v>157800</v>
      </c>
      <c r="P9" s="244">
        <v>21.6</v>
      </c>
      <c r="Q9" s="244">
        <v>4.5999999999999996</v>
      </c>
    </row>
    <row r="10" spans="1:17">
      <c r="A10" s="231" t="s">
        <v>15</v>
      </c>
      <c r="B10" s="243">
        <v>29900</v>
      </c>
      <c r="C10" s="243">
        <v>164700</v>
      </c>
      <c r="D10" s="244">
        <v>18.2</v>
      </c>
      <c r="E10" s="244">
        <v>3.4</v>
      </c>
      <c r="F10" s="243">
        <v>37200</v>
      </c>
      <c r="G10" s="243">
        <v>165900</v>
      </c>
      <c r="H10" s="244">
        <v>22.4</v>
      </c>
      <c r="I10" s="244">
        <v>3.8</v>
      </c>
      <c r="J10" s="243">
        <v>29800</v>
      </c>
      <c r="K10" s="243">
        <v>168000</v>
      </c>
      <c r="L10" s="244">
        <v>17.7</v>
      </c>
      <c r="M10" s="244">
        <v>3.8</v>
      </c>
      <c r="N10" s="243">
        <v>25000</v>
      </c>
      <c r="O10" s="243">
        <v>170600</v>
      </c>
      <c r="P10" s="244">
        <v>14.6</v>
      </c>
      <c r="Q10" s="244">
        <v>4.3</v>
      </c>
    </row>
    <row r="11" spans="1:17">
      <c r="A11" s="231" t="s">
        <v>16</v>
      </c>
      <c r="B11" s="243">
        <v>17300</v>
      </c>
      <c r="C11" s="243">
        <v>68900</v>
      </c>
      <c r="D11" s="244">
        <v>25.1</v>
      </c>
      <c r="E11" s="244">
        <v>3.5</v>
      </c>
      <c r="F11" s="243">
        <v>16400</v>
      </c>
      <c r="G11" s="243">
        <v>69700</v>
      </c>
      <c r="H11" s="244">
        <v>23.5</v>
      </c>
      <c r="I11" s="244">
        <v>4</v>
      </c>
      <c r="J11" s="243">
        <v>16300</v>
      </c>
      <c r="K11" s="243">
        <v>69300</v>
      </c>
      <c r="L11" s="244">
        <v>23.5</v>
      </c>
      <c r="M11" s="244">
        <v>4.0999999999999996</v>
      </c>
      <c r="N11" s="243">
        <v>18600</v>
      </c>
      <c r="O11" s="243">
        <v>69800</v>
      </c>
      <c r="P11" s="244">
        <v>26.7</v>
      </c>
      <c r="Q11" s="244">
        <v>5.7</v>
      </c>
    </row>
    <row r="12" spans="1:17">
      <c r="A12" s="231" t="s">
        <v>17</v>
      </c>
      <c r="B12" s="243">
        <v>11100</v>
      </c>
      <c r="C12" s="243">
        <v>48500</v>
      </c>
      <c r="D12" s="244">
        <v>22.9</v>
      </c>
      <c r="E12" s="244">
        <v>3.7</v>
      </c>
      <c r="F12" s="243">
        <v>11600</v>
      </c>
      <c r="G12" s="243">
        <v>48200</v>
      </c>
      <c r="H12" s="244">
        <v>24</v>
      </c>
      <c r="I12" s="244">
        <v>4.3</v>
      </c>
      <c r="J12" s="243">
        <v>11900</v>
      </c>
      <c r="K12" s="243">
        <v>48800</v>
      </c>
      <c r="L12" s="244">
        <v>24.3</v>
      </c>
      <c r="M12" s="244">
        <v>4.9000000000000004</v>
      </c>
      <c r="N12" s="243">
        <v>14400</v>
      </c>
      <c r="O12" s="243">
        <v>48900</v>
      </c>
      <c r="P12" s="244">
        <v>29.5</v>
      </c>
      <c r="Q12" s="244">
        <v>6.8</v>
      </c>
    </row>
    <row r="13" spans="1:17">
      <c r="A13" s="231" t="s">
        <v>189</v>
      </c>
      <c r="B13" s="243">
        <v>81100</v>
      </c>
      <c r="C13" s="243">
        <v>358300</v>
      </c>
      <c r="D13" s="244">
        <v>22.6</v>
      </c>
      <c r="E13" s="244">
        <v>3.3</v>
      </c>
      <c r="F13" s="243">
        <v>69100</v>
      </c>
      <c r="G13" s="243">
        <v>352500</v>
      </c>
      <c r="H13" s="244">
        <v>19.600000000000001</v>
      </c>
      <c r="I13" s="244">
        <v>3.2</v>
      </c>
      <c r="J13" s="243">
        <v>70700</v>
      </c>
      <c r="K13" s="243">
        <v>357700</v>
      </c>
      <c r="L13" s="244">
        <v>19.8</v>
      </c>
      <c r="M13" s="244">
        <v>3.5</v>
      </c>
      <c r="N13" s="243">
        <v>50700</v>
      </c>
      <c r="O13" s="243">
        <v>356500</v>
      </c>
      <c r="P13" s="244">
        <v>14.2</v>
      </c>
      <c r="Q13" s="244">
        <v>3.4</v>
      </c>
    </row>
    <row r="14" spans="1:17">
      <c r="A14" s="231" t="s">
        <v>18</v>
      </c>
      <c r="B14" s="243">
        <v>7000</v>
      </c>
      <c r="C14" s="243">
        <v>31400</v>
      </c>
      <c r="D14" s="244">
        <v>22.3</v>
      </c>
      <c r="E14" s="244">
        <v>5.2</v>
      </c>
      <c r="F14" s="243">
        <v>8400</v>
      </c>
      <c r="G14" s="243">
        <v>31100</v>
      </c>
      <c r="H14" s="244">
        <v>27</v>
      </c>
      <c r="I14" s="244">
        <v>6.8</v>
      </c>
      <c r="J14" s="243">
        <v>9700</v>
      </c>
      <c r="K14" s="243">
        <v>31800</v>
      </c>
      <c r="L14" s="244">
        <v>30.5</v>
      </c>
      <c r="M14" s="244">
        <v>5.7</v>
      </c>
      <c r="N14" s="243">
        <v>9200</v>
      </c>
      <c r="O14" s="243">
        <v>32200</v>
      </c>
      <c r="P14" s="244">
        <v>28.6</v>
      </c>
      <c r="Q14" s="244">
        <v>6.4</v>
      </c>
    </row>
    <row r="15" spans="1:17">
      <c r="A15" s="231" t="s">
        <v>19</v>
      </c>
      <c r="B15" s="243">
        <v>23200</v>
      </c>
      <c r="C15" s="243">
        <v>84800</v>
      </c>
      <c r="D15" s="244">
        <v>27.4</v>
      </c>
      <c r="E15" s="244">
        <v>4.3</v>
      </c>
      <c r="F15" s="243">
        <v>21900</v>
      </c>
      <c r="G15" s="243">
        <v>84400</v>
      </c>
      <c r="H15" s="244">
        <v>26</v>
      </c>
      <c r="I15" s="244">
        <v>4.2</v>
      </c>
      <c r="J15" s="243">
        <v>24800</v>
      </c>
      <c r="K15" s="243">
        <v>84600</v>
      </c>
      <c r="L15" s="244">
        <v>29.3</v>
      </c>
      <c r="M15" s="244">
        <v>4.5999999999999996</v>
      </c>
      <c r="N15" s="243">
        <v>23300</v>
      </c>
      <c r="O15" s="243">
        <v>85200</v>
      </c>
      <c r="P15" s="244">
        <v>27.4</v>
      </c>
      <c r="Q15" s="244">
        <v>6.3</v>
      </c>
    </row>
    <row r="16" spans="1:17">
      <c r="A16" s="231" t="s">
        <v>20</v>
      </c>
      <c r="B16" s="243">
        <v>22200</v>
      </c>
      <c r="C16" s="243">
        <v>93700</v>
      </c>
      <c r="D16" s="244">
        <v>23.7</v>
      </c>
      <c r="E16" s="244">
        <v>3.6</v>
      </c>
      <c r="F16" s="243">
        <v>23400</v>
      </c>
      <c r="G16" s="243">
        <v>94600</v>
      </c>
      <c r="H16" s="244">
        <v>24.7</v>
      </c>
      <c r="I16" s="244">
        <v>4.2</v>
      </c>
      <c r="J16" s="243">
        <v>23700</v>
      </c>
      <c r="K16" s="243">
        <v>94900</v>
      </c>
      <c r="L16" s="244">
        <v>25</v>
      </c>
      <c r="M16" s="244">
        <v>4.2</v>
      </c>
      <c r="N16" s="243">
        <v>28100</v>
      </c>
      <c r="O16" s="243">
        <v>95900</v>
      </c>
      <c r="P16" s="244">
        <v>29.3</v>
      </c>
      <c r="Q16" s="244">
        <v>5.0999999999999996</v>
      </c>
    </row>
    <row r="17" spans="1:17">
      <c r="A17" s="231" t="s">
        <v>21</v>
      </c>
      <c r="B17" s="243">
        <v>17600</v>
      </c>
      <c r="C17" s="243">
        <v>72400</v>
      </c>
      <c r="D17" s="244">
        <v>24.3</v>
      </c>
      <c r="E17" s="244">
        <v>4</v>
      </c>
      <c r="F17" s="243">
        <v>16100</v>
      </c>
      <c r="G17" s="243">
        <v>73800</v>
      </c>
      <c r="H17" s="244">
        <v>21.9</v>
      </c>
      <c r="I17" s="244">
        <v>4.0999999999999996</v>
      </c>
      <c r="J17" s="243">
        <v>19800</v>
      </c>
      <c r="K17" s="243">
        <v>74200</v>
      </c>
      <c r="L17" s="244">
        <v>26.7</v>
      </c>
      <c r="M17" s="244">
        <v>4.4000000000000004</v>
      </c>
      <c r="N17" s="243">
        <v>20500</v>
      </c>
      <c r="O17" s="243">
        <v>73700</v>
      </c>
      <c r="P17" s="244">
        <v>27.9</v>
      </c>
      <c r="Q17" s="244">
        <v>5.7</v>
      </c>
    </row>
    <row r="18" spans="1:17">
      <c r="A18" s="231" t="s">
        <v>22</v>
      </c>
      <c r="B18" s="243">
        <v>14400</v>
      </c>
      <c r="C18" s="243">
        <v>64400</v>
      </c>
      <c r="D18" s="244">
        <v>22.4</v>
      </c>
      <c r="E18" s="244">
        <v>3.2</v>
      </c>
      <c r="F18" s="243">
        <v>15900</v>
      </c>
      <c r="G18" s="243">
        <v>64700</v>
      </c>
      <c r="H18" s="244">
        <v>24.6</v>
      </c>
      <c r="I18" s="244">
        <v>3.7</v>
      </c>
      <c r="J18" s="243">
        <v>14200</v>
      </c>
      <c r="K18" s="243">
        <v>64200</v>
      </c>
      <c r="L18" s="244">
        <v>22.1</v>
      </c>
      <c r="M18" s="244">
        <v>3.7</v>
      </c>
      <c r="N18" s="243">
        <v>15500</v>
      </c>
      <c r="O18" s="243">
        <v>63300</v>
      </c>
      <c r="P18" s="244">
        <v>24.5</v>
      </c>
      <c r="Q18" s="244">
        <v>4.5999999999999996</v>
      </c>
    </row>
    <row r="19" spans="1:17">
      <c r="A19" s="231" t="s">
        <v>23</v>
      </c>
      <c r="B19" s="243">
        <v>13900</v>
      </c>
      <c r="C19" s="243">
        <v>63900</v>
      </c>
      <c r="D19" s="244">
        <v>21.8</v>
      </c>
      <c r="E19" s="244">
        <v>4</v>
      </c>
      <c r="F19" s="243">
        <v>11300</v>
      </c>
      <c r="G19" s="243">
        <v>64800</v>
      </c>
      <c r="H19" s="244">
        <v>17.399999999999999</v>
      </c>
      <c r="I19" s="244">
        <v>4.2</v>
      </c>
      <c r="J19" s="243">
        <v>14700</v>
      </c>
      <c r="K19" s="243">
        <v>64600</v>
      </c>
      <c r="L19" s="244">
        <v>22.7</v>
      </c>
      <c r="M19" s="244">
        <v>4.5999999999999996</v>
      </c>
      <c r="N19" s="243">
        <v>11600</v>
      </c>
      <c r="O19" s="243">
        <v>65800</v>
      </c>
      <c r="P19" s="244">
        <v>17.600000000000001</v>
      </c>
      <c r="Q19" s="244">
        <v>5</v>
      </c>
    </row>
    <row r="20" spans="1:17">
      <c r="A20" s="231" t="s">
        <v>24</v>
      </c>
      <c r="B20" s="243">
        <v>13400</v>
      </c>
      <c r="C20" s="243">
        <v>57600</v>
      </c>
      <c r="D20" s="244">
        <v>23.3</v>
      </c>
      <c r="E20" s="244">
        <v>3.9</v>
      </c>
      <c r="F20" s="243">
        <v>15600</v>
      </c>
      <c r="G20" s="243">
        <v>56500</v>
      </c>
      <c r="H20" s="244">
        <v>27.6</v>
      </c>
      <c r="I20" s="244">
        <v>4.5</v>
      </c>
      <c r="J20" s="243">
        <v>11600</v>
      </c>
      <c r="K20" s="243">
        <v>56700</v>
      </c>
      <c r="L20" s="244">
        <v>20.5</v>
      </c>
      <c r="M20" s="244">
        <v>4.5</v>
      </c>
      <c r="N20" s="243">
        <v>11300</v>
      </c>
      <c r="O20" s="243">
        <v>55500</v>
      </c>
      <c r="P20" s="244">
        <v>20.399999999999999</v>
      </c>
      <c r="Q20" s="244">
        <v>5.5</v>
      </c>
    </row>
    <row r="21" spans="1:17">
      <c r="A21" s="231" t="s">
        <v>25</v>
      </c>
      <c r="B21" s="243">
        <v>21500</v>
      </c>
      <c r="C21" s="243">
        <v>101500</v>
      </c>
      <c r="D21" s="244">
        <v>21.2</v>
      </c>
      <c r="E21" s="244">
        <v>3.9</v>
      </c>
      <c r="F21" s="243">
        <v>22100</v>
      </c>
      <c r="G21" s="243">
        <v>101000</v>
      </c>
      <c r="H21" s="244">
        <v>21.9</v>
      </c>
      <c r="I21" s="244">
        <v>4.2</v>
      </c>
      <c r="J21" s="243">
        <v>19900</v>
      </c>
      <c r="K21" s="243">
        <v>101700</v>
      </c>
      <c r="L21" s="244">
        <v>19.5</v>
      </c>
      <c r="M21" s="244">
        <v>4</v>
      </c>
      <c r="N21" s="243">
        <v>24800</v>
      </c>
      <c r="O21" s="243">
        <v>100300</v>
      </c>
      <c r="P21" s="244">
        <v>24.8</v>
      </c>
      <c r="Q21" s="244">
        <v>4.9000000000000004</v>
      </c>
    </row>
    <row r="22" spans="1:17">
      <c r="A22" s="231" t="s">
        <v>26</v>
      </c>
      <c r="B22" s="243">
        <v>56200</v>
      </c>
      <c r="C22" s="243">
        <v>228900</v>
      </c>
      <c r="D22" s="244">
        <v>24.6</v>
      </c>
      <c r="E22" s="244">
        <v>3.4</v>
      </c>
      <c r="F22" s="243">
        <v>58300</v>
      </c>
      <c r="G22" s="243">
        <v>223900</v>
      </c>
      <c r="H22" s="244">
        <v>26</v>
      </c>
      <c r="I22" s="244">
        <v>3.7</v>
      </c>
      <c r="J22" s="243">
        <v>49900</v>
      </c>
      <c r="K22" s="243">
        <v>226300</v>
      </c>
      <c r="L22" s="244">
        <v>22.1</v>
      </c>
      <c r="M22" s="244">
        <v>3.6</v>
      </c>
      <c r="N22" s="243">
        <v>48900</v>
      </c>
      <c r="O22" s="243">
        <v>224600</v>
      </c>
      <c r="P22" s="244">
        <v>21.8</v>
      </c>
      <c r="Q22" s="244">
        <v>3.7</v>
      </c>
    </row>
    <row r="23" spans="1:17">
      <c r="A23" s="231" t="s">
        <v>27</v>
      </c>
      <c r="B23" s="243">
        <v>117600</v>
      </c>
      <c r="C23" s="243">
        <v>436800</v>
      </c>
      <c r="D23" s="244">
        <v>26.9</v>
      </c>
      <c r="E23" s="244">
        <v>3.5</v>
      </c>
      <c r="F23" s="243">
        <v>119700</v>
      </c>
      <c r="G23" s="243">
        <v>435400</v>
      </c>
      <c r="H23" s="244">
        <v>27.5</v>
      </c>
      <c r="I23" s="244">
        <v>3.4</v>
      </c>
      <c r="J23" s="243">
        <v>109600</v>
      </c>
      <c r="K23" s="243">
        <v>431300</v>
      </c>
      <c r="L23" s="244">
        <v>25.4</v>
      </c>
      <c r="M23" s="244">
        <v>3.5</v>
      </c>
      <c r="N23" s="243">
        <v>111100</v>
      </c>
      <c r="O23" s="243">
        <v>434100</v>
      </c>
      <c r="P23" s="244">
        <v>25.6</v>
      </c>
      <c r="Q23" s="244">
        <v>4.4000000000000004</v>
      </c>
    </row>
    <row r="24" spans="1:17">
      <c r="A24" s="231" t="s">
        <v>28</v>
      </c>
      <c r="B24" s="243">
        <v>29100</v>
      </c>
      <c r="C24" s="243">
        <v>142300</v>
      </c>
      <c r="D24" s="244">
        <v>20.5</v>
      </c>
      <c r="E24" s="244">
        <v>4.3</v>
      </c>
      <c r="F24" s="243">
        <v>36100</v>
      </c>
      <c r="G24" s="243">
        <v>143000</v>
      </c>
      <c r="H24" s="244">
        <v>25.3</v>
      </c>
      <c r="I24" s="244">
        <v>5.4</v>
      </c>
      <c r="J24" s="243">
        <v>36300</v>
      </c>
      <c r="K24" s="243">
        <v>141200</v>
      </c>
      <c r="L24" s="244">
        <v>25.7</v>
      </c>
      <c r="M24" s="244">
        <v>5.7</v>
      </c>
      <c r="N24" s="243">
        <v>33200</v>
      </c>
      <c r="O24" s="243">
        <v>145000</v>
      </c>
      <c r="P24" s="244">
        <v>22.9</v>
      </c>
      <c r="Q24" s="244">
        <v>6.2</v>
      </c>
    </row>
    <row r="25" spans="1:17">
      <c r="A25" s="231" t="s">
        <v>29</v>
      </c>
      <c r="B25" s="243">
        <v>13500</v>
      </c>
      <c r="C25" s="243">
        <v>47400</v>
      </c>
      <c r="D25" s="244">
        <v>28.5</v>
      </c>
      <c r="E25" s="244">
        <v>4.2</v>
      </c>
      <c r="F25" s="243">
        <v>10100</v>
      </c>
      <c r="G25" s="243">
        <v>46900</v>
      </c>
      <c r="H25" s="244">
        <v>21.5</v>
      </c>
      <c r="I25" s="244">
        <v>4.2</v>
      </c>
      <c r="J25" s="243">
        <v>10100</v>
      </c>
      <c r="K25" s="243">
        <v>46600</v>
      </c>
      <c r="L25" s="244">
        <v>21.6</v>
      </c>
      <c r="M25" s="244">
        <v>4.7</v>
      </c>
      <c r="N25" s="243">
        <v>13000</v>
      </c>
      <c r="O25" s="243">
        <v>47200</v>
      </c>
      <c r="P25" s="244">
        <v>27.5</v>
      </c>
      <c r="Q25" s="244">
        <v>6.5</v>
      </c>
    </row>
    <row r="26" spans="1:17">
      <c r="A26" s="231" t="s">
        <v>30</v>
      </c>
      <c r="B26" s="243">
        <v>11800</v>
      </c>
      <c r="C26" s="243">
        <v>55700</v>
      </c>
      <c r="D26" s="244">
        <v>21.1</v>
      </c>
      <c r="E26" s="244">
        <v>4.3</v>
      </c>
      <c r="F26" s="243">
        <v>9900</v>
      </c>
      <c r="G26" s="243">
        <v>57400</v>
      </c>
      <c r="H26" s="244">
        <v>17.3</v>
      </c>
      <c r="I26" s="244">
        <v>4.2</v>
      </c>
      <c r="J26" s="243">
        <v>10900</v>
      </c>
      <c r="K26" s="243">
        <v>57000</v>
      </c>
      <c r="L26" s="244">
        <v>19.100000000000001</v>
      </c>
      <c r="M26" s="244">
        <v>4.9000000000000004</v>
      </c>
      <c r="N26" s="243">
        <v>7600</v>
      </c>
      <c r="O26" s="243">
        <v>57000</v>
      </c>
      <c r="P26" s="244">
        <v>13.4</v>
      </c>
      <c r="Q26" s="244">
        <v>5.0999999999999996</v>
      </c>
    </row>
    <row r="27" spans="1:17">
      <c r="A27" s="231" t="s">
        <v>31</v>
      </c>
      <c r="B27" s="243">
        <v>13100</v>
      </c>
      <c r="C27" s="243">
        <v>59200</v>
      </c>
      <c r="D27" s="244">
        <v>22.2</v>
      </c>
      <c r="E27" s="244">
        <v>3.9</v>
      </c>
      <c r="F27" s="243">
        <v>14800</v>
      </c>
      <c r="G27" s="243">
        <v>59900</v>
      </c>
      <c r="H27" s="244">
        <v>24.7</v>
      </c>
      <c r="I27" s="244">
        <v>4.4000000000000004</v>
      </c>
      <c r="J27" s="243">
        <v>11700</v>
      </c>
      <c r="K27" s="243">
        <v>59800</v>
      </c>
      <c r="L27" s="244">
        <v>19.600000000000001</v>
      </c>
      <c r="M27" s="244">
        <v>4.0999999999999996</v>
      </c>
      <c r="N27" s="243">
        <v>14900</v>
      </c>
      <c r="O27" s="243">
        <v>60500</v>
      </c>
      <c r="P27" s="244">
        <v>24.7</v>
      </c>
      <c r="Q27" s="244">
        <v>5.4</v>
      </c>
    </row>
    <row r="28" spans="1:17">
      <c r="A28" s="231" t="s">
        <v>32</v>
      </c>
      <c r="B28" s="243">
        <v>2400</v>
      </c>
      <c r="C28" s="243">
        <v>15100</v>
      </c>
      <c r="D28" s="244">
        <v>15.6</v>
      </c>
      <c r="E28" s="244">
        <v>4.4000000000000004</v>
      </c>
      <c r="F28" s="243">
        <v>2700</v>
      </c>
      <c r="G28" s="243">
        <v>15100</v>
      </c>
      <c r="H28" s="244">
        <v>17.600000000000001</v>
      </c>
      <c r="I28" s="244">
        <v>5.7</v>
      </c>
      <c r="J28" s="243">
        <v>2400</v>
      </c>
      <c r="K28" s="243">
        <v>15100</v>
      </c>
      <c r="L28" s="244">
        <v>15.9</v>
      </c>
      <c r="M28" s="244">
        <v>6.2</v>
      </c>
      <c r="N28" s="243">
        <v>3200</v>
      </c>
      <c r="O28" s="243">
        <v>15400</v>
      </c>
      <c r="P28" s="244">
        <v>20.9</v>
      </c>
      <c r="Q28" s="244">
        <v>8.6999999999999993</v>
      </c>
    </row>
    <row r="29" spans="1:17">
      <c r="A29" s="231" t="s">
        <v>33</v>
      </c>
      <c r="B29" s="243">
        <v>22500</v>
      </c>
      <c r="C29" s="243">
        <v>78400</v>
      </c>
      <c r="D29" s="244">
        <v>28.7</v>
      </c>
      <c r="E29" s="244">
        <v>4.5</v>
      </c>
      <c r="F29" s="243">
        <v>23900</v>
      </c>
      <c r="G29" s="243">
        <v>78700</v>
      </c>
      <c r="H29" s="244">
        <v>30.4</v>
      </c>
      <c r="I29" s="244">
        <v>4.5</v>
      </c>
      <c r="J29" s="243">
        <v>20100</v>
      </c>
      <c r="K29" s="243">
        <v>79600</v>
      </c>
      <c r="L29" s="244">
        <v>25.2</v>
      </c>
      <c r="M29" s="244">
        <v>4.2</v>
      </c>
      <c r="N29" s="243">
        <v>22400</v>
      </c>
      <c r="O29" s="243">
        <v>80900</v>
      </c>
      <c r="P29" s="244">
        <v>27.7</v>
      </c>
      <c r="Q29" s="244">
        <v>5.5</v>
      </c>
    </row>
    <row r="30" spans="1:17">
      <c r="A30" s="231" t="s">
        <v>34</v>
      </c>
      <c r="B30" s="243">
        <v>55200</v>
      </c>
      <c r="C30" s="243">
        <v>216300</v>
      </c>
      <c r="D30" s="244">
        <v>25.5</v>
      </c>
      <c r="E30" s="244">
        <v>3.9</v>
      </c>
      <c r="F30" s="243">
        <v>62800</v>
      </c>
      <c r="G30" s="243">
        <v>217200</v>
      </c>
      <c r="H30" s="244">
        <v>28.9</v>
      </c>
      <c r="I30" s="244">
        <v>4.3</v>
      </c>
      <c r="J30" s="243">
        <v>65800</v>
      </c>
      <c r="K30" s="243">
        <v>219800</v>
      </c>
      <c r="L30" s="244">
        <v>29.9</v>
      </c>
      <c r="M30" s="244">
        <v>4.5999999999999996</v>
      </c>
      <c r="N30" s="243">
        <v>60600</v>
      </c>
      <c r="O30" s="243">
        <v>219800</v>
      </c>
      <c r="P30" s="244">
        <v>27.6</v>
      </c>
      <c r="Q30" s="244">
        <v>5.2</v>
      </c>
    </row>
    <row r="31" spans="1:17">
      <c r="A31" s="231" t="s">
        <v>35</v>
      </c>
      <c r="B31" s="243">
        <v>1700</v>
      </c>
      <c r="C31" s="243">
        <v>12700</v>
      </c>
      <c r="D31" s="244">
        <v>13.1</v>
      </c>
      <c r="E31" s="243" t="s">
        <v>10</v>
      </c>
      <c r="F31" s="243">
        <v>2500</v>
      </c>
      <c r="G31" s="243">
        <v>12700</v>
      </c>
      <c r="H31" s="244">
        <v>19.399999999999999</v>
      </c>
      <c r="I31" s="243" t="s">
        <v>10</v>
      </c>
      <c r="J31" s="243">
        <v>1500</v>
      </c>
      <c r="K31" s="243">
        <v>12100</v>
      </c>
      <c r="L31" s="244">
        <v>12.5</v>
      </c>
      <c r="M31" s="243" t="s">
        <v>10</v>
      </c>
      <c r="N31" s="243">
        <v>1500</v>
      </c>
      <c r="O31" s="243">
        <v>13000</v>
      </c>
      <c r="P31" s="244">
        <v>11.7</v>
      </c>
      <c r="Q31" s="243" t="s">
        <v>10</v>
      </c>
    </row>
    <row r="32" spans="1:17">
      <c r="A32" s="231" t="s">
        <v>36</v>
      </c>
      <c r="B32" s="243">
        <v>18400</v>
      </c>
      <c r="C32" s="243">
        <v>90200</v>
      </c>
      <c r="D32" s="244">
        <v>20.399999999999999</v>
      </c>
      <c r="E32" s="244">
        <v>3.5</v>
      </c>
      <c r="F32" s="243">
        <v>17400</v>
      </c>
      <c r="G32" s="243">
        <v>89100</v>
      </c>
      <c r="H32" s="244">
        <v>19.600000000000001</v>
      </c>
      <c r="I32" s="244">
        <v>3.6</v>
      </c>
      <c r="J32" s="243">
        <v>19100</v>
      </c>
      <c r="K32" s="243">
        <v>89400</v>
      </c>
      <c r="L32" s="244">
        <v>21.3</v>
      </c>
      <c r="M32" s="244">
        <v>4</v>
      </c>
      <c r="N32" s="243">
        <v>19300</v>
      </c>
      <c r="O32" s="243">
        <v>91700</v>
      </c>
      <c r="P32" s="244">
        <v>21</v>
      </c>
      <c r="Q32" s="244">
        <v>4.7</v>
      </c>
    </row>
    <row r="33" spans="1:17">
      <c r="A33" s="231" t="s">
        <v>37</v>
      </c>
      <c r="B33" s="243">
        <v>21700</v>
      </c>
      <c r="C33" s="243">
        <v>112500</v>
      </c>
      <c r="D33" s="244">
        <v>19.2</v>
      </c>
      <c r="E33" s="244">
        <v>3.7</v>
      </c>
      <c r="F33" s="243">
        <v>24400</v>
      </c>
      <c r="G33" s="243">
        <v>111900</v>
      </c>
      <c r="H33" s="244">
        <v>21.8</v>
      </c>
      <c r="I33" s="244">
        <v>4</v>
      </c>
      <c r="J33" s="243">
        <v>29400</v>
      </c>
      <c r="K33" s="243">
        <v>113600</v>
      </c>
      <c r="L33" s="244">
        <v>25.9</v>
      </c>
      <c r="M33" s="244">
        <v>4.7</v>
      </c>
      <c r="N33" s="243">
        <v>25100</v>
      </c>
      <c r="O33" s="243">
        <v>112100</v>
      </c>
      <c r="P33" s="244">
        <v>22.4</v>
      </c>
      <c r="Q33" s="244">
        <v>5</v>
      </c>
    </row>
    <row r="34" spans="1:17">
      <c r="A34" s="231" t="s">
        <v>38</v>
      </c>
      <c r="B34" s="243">
        <v>13200</v>
      </c>
      <c r="C34" s="243">
        <v>66400</v>
      </c>
      <c r="D34" s="244">
        <v>19.899999999999999</v>
      </c>
      <c r="E34" s="244">
        <v>3.9</v>
      </c>
      <c r="F34" s="243">
        <v>17100</v>
      </c>
      <c r="G34" s="243">
        <v>66000</v>
      </c>
      <c r="H34" s="244">
        <v>25.9</v>
      </c>
      <c r="I34" s="244">
        <v>4.5999999999999996</v>
      </c>
      <c r="J34" s="243">
        <v>10100</v>
      </c>
      <c r="K34" s="243">
        <v>66500</v>
      </c>
      <c r="L34" s="244">
        <v>15.2</v>
      </c>
      <c r="M34" s="244">
        <v>3.6</v>
      </c>
      <c r="N34" s="243">
        <v>14000</v>
      </c>
      <c r="O34" s="243">
        <v>66000</v>
      </c>
      <c r="P34" s="244">
        <v>21.3</v>
      </c>
      <c r="Q34" s="244">
        <v>5.3</v>
      </c>
    </row>
    <row r="35" spans="1:17">
      <c r="A35" s="231" t="s">
        <v>39</v>
      </c>
      <c r="B35" s="243">
        <v>3600</v>
      </c>
      <c r="C35" s="243">
        <v>14300</v>
      </c>
      <c r="D35" s="244">
        <v>25.4</v>
      </c>
      <c r="E35" s="244">
        <v>11.6</v>
      </c>
      <c r="F35" s="243">
        <v>3700</v>
      </c>
      <c r="G35" s="243">
        <v>13900</v>
      </c>
      <c r="H35" s="244">
        <v>26.3</v>
      </c>
      <c r="I35" s="244">
        <v>14.4</v>
      </c>
      <c r="J35" s="243">
        <v>3300</v>
      </c>
      <c r="K35" s="243">
        <v>14000</v>
      </c>
      <c r="L35" s="244">
        <v>23.9</v>
      </c>
      <c r="M35" s="244">
        <v>14.3</v>
      </c>
      <c r="N35" s="243">
        <v>2200</v>
      </c>
      <c r="O35" s="243">
        <v>14200</v>
      </c>
      <c r="P35" s="244">
        <v>15.7</v>
      </c>
      <c r="Q35" s="243" t="s">
        <v>10</v>
      </c>
    </row>
    <row r="36" spans="1:17">
      <c r="A36" s="231" t="s">
        <v>40</v>
      </c>
      <c r="B36" s="243">
        <v>16000</v>
      </c>
      <c r="C36" s="243">
        <v>64700</v>
      </c>
      <c r="D36" s="244">
        <v>24.7</v>
      </c>
      <c r="E36" s="244">
        <v>4.0999999999999996</v>
      </c>
      <c r="F36" s="243">
        <v>17800</v>
      </c>
      <c r="G36" s="243">
        <v>65400</v>
      </c>
      <c r="H36" s="244">
        <v>27.2</v>
      </c>
      <c r="I36" s="244">
        <v>4.5</v>
      </c>
      <c r="J36" s="243">
        <v>17700</v>
      </c>
      <c r="K36" s="243">
        <v>64100</v>
      </c>
      <c r="L36" s="244">
        <v>27.7</v>
      </c>
      <c r="M36" s="244">
        <v>4.8</v>
      </c>
      <c r="N36" s="243">
        <v>19800</v>
      </c>
      <c r="O36" s="243">
        <v>64800</v>
      </c>
      <c r="P36" s="244">
        <v>30.6</v>
      </c>
      <c r="Q36" s="244">
        <v>6</v>
      </c>
    </row>
    <row r="37" spans="1:17">
      <c r="A37" s="231" t="s">
        <v>41</v>
      </c>
      <c r="B37" s="243">
        <v>39600</v>
      </c>
      <c r="C37" s="243">
        <v>197200</v>
      </c>
      <c r="D37" s="244">
        <v>20.100000000000001</v>
      </c>
      <c r="E37" s="244">
        <v>3.5</v>
      </c>
      <c r="F37" s="243">
        <v>38300</v>
      </c>
      <c r="G37" s="243">
        <v>197800</v>
      </c>
      <c r="H37" s="244">
        <v>19.399999999999999</v>
      </c>
      <c r="I37" s="244">
        <v>3.6</v>
      </c>
      <c r="J37" s="243">
        <v>34500</v>
      </c>
      <c r="K37" s="243">
        <v>196000</v>
      </c>
      <c r="L37" s="244">
        <v>17.600000000000001</v>
      </c>
      <c r="M37" s="244">
        <v>3.5</v>
      </c>
      <c r="N37" s="243">
        <v>42300</v>
      </c>
      <c r="O37" s="243">
        <v>199800</v>
      </c>
      <c r="P37" s="244">
        <v>21.2</v>
      </c>
      <c r="Q37" s="244">
        <v>4.5999999999999996</v>
      </c>
    </row>
    <row r="38" spans="1:17">
      <c r="A38" s="231" t="s">
        <v>42</v>
      </c>
      <c r="B38" s="243">
        <v>13500</v>
      </c>
      <c r="C38" s="243">
        <v>58600</v>
      </c>
      <c r="D38" s="244">
        <v>23</v>
      </c>
      <c r="E38" s="244">
        <v>3.9</v>
      </c>
      <c r="F38" s="243">
        <v>13800</v>
      </c>
      <c r="G38" s="243">
        <v>58700</v>
      </c>
      <c r="H38" s="244">
        <v>23.5</v>
      </c>
      <c r="I38" s="244">
        <v>4.4000000000000004</v>
      </c>
      <c r="J38" s="243">
        <v>12100</v>
      </c>
      <c r="K38" s="243">
        <v>58500</v>
      </c>
      <c r="L38" s="244">
        <v>20.6</v>
      </c>
      <c r="M38" s="244">
        <v>3.8</v>
      </c>
      <c r="N38" s="243">
        <v>10300</v>
      </c>
      <c r="O38" s="243">
        <v>59700</v>
      </c>
      <c r="P38" s="244">
        <v>17.2</v>
      </c>
      <c r="Q38" s="244">
        <v>4.0999999999999996</v>
      </c>
    </row>
    <row r="39" spans="1:17">
      <c r="A39" s="231" t="s">
        <v>43</v>
      </c>
      <c r="B39" s="243">
        <v>12900</v>
      </c>
      <c r="C39" s="243">
        <v>55600</v>
      </c>
      <c r="D39" s="244">
        <v>23.2</v>
      </c>
      <c r="E39" s="244">
        <v>3.6</v>
      </c>
      <c r="F39" s="243">
        <v>14600</v>
      </c>
      <c r="G39" s="243">
        <v>55500</v>
      </c>
      <c r="H39" s="244">
        <v>26.4</v>
      </c>
      <c r="I39" s="244">
        <v>4.2</v>
      </c>
      <c r="J39" s="243">
        <v>12500</v>
      </c>
      <c r="K39" s="243">
        <v>56800</v>
      </c>
      <c r="L39" s="244">
        <v>22</v>
      </c>
      <c r="M39" s="244">
        <v>4</v>
      </c>
      <c r="N39" s="243">
        <v>14400</v>
      </c>
      <c r="O39" s="243">
        <v>55600</v>
      </c>
      <c r="P39" s="244">
        <v>25.9</v>
      </c>
      <c r="Q39" s="244">
        <v>4.8</v>
      </c>
    </row>
    <row r="40" spans="1:17">
      <c r="A40" s="231" t="s">
        <v>44</v>
      </c>
      <c r="B40" s="243">
        <v>27100</v>
      </c>
      <c r="C40" s="243">
        <v>117600</v>
      </c>
      <c r="D40" s="244">
        <v>23</v>
      </c>
      <c r="E40" s="244">
        <v>3.9</v>
      </c>
      <c r="F40" s="243">
        <v>28000</v>
      </c>
      <c r="G40" s="243">
        <v>116900</v>
      </c>
      <c r="H40" s="244">
        <v>23.9</v>
      </c>
      <c r="I40" s="244">
        <v>4.4000000000000004</v>
      </c>
      <c r="J40" s="243">
        <v>25100</v>
      </c>
      <c r="K40" s="243">
        <v>117100</v>
      </c>
      <c r="L40" s="244">
        <v>21.4</v>
      </c>
      <c r="M40" s="244">
        <v>4</v>
      </c>
      <c r="N40" s="243">
        <v>25900</v>
      </c>
      <c r="O40" s="243">
        <v>117100</v>
      </c>
      <c r="P40" s="244">
        <v>22.1</v>
      </c>
      <c r="Q40" s="244">
        <v>4.8</v>
      </c>
    </row>
    <row r="41" spans="1:17">
      <c r="A41" s="231" t="s">
        <v>45</v>
      </c>
      <c r="B41" s="243">
        <v>797300</v>
      </c>
      <c r="C41" s="243">
        <v>3436800</v>
      </c>
      <c r="D41" s="244">
        <v>23.2</v>
      </c>
      <c r="E41" s="244">
        <v>0.7</v>
      </c>
      <c r="F41" s="243">
        <v>815200</v>
      </c>
      <c r="G41" s="243">
        <v>3427200</v>
      </c>
      <c r="H41" s="244">
        <v>23.8</v>
      </c>
      <c r="I41" s="244">
        <v>0.8</v>
      </c>
      <c r="J41" s="243">
        <v>788500</v>
      </c>
      <c r="K41" s="243">
        <v>3439500</v>
      </c>
      <c r="L41" s="244">
        <v>22.9</v>
      </c>
      <c r="M41" s="244">
        <v>0.8</v>
      </c>
      <c r="N41" s="243">
        <v>777000</v>
      </c>
      <c r="O41" s="243">
        <v>3454000</v>
      </c>
      <c r="P41" s="244">
        <v>22.5</v>
      </c>
      <c r="Q41" s="244">
        <v>0.9</v>
      </c>
    </row>
    <row r="42" spans="1:17">
      <c r="A42" s="231" t="s">
        <v>46</v>
      </c>
      <c r="B42" s="243">
        <v>8756500</v>
      </c>
      <c r="C42" s="243">
        <v>41369600</v>
      </c>
      <c r="D42" s="244">
        <v>21.2</v>
      </c>
      <c r="E42" s="244">
        <v>0.2</v>
      </c>
      <c r="F42" s="243">
        <v>8990700</v>
      </c>
      <c r="G42" s="243">
        <v>41368300</v>
      </c>
      <c r="H42" s="244">
        <v>21.7</v>
      </c>
      <c r="I42" s="244">
        <v>0.2</v>
      </c>
      <c r="J42" s="243">
        <v>9001600</v>
      </c>
      <c r="K42" s="243">
        <v>41514600</v>
      </c>
      <c r="L42" s="244">
        <v>21.7</v>
      </c>
      <c r="M42" s="244">
        <v>0.3</v>
      </c>
      <c r="N42" s="243">
        <v>8887200</v>
      </c>
      <c r="O42" s="243">
        <v>41678800</v>
      </c>
      <c r="P42" s="244">
        <v>21.3</v>
      </c>
      <c r="Q42" s="244">
        <v>0.3</v>
      </c>
    </row>
    <row r="43" spans="1:17">
      <c r="A43" s="231" t="s">
        <v>47</v>
      </c>
      <c r="B43" s="243">
        <v>288300</v>
      </c>
      <c r="C43" s="243">
        <v>1187900</v>
      </c>
      <c r="D43" s="244">
        <v>24.3</v>
      </c>
      <c r="E43" s="244">
        <v>1.3</v>
      </c>
      <c r="F43" s="243">
        <v>301400</v>
      </c>
      <c r="G43" s="243">
        <v>1186000</v>
      </c>
      <c r="H43" s="244">
        <v>25.4</v>
      </c>
      <c r="I43" s="244">
        <v>1.4</v>
      </c>
      <c r="J43" s="243">
        <v>287700</v>
      </c>
      <c r="K43" s="243">
        <v>1184900</v>
      </c>
      <c r="L43" s="244">
        <v>24.3</v>
      </c>
      <c r="M43" s="244">
        <v>1.5</v>
      </c>
      <c r="N43" s="243">
        <v>293300</v>
      </c>
      <c r="O43" s="243">
        <v>1187400</v>
      </c>
      <c r="P43" s="244">
        <v>24.7</v>
      </c>
      <c r="Q43" s="244">
        <v>1.8</v>
      </c>
    </row>
    <row r="44" spans="1:17">
      <c r="A44" s="6" t="s">
        <v>543</v>
      </c>
      <c r="B44" s="385" cm="1">
        <f t="array" ref="B44">SUM(SUMIFS(B$9:B$41,$A$9:$A$41,{"Na h-Eileanan Siar","Argyll and Bute","Shetland Islands","Highland","Orkney Islands","Scottish Borders","Dumfries and Galloway","Aberdeenshire"}))</f>
        <v>114200</v>
      </c>
      <c r="C44" s="385">
        <f>SUM(SUMIFS(C$9:C$41,$A$9:$A$41,{"Na h-Eileanan Siar","Argyll and Bute","Shetland Islands","Highland","Orkney Islands","Scottish Borders","Dumfries and Galloway","Aberdeenshire"}))</f>
        <v>548800</v>
      </c>
      <c r="D44" s="389">
        <f>SUM(B44/C44)*100</f>
        <v>20.809037900874635</v>
      </c>
      <c r="E44" s="9"/>
      <c r="F44" s="385">
        <f>SUM(SUMIFS(F$9:F$41,$A$9:$A$41,{"Na h-Eileanan Siar","Argyll and Bute","Shetland Islands","Highland","Orkney Islands","Scottish Borders","Dumfries and Galloway","Aberdeenshire"}))</f>
        <v>132800</v>
      </c>
      <c r="G44" s="385">
        <f>SUM(SUMIFS(G$9:G$41,$A$9:$A$41,{"Na h-Eileanan Siar","Argyll and Bute","Shetland Islands","Highland","Orkney Islands","Scottish Borders","Dumfries and Galloway","Aberdeenshire"}))</f>
        <v>549200</v>
      </c>
      <c r="H44" s="389">
        <f>SUM(F44/G44)*100</f>
        <v>24.180626365622722</v>
      </c>
      <c r="I44" s="9"/>
      <c r="J44" s="385">
        <f>SUM(SUMIFS(J$9:J$41,$A$9:$A$41,{"Na h-Eileanan Siar","Argyll and Bute","Shetland Islands","Highland","Orkney Islands","Scottish Borders","Dumfries and Galloway","Aberdeenshire"}))</f>
        <v>120100</v>
      </c>
      <c r="K44" s="385">
        <f>SUM(SUMIFS(K$9:K$41,$A$9:$A$41,{"Na h-Eileanan Siar","Argyll and Bute","Shetland Islands","Highland","Orkney Islands","Scottish Borders","Dumfries and Galloway","Aberdeenshire"}))</f>
        <v>550300</v>
      </c>
      <c r="L44" s="389">
        <f>SUM(J44/K44)*100</f>
        <v>21.82445938578957</v>
      </c>
      <c r="M44" s="9"/>
      <c r="N44" s="385">
        <f>SUM(SUMIFS(N$9:N$41,$A$9:$A$41,{"Na h-Eileanan Siar","Argyll and Bute","Shetland Islands","Highland","Orkney Islands","Scottish Borders","Dumfries and Galloway","Aberdeenshire"}))</f>
        <v>116800</v>
      </c>
      <c r="O44" s="385">
        <f>SUM(SUMIFS(O$9:O$41,$A$9:$A$41,{"Na h-Eileanan Siar","Argyll and Bute","Shetland Islands","Highland","Orkney Islands","Scottish Borders","Dumfries and Galloway","Aberdeenshire"}))</f>
        <v>558300</v>
      </c>
      <c r="P44" s="389">
        <f>SUM(N44/O44)*100</f>
        <v>20.92065197922264</v>
      </c>
      <c r="Q44" s="9"/>
    </row>
    <row r="45" spans="1:17">
      <c r="A45" s="6" t="s">
        <v>544</v>
      </c>
      <c r="B45" s="385">
        <f>SUM(SUMIFS(B$9:B$41,$A$9:$A$41,{"Perth and Kinross","Stirling","Moray","South Ayrshire","East Ayrshire","East Lothian","North Ayrshire","Fife"}))</f>
        <v>171200</v>
      </c>
      <c r="C45" s="385">
        <f>SUM(SUMIFS(C$9:C$41,$A$9:$A$41,{"Perth and Kinross","Stirling","Moray","South Ayrshire","East Ayrshire","East Lothian","North Ayrshire","Fife"}))</f>
        <v>716300</v>
      </c>
      <c r="D45" s="389">
        <f>SUM(B45/C45)*100</f>
        <v>23.900600307133882</v>
      </c>
      <c r="E45" s="9"/>
      <c r="F45" s="385">
        <f>SUM(SUMIFS(F$9:F$41,$A$9:$A$41,{"Perth and Kinross","Stirling","Moray","South Ayrshire","East Ayrshire","East Lothian","North Ayrshire","Fife"}))</f>
        <v>173400</v>
      </c>
      <c r="G45" s="385">
        <f>SUM(SUMIFS(G$9:G$41,$A$9:$A$41,{"Perth and Kinross","Stirling","Moray","South Ayrshire","East Ayrshire","East Lothian","North Ayrshire","Fife"}))</f>
        <v>714300</v>
      </c>
      <c r="H45" s="389">
        <f>SUM(F45/G45)*100</f>
        <v>24.275514489710208</v>
      </c>
      <c r="I45" s="9"/>
      <c r="J45" s="385">
        <f>SUM(SUMIFS(J$9:J$41,$A$9:$A$41,{"Perth and Kinross","Stirling","Moray","South Ayrshire","East Ayrshire","East Lothian","North Ayrshire","Fife"}))</f>
        <v>165100</v>
      </c>
      <c r="K45" s="385">
        <f>SUM(SUMIFS(K$9:K$41,$A$9:$A$41,{"Perth and Kinross","Stirling","Moray","South Ayrshire","East Ayrshire","East Lothian","North Ayrshire","Fife"}))</f>
        <v>716500</v>
      </c>
      <c r="L45" s="389">
        <f>SUM(J45/K45)*100</f>
        <v>23.042568039078855</v>
      </c>
      <c r="M45" s="9"/>
      <c r="N45" s="385">
        <f>SUM(SUMIFS(N$9:N$41,$A$9:$A$41,{"Perth and Kinross","Stirling","Moray","South Ayrshire","East Ayrshire","East Lothian","North Ayrshire","Fife"}))</f>
        <v>167700</v>
      </c>
      <c r="O45" s="385">
        <f>SUM(SUMIFS(O$9:O$41,$A$9:$A$41,{"Perth and Kinross","Stirling","Moray","South Ayrshire","East Ayrshire","East Lothian","North Ayrshire","Fife"}))</f>
        <v>721700</v>
      </c>
      <c r="P45" s="389">
        <f>SUM(N45/O45)*100</f>
        <v>23.2368019952889</v>
      </c>
      <c r="Q45" s="9"/>
    </row>
    <row r="46" spans="1:17">
      <c r="A46" s="6" t="s">
        <v>545</v>
      </c>
      <c r="B46" s="385" cm="1">
        <f t="array" ref="B46">SUM(SUMIFS(B$9:B$41,$A$9:$A$41,{"Angus","Clackmannanshire","Midlothian","South Lanarkshire","Inverclyde","Renfrewshire","West Lothian","East Renfrewshire"}))</f>
        <v>151400</v>
      </c>
      <c r="C46" s="385">
        <f>SUM(SUMIFS(C$9:C$41,$A$9:$A$41,{"Angus","Clackmannanshire","Midlothian","South Lanarkshire","Inverclyde","Renfrewshire","West Lothian","East Renfrewshire"}))</f>
        <v>688300</v>
      </c>
      <c r="D46" s="389">
        <f>SUM(B46/C46)*100</f>
        <v>21.99622257736452</v>
      </c>
      <c r="E46" s="9"/>
      <c r="F46" s="385">
        <f>SUM(SUMIFS(F$9:F$41,$A$9:$A$41,{"Angus","Clackmannanshire","Midlothian","South Lanarkshire","Inverclyde","Renfrewshire","West Lothian","East Renfrewshire"}))</f>
        <v>151100</v>
      </c>
      <c r="G46" s="385">
        <f>SUM(SUMIFS(G$9:G$41,$A$9:$A$41,{"Angus","Clackmannanshire","Midlothian","South Lanarkshire","Inverclyde","Renfrewshire","West Lothian","East Renfrewshire"}))</f>
        <v>688200</v>
      </c>
      <c r="H46" s="389">
        <f>SUM(F46/G46)*100</f>
        <v>21.955826794536474</v>
      </c>
      <c r="I46" s="9"/>
      <c r="J46" s="385">
        <f>SUM(SUMIFS(J$9:J$41,$A$9:$A$41,{"Angus","Clackmannanshire","Midlothian","South Lanarkshire","Inverclyde","Renfrewshire","West Lothian","East Renfrewshire"}))</f>
        <v>147600</v>
      </c>
      <c r="K46" s="385">
        <f>SUM(SUMIFS(K$9:K$41,$A$9:$A$41,{"Angus","Clackmannanshire","Midlothian","South Lanarkshire","Inverclyde","Renfrewshire","West Lothian","East Renfrewshire"}))</f>
        <v>688100</v>
      </c>
      <c r="L46" s="389">
        <f>SUM(J46/K46)*100</f>
        <v>21.450370585670687</v>
      </c>
      <c r="M46" s="9"/>
      <c r="N46" s="385">
        <f>SUM(SUMIFS(N$9:N$41,$A$9:$A$41,{"Angus","Clackmannanshire","Midlothian","South Lanarkshire","Inverclyde","Renfrewshire","West Lothian","East Renfrewshire"}))</f>
        <v>153000</v>
      </c>
      <c r="O46" s="385">
        <f>SUM(SUMIFS(O$9:O$41,$A$9:$A$41,{"Angus","Clackmannanshire","Midlothian","South Lanarkshire","Inverclyde","Renfrewshire","West Lothian","East Renfrewshire"}))</f>
        <v>690700</v>
      </c>
      <c r="P46" s="389">
        <f>SUM(N46/O46)*100</f>
        <v>22.151440567540178</v>
      </c>
      <c r="Q46" s="9"/>
    </row>
    <row r="47" spans="1:17">
      <c r="A47" s="6" t="s">
        <v>546</v>
      </c>
      <c r="B47" s="385">
        <f>SUM(SUMIFS(B$9:B$41,$A$9:$A$41,{"North Lanarkshire","Falkirk","East Dunbartonshire","Aberdeen City","Edinburgh, City of","West Dunbartonshire","Dundee City","Glasgow City"}))</f>
        <v>360500</v>
      </c>
      <c r="C47" s="385">
        <f>SUM(SUMIFS(C$9:C$41,$A$9:$A$41,{"North Lanarkshire","Falkirk","East Dunbartonshire","Aberdeen City","Edinburgh, City of","West Dunbartonshire","Dundee City","Glasgow City"}))</f>
        <v>1483400</v>
      </c>
      <c r="D47" s="389">
        <f>SUM(B47/C47)*100</f>
        <v>24.302278549278682</v>
      </c>
      <c r="E47" s="9"/>
      <c r="F47" s="385">
        <f>SUM(SUMIFS(F$9:F$41,$A$9:$A$41,{"North Lanarkshire","Falkirk","East Dunbartonshire","Aberdeen City","Edinburgh, City of","West Dunbartonshire","Dundee City","Glasgow City"}))</f>
        <v>358000</v>
      </c>
      <c r="G47" s="385">
        <f>SUM(SUMIFS(G$9:G$41,$A$9:$A$41,{"North Lanarkshire","Falkirk","East Dunbartonshire","Aberdeen City","Edinburgh, City of","West Dunbartonshire","Dundee City","Glasgow City"}))</f>
        <v>1475500</v>
      </c>
      <c r="H47" s="389">
        <f>SUM(F47/G47)*100</f>
        <v>24.262961707895627</v>
      </c>
      <c r="I47" s="9"/>
      <c r="J47" s="385">
        <f>SUM(SUMIFS(J$9:J$41,$A$9:$A$41,{"North Lanarkshire","Falkirk","East Dunbartonshire","Aberdeen City","Edinburgh, City of","West Dunbartonshire","Dundee City","Glasgow City"}))</f>
        <v>355900</v>
      </c>
      <c r="K47" s="385">
        <f>SUM(SUMIFS(K$9:K$41,$A$9:$A$41,{"North Lanarkshire","Falkirk","East Dunbartonshire","Aberdeen City","Edinburgh, City of","West Dunbartonshire","Dundee City","Glasgow City"}))</f>
        <v>1484700</v>
      </c>
      <c r="L47" s="389">
        <f>SUM(J47/K47)*100</f>
        <v>23.971172627466828</v>
      </c>
      <c r="M47" s="9"/>
      <c r="N47" s="385">
        <f>SUM(SUMIFS(N$9:N$41,$A$9:$A$41,{"North Lanarkshire","Falkirk","East Dunbartonshire","Aberdeen City","Edinburgh, City of","West Dunbartonshire","Dundee City","Glasgow City"}))</f>
        <v>339300</v>
      </c>
      <c r="O47" s="385">
        <f>SUM(SUMIFS(O$9:O$41,$A$9:$A$41,{"North Lanarkshire","Falkirk","East Dunbartonshire","Aberdeen City","Edinburgh, City of","West Dunbartonshire","Dundee City","Glasgow City"}))</f>
        <v>1483300</v>
      </c>
      <c r="P47" s="389">
        <f>SUM(N47/O47)*100</f>
        <v>22.874671340929009</v>
      </c>
      <c r="Q47" s="9"/>
    </row>
    <row r="49" spans="1:1">
      <c r="A49" s="230" t="s">
        <v>12</v>
      </c>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autoPageBreaks="0"/>
  </sheetPr>
  <dimension ref="A1:Q47"/>
  <sheetViews>
    <sheetView zoomScale="60" zoomScaleNormal="60" workbookViewId="0">
      <selection activeCell="G2" sqref="G2:H2"/>
    </sheetView>
  </sheetViews>
  <sheetFormatPr defaultColWidth="8.7265625" defaultRowHeight="14.5"/>
  <cols>
    <col min="1" max="1" width="25" customWidth="1" collapsed="1"/>
    <col min="2" max="17" width="14" customWidth="1" collapsed="1"/>
  </cols>
  <sheetData>
    <row r="1" spans="1:17" ht="15.5">
      <c r="A1" s="421" t="s">
        <v>0</v>
      </c>
    </row>
    <row r="2" spans="1:17">
      <c r="A2" s="422" t="s">
        <v>708</v>
      </c>
    </row>
    <row r="4" spans="1:17">
      <c r="A4" s="423" t="s">
        <v>1</v>
      </c>
      <c r="B4" s="423" t="s">
        <v>2</v>
      </c>
    </row>
    <row r="5" spans="1:17">
      <c r="A5" s="423" t="s">
        <v>3</v>
      </c>
      <c r="B5" s="423" t="s">
        <v>61</v>
      </c>
    </row>
    <row r="7" spans="1:17" ht="22" customHeight="1">
      <c r="A7" s="424" t="s">
        <v>709</v>
      </c>
      <c r="B7" s="603" t="s">
        <v>525</v>
      </c>
      <c r="C7" s="604"/>
      <c r="D7" s="604"/>
      <c r="E7" s="604"/>
      <c r="F7" s="603" t="s">
        <v>598</v>
      </c>
      <c r="G7" s="604"/>
      <c r="H7" s="604"/>
      <c r="I7" s="604"/>
      <c r="J7" s="603" t="s">
        <v>705</v>
      </c>
      <c r="K7" s="604"/>
      <c r="L7" s="604"/>
      <c r="M7" s="604"/>
      <c r="N7" s="603" t="s">
        <v>754</v>
      </c>
      <c r="O7" s="604"/>
      <c r="P7" s="604"/>
      <c r="Q7" s="604"/>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423" t="s">
        <v>14</v>
      </c>
      <c r="B9" s="243">
        <v>112300</v>
      </c>
      <c r="C9" s="243">
        <v>156800</v>
      </c>
      <c r="D9" s="244">
        <v>71.599999999999994</v>
      </c>
      <c r="E9" s="244">
        <v>4.3</v>
      </c>
      <c r="F9" s="243">
        <v>118900</v>
      </c>
      <c r="G9" s="243">
        <v>154600</v>
      </c>
      <c r="H9" s="244">
        <v>76.900000000000006</v>
      </c>
      <c r="I9" s="244">
        <v>4</v>
      </c>
      <c r="J9" s="243">
        <v>112800</v>
      </c>
      <c r="K9" s="243">
        <v>158300</v>
      </c>
      <c r="L9" s="244">
        <v>71.2</v>
      </c>
      <c r="M9" s="244">
        <v>4.5999999999999996</v>
      </c>
      <c r="N9" s="243">
        <v>118000</v>
      </c>
      <c r="O9" s="243">
        <v>157800</v>
      </c>
      <c r="P9" s="244">
        <v>74.7</v>
      </c>
      <c r="Q9" s="244">
        <v>4.9000000000000004</v>
      </c>
    </row>
    <row r="10" spans="1:17">
      <c r="A10" s="423" t="s">
        <v>15</v>
      </c>
      <c r="B10" s="243">
        <v>131100</v>
      </c>
      <c r="C10" s="243">
        <v>164700</v>
      </c>
      <c r="D10" s="244">
        <v>79.599999999999994</v>
      </c>
      <c r="E10" s="244">
        <v>3.6</v>
      </c>
      <c r="F10" s="243">
        <v>122900</v>
      </c>
      <c r="G10" s="243">
        <v>165900</v>
      </c>
      <c r="H10" s="244">
        <v>74.099999999999994</v>
      </c>
      <c r="I10" s="244">
        <v>4</v>
      </c>
      <c r="J10" s="243">
        <v>131200</v>
      </c>
      <c r="K10" s="243">
        <v>168000</v>
      </c>
      <c r="L10" s="244">
        <v>78.099999999999994</v>
      </c>
      <c r="M10" s="244">
        <v>4.0999999999999996</v>
      </c>
      <c r="N10" s="243">
        <v>143500</v>
      </c>
      <c r="O10" s="243">
        <v>170600</v>
      </c>
      <c r="P10" s="244">
        <v>84.1</v>
      </c>
      <c r="Q10" s="244">
        <v>4.5</v>
      </c>
    </row>
    <row r="11" spans="1:17">
      <c r="A11" s="423" t="s">
        <v>16</v>
      </c>
      <c r="B11" s="243">
        <v>49800</v>
      </c>
      <c r="C11" s="243">
        <v>68900</v>
      </c>
      <c r="D11" s="244">
        <v>72.3</v>
      </c>
      <c r="E11" s="244">
        <v>3.7</v>
      </c>
      <c r="F11" s="243">
        <v>51800</v>
      </c>
      <c r="G11" s="243">
        <v>69700</v>
      </c>
      <c r="H11" s="244">
        <v>74.3</v>
      </c>
      <c r="I11" s="244">
        <v>4.2</v>
      </c>
      <c r="J11" s="243">
        <v>51700</v>
      </c>
      <c r="K11" s="243">
        <v>69300</v>
      </c>
      <c r="L11" s="244">
        <v>74.599999999999994</v>
      </c>
      <c r="M11" s="244">
        <v>4.2</v>
      </c>
      <c r="N11" s="243">
        <v>50000</v>
      </c>
      <c r="O11" s="243">
        <v>69800</v>
      </c>
      <c r="P11" s="244">
        <v>71.599999999999994</v>
      </c>
      <c r="Q11" s="244">
        <v>5.9</v>
      </c>
    </row>
    <row r="12" spans="1:17">
      <c r="A12" s="423" t="s">
        <v>17</v>
      </c>
      <c r="B12" s="243">
        <v>36700</v>
      </c>
      <c r="C12" s="243">
        <v>48500</v>
      </c>
      <c r="D12" s="244">
        <v>75.599999999999994</v>
      </c>
      <c r="E12" s="244">
        <v>3.8</v>
      </c>
      <c r="F12" s="243">
        <v>35900</v>
      </c>
      <c r="G12" s="243">
        <v>48200</v>
      </c>
      <c r="H12" s="244">
        <v>74.5</v>
      </c>
      <c r="I12" s="244">
        <v>4.4000000000000004</v>
      </c>
      <c r="J12" s="243">
        <v>36500</v>
      </c>
      <c r="K12" s="243">
        <v>48800</v>
      </c>
      <c r="L12" s="244">
        <v>74.7</v>
      </c>
      <c r="M12" s="244">
        <v>5</v>
      </c>
      <c r="N12" s="243">
        <v>33100</v>
      </c>
      <c r="O12" s="243">
        <v>48900</v>
      </c>
      <c r="P12" s="244">
        <v>67.8</v>
      </c>
      <c r="Q12" s="244">
        <v>6.9</v>
      </c>
    </row>
    <row r="13" spans="1:17">
      <c r="A13" s="423" t="s">
        <v>586</v>
      </c>
      <c r="B13" s="243">
        <v>265600</v>
      </c>
      <c r="C13" s="243">
        <v>358300</v>
      </c>
      <c r="D13" s="244">
        <v>74.099999999999994</v>
      </c>
      <c r="E13" s="244">
        <v>3.4</v>
      </c>
      <c r="F13" s="243">
        <v>276600</v>
      </c>
      <c r="G13" s="243">
        <v>352500</v>
      </c>
      <c r="H13" s="244">
        <v>78.5</v>
      </c>
      <c r="I13" s="244">
        <v>3.3</v>
      </c>
      <c r="J13" s="243">
        <v>283400</v>
      </c>
      <c r="K13" s="243">
        <v>357700</v>
      </c>
      <c r="L13" s="244">
        <v>79.2</v>
      </c>
      <c r="M13" s="244">
        <v>3.6</v>
      </c>
      <c r="N13" s="243">
        <v>292900</v>
      </c>
      <c r="O13" s="243">
        <v>356500</v>
      </c>
      <c r="P13" s="244">
        <v>82.1</v>
      </c>
      <c r="Q13" s="244">
        <v>3.7</v>
      </c>
    </row>
    <row r="14" spans="1:17">
      <c r="A14" s="423" t="s">
        <v>18</v>
      </c>
      <c r="B14" s="243">
        <v>22900</v>
      </c>
      <c r="C14" s="243">
        <v>31400</v>
      </c>
      <c r="D14" s="244">
        <v>72.8</v>
      </c>
      <c r="E14" s="244">
        <v>5.6</v>
      </c>
      <c r="F14" s="243">
        <v>22500</v>
      </c>
      <c r="G14" s="243">
        <v>31100</v>
      </c>
      <c r="H14" s="244">
        <v>72.2</v>
      </c>
      <c r="I14" s="244">
        <v>6.8</v>
      </c>
      <c r="J14" s="243">
        <v>21400</v>
      </c>
      <c r="K14" s="243">
        <v>31800</v>
      </c>
      <c r="L14" s="244">
        <v>67.2</v>
      </c>
      <c r="M14" s="244">
        <v>5.8</v>
      </c>
      <c r="N14" s="243">
        <v>21700</v>
      </c>
      <c r="O14" s="243">
        <v>32200</v>
      </c>
      <c r="P14" s="244">
        <v>67.3</v>
      </c>
      <c r="Q14" s="244">
        <v>6.6</v>
      </c>
    </row>
    <row r="15" spans="1:17">
      <c r="A15" s="423" t="s">
        <v>19</v>
      </c>
      <c r="B15" s="243">
        <v>57800</v>
      </c>
      <c r="C15" s="243">
        <v>84800</v>
      </c>
      <c r="D15" s="244">
        <v>68.099999999999994</v>
      </c>
      <c r="E15" s="244">
        <v>4.4000000000000004</v>
      </c>
      <c r="F15" s="243">
        <v>59800</v>
      </c>
      <c r="G15" s="243">
        <v>84400</v>
      </c>
      <c r="H15" s="244">
        <v>70.900000000000006</v>
      </c>
      <c r="I15" s="244">
        <v>4.3</v>
      </c>
      <c r="J15" s="243">
        <v>56900</v>
      </c>
      <c r="K15" s="243">
        <v>84600</v>
      </c>
      <c r="L15" s="244">
        <v>67.3</v>
      </c>
      <c r="M15" s="244">
        <v>4.7</v>
      </c>
      <c r="N15" s="243">
        <v>57700</v>
      </c>
      <c r="O15" s="243">
        <v>85200</v>
      </c>
      <c r="P15" s="244">
        <v>67.8</v>
      </c>
      <c r="Q15" s="244">
        <v>6.6</v>
      </c>
    </row>
    <row r="16" spans="1:17">
      <c r="A16" s="423" t="s">
        <v>20</v>
      </c>
      <c r="B16" s="243">
        <v>67300</v>
      </c>
      <c r="C16" s="243">
        <v>93700</v>
      </c>
      <c r="D16" s="244">
        <v>71.8</v>
      </c>
      <c r="E16" s="244">
        <v>3.8</v>
      </c>
      <c r="F16" s="243">
        <v>67100</v>
      </c>
      <c r="G16" s="243">
        <v>94600</v>
      </c>
      <c r="H16" s="244">
        <v>71</v>
      </c>
      <c r="I16" s="244">
        <v>4.4000000000000004</v>
      </c>
      <c r="J16" s="243">
        <v>65300</v>
      </c>
      <c r="K16" s="243">
        <v>94900</v>
      </c>
      <c r="L16" s="244">
        <v>68.8</v>
      </c>
      <c r="M16" s="244">
        <v>4.5</v>
      </c>
      <c r="N16" s="243">
        <v>61100</v>
      </c>
      <c r="O16" s="243">
        <v>95900</v>
      </c>
      <c r="P16" s="244">
        <v>63.7</v>
      </c>
      <c r="Q16" s="244">
        <v>5.4</v>
      </c>
    </row>
    <row r="17" spans="1:17">
      <c r="A17" s="423" t="s">
        <v>21</v>
      </c>
      <c r="B17" s="243">
        <v>52900</v>
      </c>
      <c r="C17" s="243">
        <v>72400</v>
      </c>
      <c r="D17" s="244">
        <v>73.099999999999994</v>
      </c>
      <c r="E17" s="244">
        <v>4.0999999999999996</v>
      </c>
      <c r="F17" s="243">
        <v>55600</v>
      </c>
      <c r="G17" s="243">
        <v>73800</v>
      </c>
      <c r="H17" s="244">
        <v>75.3</v>
      </c>
      <c r="I17" s="244">
        <v>4.3</v>
      </c>
      <c r="J17" s="243">
        <v>52900</v>
      </c>
      <c r="K17" s="243">
        <v>74200</v>
      </c>
      <c r="L17" s="244">
        <v>71.3</v>
      </c>
      <c r="M17" s="244">
        <v>4.5</v>
      </c>
      <c r="N17" s="243">
        <v>52500</v>
      </c>
      <c r="O17" s="243">
        <v>73700</v>
      </c>
      <c r="P17" s="244">
        <v>71.2</v>
      </c>
      <c r="Q17" s="244">
        <v>5.7</v>
      </c>
    </row>
    <row r="18" spans="1:17">
      <c r="A18" s="423" t="s">
        <v>22</v>
      </c>
      <c r="B18" s="243">
        <v>48800</v>
      </c>
      <c r="C18" s="243">
        <v>64400</v>
      </c>
      <c r="D18" s="244">
        <v>75.900000000000006</v>
      </c>
      <c r="E18" s="244">
        <v>3.3</v>
      </c>
      <c r="F18" s="243">
        <v>46900</v>
      </c>
      <c r="G18" s="243">
        <v>64700</v>
      </c>
      <c r="H18" s="244">
        <v>72.400000000000006</v>
      </c>
      <c r="I18" s="244">
        <v>3.9</v>
      </c>
      <c r="J18" s="243">
        <v>48900</v>
      </c>
      <c r="K18" s="243">
        <v>64200</v>
      </c>
      <c r="L18" s="244">
        <v>76.3</v>
      </c>
      <c r="M18" s="244">
        <v>3.7</v>
      </c>
      <c r="N18" s="243">
        <v>46500</v>
      </c>
      <c r="O18" s="243">
        <v>63300</v>
      </c>
      <c r="P18" s="244">
        <v>73.5</v>
      </c>
      <c r="Q18" s="244">
        <v>4.7</v>
      </c>
    </row>
    <row r="19" spans="1:17">
      <c r="A19" s="423" t="s">
        <v>23</v>
      </c>
      <c r="B19" s="243">
        <v>48100</v>
      </c>
      <c r="C19" s="243">
        <v>63900</v>
      </c>
      <c r="D19" s="244">
        <v>75.3</v>
      </c>
      <c r="E19" s="244">
        <v>4.2</v>
      </c>
      <c r="F19" s="243">
        <v>51500</v>
      </c>
      <c r="G19" s="243">
        <v>64800</v>
      </c>
      <c r="H19" s="244">
        <v>79.5</v>
      </c>
      <c r="I19" s="244">
        <v>4.5</v>
      </c>
      <c r="J19" s="243">
        <v>49300</v>
      </c>
      <c r="K19" s="243">
        <v>64600</v>
      </c>
      <c r="L19" s="244">
        <v>76.2</v>
      </c>
      <c r="M19" s="244">
        <v>4.7</v>
      </c>
      <c r="N19" s="243">
        <v>51800</v>
      </c>
      <c r="O19" s="243">
        <v>65800</v>
      </c>
      <c r="P19" s="244">
        <v>78.599999999999994</v>
      </c>
      <c r="Q19" s="244">
        <v>5.4</v>
      </c>
    </row>
    <row r="20" spans="1:17">
      <c r="A20" s="423" t="s">
        <v>24</v>
      </c>
      <c r="B20" s="243">
        <v>42400</v>
      </c>
      <c r="C20" s="243">
        <v>57600</v>
      </c>
      <c r="D20" s="244">
        <v>73.599999999999994</v>
      </c>
      <c r="E20" s="244">
        <v>4.0999999999999996</v>
      </c>
      <c r="F20" s="243">
        <v>39400</v>
      </c>
      <c r="G20" s="243">
        <v>56500</v>
      </c>
      <c r="H20" s="244">
        <v>69.8</v>
      </c>
      <c r="I20" s="244">
        <v>4.5999999999999996</v>
      </c>
      <c r="J20" s="243">
        <v>43600</v>
      </c>
      <c r="K20" s="243">
        <v>56700</v>
      </c>
      <c r="L20" s="244">
        <v>76.900000000000006</v>
      </c>
      <c r="M20" s="244">
        <v>4.7</v>
      </c>
      <c r="N20" s="243">
        <v>43000</v>
      </c>
      <c r="O20" s="243">
        <v>55500</v>
      </c>
      <c r="P20" s="244">
        <v>77.5</v>
      </c>
      <c r="Q20" s="244">
        <v>5.7</v>
      </c>
    </row>
    <row r="21" spans="1:17">
      <c r="A21" s="423" t="s">
        <v>25</v>
      </c>
      <c r="B21" s="243">
        <v>76300</v>
      </c>
      <c r="C21" s="243">
        <v>101500</v>
      </c>
      <c r="D21" s="244">
        <v>75.099999999999994</v>
      </c>
      <c r="E21" s="244">
        <v>4.0999999999999996</v>
      </c>
      <c r="F21" s="243">
        <v>77500</v>
      </c>
      <c r="G21" s="243">
        <v>101000</v>
      </c>
      <c r="H21" s="244">
        <v>76.7</v>
      </c>
      <c r="I21" s="244">
        <v>4.3</v>
      </c>
      <c r="J21" s="243">
        <v>77300</v>
      </c>
      <c r="K21" s="243">
        <v>101700</v>
      </c>
      <c r="L21" s="244">
        <v>76</v>
      </c>
      <c r="M21" s="244">
        <v>4.3</v>
      </c>
      <c r="N21" s="243">
        <v>73000</v>
      </c>
      <c r="O21" s="243">
        <v>100300</v>
      </c>
      <c r="P21" s="244">
        <v>72.8</v>
      </c>
      <c r="Q21" s="244">
        <v>5.0999999999999996</v>
      </c>
    </row>
    <row r="22" spans="1:17">
      <c r="A22" s="423" t="s">
        <v>26</v>
      </c>
      <c r="B22" s="243">
        <v>161300</v>
      </c>
      <c r="C22" s="243">
        <v>228900</v>
      </c>
      <c r="D22" s="244">
        <v>70.5</v>
      </c>
      <c r="E22" s="244">
        <v>3.6</v>
      </c>
      <c r="F22" s="243">
        <v>153200</v>
      </c>
      <c r="G22" s="243">
        <v>223900</v>
      </c>
      <c r="H22" s="244">
        <v>68.400000000000006</v>
      </c>
      <c r="I22" s="244">
        <v>3.9</v>
      </c>
      <c r="J22" s="243">
        <v>169100</v>
      </c>
      <c r="K22" s="243">
        <v>226300</v>
      </c>
      <c r="L22" s="244">
        <v>74.7</v>
      </c>
      <c r="M22" s="244">
        <v>3.7</v>
      </c>
      <c r="N22" s="243">
        <v>169600</v>
      </c>
      <c r="O22" s="243">
        <v>224600</v>
      </c>
      <c r="P22" s="244">
        <v>75.5</v>
      </c>
      <c r="Q22" s="244">
        <v>3.9</v>
      </c>
    </row>
    <row r="23" spans="1:17">
      <c r="A23" s="423" t="s">
        <v>27</v>
      </c>
      <c r="B23" s="243">
        <v>304800</v>
      </c>
      <c r="C23" s="243">
        <v>436800</v>
      </c>
      <c r="D23" s="244">
        <v>69.8</v>
      </c>
      <c r="E23" s="244">
        <v>3.6</v>
      </c>
      <c r="F23" s="243">
        <v>303600</v>
      </c>
      <c r="G23" s="243">
        <v>435400</v>
      </c>
      <c r="H23" s="244">
        <v>69.7</v>
      </c>
      <c r="I23" s="244">
        <v>3.5</v>
      </c>
      <c r="J23" s="243">
        <v>311100</v>
      </c>
      <c r="K23" s="243">
        <v>431300</v>
      </c>
      <c r="L23" s="244">
        <v>72.099999999999994</v>
      </c>
      <c r="M23" s="244">
        <v>3.6</v>
      </c>
      <c r="N23" s="243">
        <v>309000</v>
      </c>
      <c r="O23" s="243">
        <v>434100</v>
      </c>
      <c r="P23" s="244">
        <v>71.2</v>
      </c>
      <c r="Q23" s="244">
        <v>4.5999999999999996</v>
      </c>
    </row>
    <row r="24" spans="1:17">
      <c r="A24" s="423" t="s">
        <v>28</v>
      </c>
      <c r="B24" s="243">
        <v>110700</v>
      </c>
      <c r="C24" s="243">
        <v>142300</v>
      </c>
      <c r="D24" s="244">
        <v>77.8</v>
      </c>
      <c r="E24" s="244">
        <v>4.4000000000000004</v>
      </c>
      <c r="F24" s="243">
        <v>102500</v>
      </c>
      <c r="G24" s="243">
        <v>143000</v>
      </c>
      <c r="H24" s="244">
        <v>71.7</v>
      </c>
      <c r="I24" s="244">
        <v>5.6</v>
      </c>
      <c r="J24" s="243">
        <v>100900</v>
      </c>
      <c r="K24" s="243">
        <v>141200</v>
      </c>
      <c r="L24" s="244">
        <v>71.5</v>
      </c>
      <c r="M24" s="244">
        <v>5.9</v>
      </c>
      <c r="N24" s="243">
        <v>110200</v>
      </c>
      <c r="O24" s="243">
        <v>145000</v>
      </c>
      <c r="P24" s="244">
        <v>76</v>
      </c>
      <c r="Q24" s="244">
        <v>6.3</v>
      </c>
    </row>
    <row r="25" spans="1:17">
      <c r="A25" s="423" t="s">
        <v>29</v>
      </c>
      <c r="B25" s="243">
        <v>32300</v>
      </c>
      <c r="C25" s="243">
        <v>47400</v>
      </c>
      <c r="D25" s="244">
        <v>68.2</v>
      </c>
      <c r="E25" s="244">
        <v>4.4000000000000004</v>
      </c>
      <c r="F25" s="243">
        <v>35300</v>
      </c>
      <c r="G25" s="243">
        <v>46900</v>
      </c>
      <c r="H25" s="244">
        <v>75.099999999999994</v>
      </c>
      <c r="I25" s="244">
        <v>4.5</v>
      </c>
      <c r="J25" s="243">
        <v>35600</v>
      </c>
      <c r="K25" s="243">
        <v>46600</v>
      </c>
      <c r="L25" s="244">
        <v>76.3</v>
      </c>
      <c r="M25" s="244">
        <v>4.9000000000000004</v>
      </c>
      <c r="N25" s="243">
        <v>32300</v>
      </c>
      <c r="O25" s="243">
        <v>47200</v>
      </c>
      <c r="P25" s="244">
        <v>68.400000000000006</v>
      </c>
      <c r="Q25" s="244">
        <v>6.8</v>
      </c>
    </row>
    <row r="26" spans="1:17">
      <c r="A26" s="423" t="s">
        <v>30</v>
      </c>
      <c r="B26" s="243">
        <v>42900</v>
      </c>
      <c r="C26" s="243">
        <v>55700</v>
      </c>
      <c r="D26" s="244">
        <v>77.099999999999994</v>
      </c>
      <c r="E26" s="244">
        <v>4.4000000000000004</v>
      </c>
      <c r="F26" s="243">
        <v>46400</v>
      </c>
      <c r="G26" s="243">
        <v>57400</v>
      </c>
      <c r="H26" s="244">
        <v>80.900000000000006</v>
      </c>
      <c r="I26" s="244">
        <v>4.4000000000000004</v>
      </c>
      <c r="J26" s="243">
        <v>45200</v>
      </c>
      <c r="K26" s="243">
        <v>57000</v>
      </c>
      <c r="L26" s="244">
        <v>79.400000000000006</v>
      </c>
      <c r="M26" s="244">
        <v>5.0999999999999996</v>
      </c>
      <c r="N26" s="243">
        <v>48600</v>
      </c>
      <c r="O26" s="243">
        <v>57000</v>
      </c>
      <c r="P26" s="244">
        <v>85.3</v>
      </c>
      <c r="Q26" s="244">
        <v>5.3</v>
      </c>
    </row>
    <row r="27" spans="1:17">
      <c r="A27" s="423" t="s">
        <v>31</v>
      </c>
      <c r="B27" s="243">
        <v>44500</v>
      </c>
      <c r="C27" s="243">
        <v>59200</v>
      </c>
      <c r="D27" s="244">
        <v>75.099999999999994</v>
      </c>
      <c r="E27" s="244">
        <v>4.0999999999999996</v>
      </c>
      <c r="F27" s="243">
        <v>43600</v>
      </c>
      <c r="G27" s="243">
        <v>59900</v>
      </c>
      <c r="H27" s="244">
        <v>72.8</v>
      </c>
      <c r="I27" s="244">
        <v>4.5999999999999996</v>
      </c>
      <c r="J27" s="243">
        <v>45800</v>
      </c>
      <c r="K27" s="243">
        <v>59800</v>
      </c>
      <c r="L27" s="244">
        <v>76.599999999999994</v>
      </c>
      <c r="M27" s="244">
        <v>4.4000000000000004</v>
      </c>
      <c r="N27" s="243">
        <v>43500</v>
      </c>
      <c r="O27" s="243">
        <v>60500</v>
      </c>
      <c r="P27" s="244">
        <v>71.900000000000006</v>
      </c>
      <c r="Q27" s="244">
        <v>5.7</v>
      </c>
    </row>
    <row r="28" spans="1:17">
      <c r="A28" s="423" t="s">
        <v>32</v>
      </c>
      <c r="B28" s="243">
        <v>12200</v>
      </c>
      <c r="C28" s="243">
        <v>15100</v>
      </c>
      <c r="D28" s="244">
        <v>81</v>
      </c>
      <c r="E28" s="244">
        <v>4.7</v>
      </c>
      <c r="F28" s="243">
        <v>12200</v>
      </c>
      <c r="G28" s="243">
        <v>15100</v>
      </c>
      <c r="H28" s="244">
        <v>80.5</v>
      </c>
      <c r="I28" s="244">
        <v>5.9</v>
      </c>
      <c r="J28" s="243">
        <v>12700</v>
      </c>
      <c r="K28" s="243">
        <v>15100</v>
      </c>
      <c r="L28" s="244">
        <v>84.1</v>
      </c>
      <c r="M28" s="244">
        <v>6.2</v>
      </c>
      <c r="N28" s="243">
        <v>12000</v>
      </c>
      <c r="O28" s="243">
        <v>15400</v>
      </c>
      <c r="P28" s="244">
        <v>77.8</v>
      </c>
      <c r="Q28" s="244">
        <v>8.9</v>
      </c>
    </row>
    <row r="29" spans="1:17">
      <c r="A29" s="423" t="s">
        <v>33</v>
      </c>
      <c r="B29" s="243">
        <v>53100</v>
      </c>
      <c r="C29" s="243">
        <v>78400</v>
      </c>
      <c r="D29" s="244">
        <v>67.7</v>
      </c>
      <c r="E29" s="244">
        <v>4.5999999999999996</v>
      </c>
      <c r="F29" s="243">
        <v>50900</v>
      </c>
      <c r="G29" s="243">
        <v>78700</v>
      </c>
      <c r="H29" s="244">
        <v>64.7</v>
      </c>
      <c r="I29" s="244">
        <v>4.7</v>
      </c>
      <c r="J29" s="243">
        <v>58600</v>
      </c>
      <c r="K29" s="243">
        <v>79600</v>
      </c>
      <c r="L29" s="244">
        <v>73.599999999999994</v>
      </c>
      <c r="M29" s="244">
        <v>4.3</v>
      </c>
      <c r="N29" s="243">
        <v>56900</v>
      </c>
      <c r="O29" s="243">
        <v>80900</v>
      </c>
      <c r="P29" s="244">
        <v>70.3</v>
      </c>
      <c r="Q29" s="244">
        <v>5.6</v>
      </c>
    </row>
    <row r="30" spans="1:17">
      <c r="A30" s="423" t="s">
        <v>34</v>
      </c>
      <c r="B30" s="243">
        <v>150900</v>
      </c>
      <c r="C30" s="243">
        <v>216300</v>
      </c>
      <c r="D30" s="244">
        <v>69.7</v>
      </c>
      <c r="E30" s="244">
        <v>4.0999999999999996</v>
      </c>
      <c r="F30" s="243">
        <v>148800</v>
      </c>
      <c r="G30" s="243">
        <v>217200</v>
      </c>
      <c r="H30" s="244">
        <v>68.5</v>
      </c>
      <c r="I30" s="244">
        <v>4.4000000000000004</v>
      </c>
      <c r="J30" s="243">
        <v>149400</v>
      </c>
      <c r="K30" s="243">
        <v>219800</v>
      </c>
      <c r="L30" s="244">
        <v>68</v>
      </c>
      <c r="M30" s="244">
        <v>4.7</v>
      </c>
      <c r="N30" s="243">
        <v>154900</v>
      </c>
      <c r="O30" s="243">
        <v>219800</v>
      </c>
      <c r="P30" s="244">
        <v>70.5</v>
      </c>
      <c r="Q30" s="244">
        <v>5.4</v>
      </c>
    </row>
    <row r="31" spans="1:17">
      <c r="A31" s="423" t="s">
        <v>35</v>
      </c>
      <c r="B31" s="243">
        <v>10600</v>
      </c>
      <c r="C31" s="243">
        <v>12700</v>
      </c>
      <c r="D31" s="244">
        <v>83.3</v>
      </c>
      <c r="E31" s="244">
        <v>9.1</v>
      </c>
      <c r="F31" s="243">
        <v>9300</v>
      </c>
      <c r="G31" s="243">
        <v>12700</v>
      </c>
      <c r="H31" s="244">
        <v>72.900000000000006</v>
      </c>
      <c r="I31" s="244">
        <v>14.3</v>
      </c>
      <c r="J31" s="243">
        <v>10600</v>
      </c>
      <c r="K31" s="243">
        <v>12100</v>
      </c>
      <c r="L31" s="244">
        <v>87.5</v>
      </c>
      <c r="M31" s="244">
        <v>11.7</v>
      </c>
      <c r="N31" s="243">
        <v>11500</v>
      </c>
      <c r="O31" s="243">
        <v>13000</v>
      </c>
      <c r="P31" s="244">
        <v>88.3</v>
      </c>
      <c r="Q31" s="244">
        <v>13.1</v>
      </c>
    </row>
    <row r="32" spans="1:17">
      <c r="A32" s="423" t="s">
        <v>36</v>
      </c>
      <c r="B32" s="243">
        <v>68200</v>
      </c>
      <c r="C32" s="243">
        <v>90200</v>
      </c>
      <c r="D32" s="244">
        <v>75.5</v>
      </c>
      <c r="E32" s="244">
        <v>3.7</v>
      </c>
      <c r="F32" s="243">
        <v>69500</v>
      </c>
      <c r="G32" s="243">
        <v>89100</v>
      </c>
      <c r="H32" s="244">
        <v>78</v>
      </c>
      <c r="I32" s="244">
        <v>3.8</v>
      </c>
      <c r="J32" s="243">
        <v>68000</v>
      </c>
      <c r="K32" s="243">
        <v>89400</v>
      </c>
      <c r="L32" s="244">
        <v>76</v>
      </c>
      <c r="M32" s="244">
        <v>4.0999999999999996</v>
      </c>
      <c r="N32" s="243">
        <v>70500</v>
      </c>
      <c r="O32" s="243">
        <v>91700</v>
      </c>
      <c r="P32" s="244">
        <v>76.8</v>
      </c>
      <c r="Q32" s="244">
        <v>4.9000000000000004</v>
      </c>
    </row>
    <row r="33" spans="1:17">
      <c r="A33" s="423" t="s">
        <v>37</v>
      </c>
      <c r="B33" s="243">
        <v>86700</v>
      </c>
      <c r="C33" s="243">
        <v>112500</v>
      </c>
      <c r="D33" s="244">
        <v>77.099999999999994</v>
      </c>
      <c r="E33" s="244">
        <v>4</v>
      </c>
      <c r="F33" s="243">
        <v>84000</v>
      </c>
      <c r="G33" s="243">
        <v>111900</v>
      </c>
      <c r="H33" s="244">
        <v>75.099999999999994</v>
      </c>
      <c r="I33" s="244">
        <v>4.2</v>
      </c>
      <c r="J33" s="243">
        <v>81000</v>
      </c>
      <c r="K33" s="243">
        <v>113600</v>
      </c>
      <c r="L33" s="244">
        <v>71.3</v>
      </c>
      <c r="M33" s="244">
        <v>4.8</v>
      </c>
      <c r="N33" s="243">
        <v>86100</v>
      </c>
      <c r="O33" s="243">
        <v>112100</v>
      </c>
      <c r="P33" s="244">
        <v>76.8</v>
      </c>
      <c r="Q33" s="244">
        <v>5</v>
      </c>
    </row>
    <row r="34" spans="1:17">
      <c r="A34" s="423" t="s">
        <v>38</v>
      </c>
      <c r="B34" s="243">
        <v>52700</v>
      </c>
      <c r="C34" s="243">
        <v>66400</v>
      </c>
      <c r="D34" s="244">
        <v>79.3</v>
      </c>
      <c r="E34" s="244">
        <v>3.9</v>
      </c>
      <c r="F34" s="243">
        <v>45100</v>
      </c>
      <c r="G34" s="243">
        <v>66000</v>
      </c>
      <c r="H34" s="244">
        <v>68.3</v>
      </c>
      <c r="I34" s="244">
        <v>4.8</v>
      </c>
      <c r="J34" s="243">
        <v>52800</v>
      </c>
      <c r="K34" s="243">
        <v>66500</v>
      </c>
      <c r="L34" s="244">
        <v>79.400000000000006</v>
      </c>
      <c r="M34" s="244">
        <v>4.0999999999999996</v>
      </c>
      <c r="N34" s="243">
        <v>49300</v>
      </c>
      <c r="O34" s="243">
        <v>66000</v>
      </c>
      <c r="P34" s="244">
        <v>74.8</v>
      </c>
      <c r="Q34" s="244">
        <v>5.6</v>
      </c>
    </row>
    <row r="35" spans="1:17">
      <c r="A35" s="423" t="s">
        <v>39</v>
      </c>
      <c r="B35" s="243">
        <v>10600</v>
      </c>
      <c r="C35" s="243">
        <v>14300</v>
      </c>
      <c r="D35" s="244">
        <v>74.599999999999994</v>
      </c>
      <c r="E35" s="244">
        <v>11.6</v>
      </c>
      <c r="F35" s="243">
        <v>10200</v>
      </c>
      <c r="G35" s="243">
        <v>13900</v>
      </c>
      <c r="H35" s="244">
        <v>73.7</v>
      </c>
      <c r="I35" s="244">
        <v>14.4</v>
      </c>
      <c r="J35" s="243">
        <v>10600</v>
      </c>
      <c r="K35" s="243">
        <v>14000</v>
      </c>
      <c r="L35" s="244">
        <v>76.099999999999994</v>
      </c>
      <c r="M35" s="244">
        <v>14.3</v>
      </c>
      <c r="N35" s="243">
        <v>12000</v>
      </c>
      <c r="O35" s="243">
        <v>14200</v>
      </c>
      <c r="P35" s="244">
        <v>84.3</v>
      </c>
      <c r="Q35" s="244">
        <v>12.8</v>
      </c>
    </row>
    <row r="36" spans="1:17">
      <c r="A36" s="423" t="s">
        <v>40</v>
      </c>
      <c r="B36" s="243">
        <v>46400</v>
      </c>
      <c r="C36" s="243">
        <v>64700</v>
      </c>
      <c r="D36" s="244">
        <v>71.7</v>
      </c>
      <c r="E36" s="244">
        <v>4.3</v>
      </c>
      <c r="F36" s="243">
        <v>44700</v>
      </c>
      <c r="G36" s="243">
        <v>65400</v>
      </c>
      <c r="H36" s="244">
        <v>68.3</v>
      </c>
      <c r="I36" s="244">
        <v>4.8</v>
      </c>
      <c r="J36" s="243">
        <v>43200</v>
      </c>
      <c r="K36" s="243">
        <v>64100</v>
      </c>
      <c r="L36" s="244">
        <v>67.400000000000006</v>
      </c>
      <c r="M36" s="244">
        <v>5</v>
      </c>
      <c r="N36" s="243">
        <v>42200</v>
      </c>
      <c r="O36" s="243">
        <v>64800</v>
      </c>
      <c r="P36" s="244">
        <v>65.2</v>
      </c>
      <c r="Q36" s="244">
        <v>6.2</v>
      </c>
    </row>
    <row r="37" spans="1:17">
      <c r="A37" s="423" t="s">
        <v>41</v>
      </c>
      <c r="B37" s="243">
        <v>151600</v>
      </c>
      <c r="C37" s="243">
        <v>197200</v>
      </c>
      <c r="D37" s="244">
        <v>76.900000000000006</v>
      </c>
      <c r="E37" s="244">
        <v>3.7</v>
      </c>
      <c r="F37" s="243">
        <v>153600</v>
      </c>
      <c r="G37" s="243">
        <v>197800</v>
      </c>
      <c r="H37" s="244">
        <v>77.7</v>
      </c>
      <c r="I37" s="244">
        <v>3.8</v>
      </c>
      <c r="J37" s="243">
        <v>156400</v>
      </c>
      <c r="K37" s="243">
        <v>196000</v>
      </c>
      <c r="L37" s="244">
        <v>79.8</v>
      </c>
      <c r="M37" s="244">
        <v>3.7</v>
      </c>
      <c r="N37" s="243">
        <v>154100</v>
      </c>
      <c r="O37" s="243">
        <v>199800</v>
      </c>
      <c r="P37" s="244">
        <v>77.099999999999994</v>
      </c>
      <c r="Q37" s="244">
        <v>4.8</v>
      </c>
    </row>
    <row r="38" spans="1:17">
      <c r="A38" s="423" t="s">
        <v>42</v>
      </c>
      <c r="B38" s="243">
        <v>43700</v>
      </c>
      <c r="C38" s="243">
        <v>58600</v>
      </c>
      <c r="D38" s="244">
        <v>74.599999999999994</v>
      </c>
      <c r="E38" s="244">
        <v>4</v>
      </c>
      <c r="F38" s="243">
        <v>43100</v>
      </c>
      <c r="G38" s="243">
        <v>58700</v>
      </c>
      <c r="H38" s="244">
        <v>73.400000000000006</v>
      </c>
      <c r="I38" s="244">
        <v>4.5999999999999996</v>
      </c>
      <c r="J38" s="243">
        <v>44700</v>
      </c>
      <c r="K38" s="243">
        <v>58500</v>
      </c>
      <c r="L38" s="244">
        <v>76.400000000000006</v>
      </c>
      <c r="M38" s="244">
        <v>4</v>
      </c>
      <c r="N38" s="243">
        <v>47400</v>
      </c>
      <c r="O38" s="243">
        <v>59700</v>
      </c>
      <c r="P38" s="244">
        <v>79.400000000000006</v>
      </c>
      <c r="Q38" s="244">
        <v>4.4000000000000004</v>
      </c>
    </row>
    <row r="39" spans="1:17">
      <c r="A39" s="423" t="s">
        <v>43</v>
      </c>
      <c r="B39" s="243">
        <v>40500</v>
      </c>
      <c r="C39" s="243">
        <v>55600</v>
      </c>
      <c r="D39" s="244">
        <v>72.8</v>
      </c>
      <c r="E39" s="244">
        <v>3.8</v>
      </c>
      <c r="F39" s="243">
        <v>39100</v>
      </c>
      <c r="G39" s="243">
        <v>55500</v>
      </c>
      <c r="H39" s="244">
        <v>70.400000000000006</v>
      </c>
      <c r="I39" s="244">
        <v>4.4000000000000004</v>
      </c>
      <c r="J39" s="243">
        <v>43000</v>
      </c>
      <c r="K39" s="243">
        <v>56800</v>
      </c>
      <c r="L39" s="244">
        <v>75.8</v>
      </c>
      <c r="M39" s="244">
        <v>4.2</v>
      </c>
      <c r="N39" s="243">
        <v>40000</v>
      </c>
      <c r="O39" s="243">
        <v>55600</v>
      </c>
      <c r="P39" s="244">
        <v>71.900000000000006</v>
      </c>
      <c r="Q39" s="244">
        <v>4.9000000000000004</v>
      </c>
    </row>
    <row r="40" spans="1:17">
      <c r="A40" s="423" t="s">
        <v>44</v>
      </c>
      <c r="B40" s="243">
        <v>87500</v>
      </c>
      <c r="C40" s="243">
        <v>117600</v>
      </c>
      <c r="D40" s="244">
        <v>74.5</v>
      </c>
      <c r="E40" s="244">
        <v>4.0999999999999996</v>
      </c>
      <c r="F40" s="243">
        <v>86300</v>
      </c>
      <c r="G40" s="243">
        <v>116900</v>
      </c>
      <c r="H40" s="244">
        <v>73.8</v>
      </c>
      <c r="I40" s="244">
        <v>4.5999999999999996</v>
      </c>
      <c r="J40" s="243">
        <v>90100</v>
      </c>
      <c r="K40" s="243">
        <v>117100</v>
      </c>
      <c r="L40" s="244">
        <v>76.900000000000006</v>
      </c>
      <c r="M40" s="244">
        <v>4.0999999999999996</v>
      </c>
      <c r="N40" s="243">
        <v>87200</v>
      </c>
      <c r="O40" s="243">
        <v>117100</v>
      </c>
      <c r="P40" s="244">
        <v>74.400000000000006</v>
      </c>
      <c r="Q40" s="244">
        <v>5.0999999999999996</v>
      </c>
    </row>
    <row r="41" spans="1:17">
      <c r="A41" s="231" t="s">
        <v>45</v>
      </c>
      <c r="B41" s="243">
        <v>2523000</v>
      </c>
      <c r="C41" s="243">
        <v>3436800</v>
      </c>
      <c r="D41" s="244">
        <v>73.400000000000006</v>
      </c>
      <c r="E41" s="244">
        <v>0.7</v>
      </c>
      <c r="F41" s="243">
        <v>2507800</v>
      </c>
      <c r="G41" s="243">
        <v>3427200</v>
      </c>
      <c r="H41" s="244">
        <v>73.2</v>
      </c>
      <c r="I41" s="244">
        <v>0.8</v>
      </c>
      <c r="J41" s="243">
        <v>2559900</v>
      </c>
      <c r="K41" s="243">
        <v>3439500</v>
      </c>
      <c r="L41" s="244">
        <v>74.400000000000006</v>
      </c>
      <c r="M41" s="244">
        <v>0.8</v>
      </c>
      <c r="N41" s="243">
        <v>2581900</v>
      </c>
      <c r="O41" s="243">
        <v>3454000</v>
      </c>
      <c r="P41" s="244">
        <v>74.7</v>
      </c>
      <c r="Q41" s="244">
        <v>1</v>
      </c>
    </row>
    <row r="42" spans="1:17">
      <c r="A42" s="231" t="s">
        <v>46</v>
      </c>
      <c r="B42" s="243">
        <v>31074300</v>
      </c>
      <c r="C42" s="243">
        <v>41369600</v>
      </c>
      <c r="D42" s="244">
        <v>75.099999999999994</v>
      </c>
      <c r="E42" s="244">
        <v>0.2</v>
      </c>
      <c r="F42" s="243">
        <v>30915300</v>
      </c>
      <c r="G42" s="243">
        <v>41368300</v>
      </c>
      <c r="H42" s="244">
        <v>74.7</v>
      </c>
      <c r="I42" s="244">
        <v>0.2</v>
      </c>
      <c r="J42" s="243">
        <v>31339500</v>
      </c>
      <c r="K42" s="243">
        <v>41514600</v>
      </c>
      <c r="L42" s="244">
        <v>75.5</v>
      </c>
      <c r="M42" s="244">
        <v>0.3</v>
      </c>
      <c r="N42" s="243">
        <v>31559400</v>
      </c>
      <c r="O42" s="243">
        <v>41678800</v>
      </c>
      <c r="P42" s="244">
        <v>75.7</v>
      </c>
      <c r="Q42" s="244">
        <v>0.3</v>
      </c>
    </row>
    <row r="43" spans="1:17">
      <c r="A43" s="231" t="s">
        <v>47</v>
      </c>
      <c r="B43" s="243">
        <v>858000</v>
      </c>
      <c r="C43" s="243">
        <v>1187900</v>
      </c>
      <c r="D43" s="244">
        <v>72.2</v>
      </c>
      <c r="E43" s="244">
        <v>1.4</v>
      </c>
      <c r="F43" s="243">
        <v>850700</v>
      </c>
      <c r="G43" s="243">
        <v>1186000</v>
      </c>
      <c r="H43" s="244">
        <v>71.7</v>
      </c>
      <c r="I43" s="244">
        <v>1.5</v>
      </c>
      <c r="J43" s="243">
        <v>869100</v>
      </c>
      <c r="K43" s="243">
        <v>1184900</v>
      </c>
      <c r="L43" s="244">
        <v>73.3</v>
      </c>
      <c r="M43" s="244">
        <v>1.5</v>
      </c>
      <c r="N43" s="243">
        <v>865900</v>
      </c>
      <c r="O43" s="243">
        <v>1187400</v>
      </c>
      <c r="P43" s="244">
        <v>72.900000000000006</v>
      </c>
      <c r="Q43" s="244">
        <v>1.8</v>
      </c>
    </row>
    <row r="44" spans="1:17">
      <c r="A44" s="6" t="s">
        <v>543</v>
      </c>
      <c r="B44" s="385" cm="1">
        <f t="array" ref="B44">SUM(SUMIFS(B$9:B$41,$A$9:$A$41,{"Na h-Eileanan Siar","Argyll and Bute","Shetland Islands","Highland","Orkney Islands","Scottish Borders","Dumfries and Galloway","Aberdeenshire"}))</f>
        <v>422400</v>
      </c>
      <c r="C44" s="385">
        <f>SUM(SUMIFS(C$9:C$41,$A$9:$A$41,{"Na h-Eileanan Siar","Argyll and Bute","Shetland Islands","Highland","Orkney Islands","Scottish Borders","Dumfries and Galloway","Aberdeenshire"}))</f>
        <v>548800</v>
      </c>
      <c r="D44" s="389">
        <f>SUM(B44/C44)*100</f>
        <v>76.967930029154516</v>
      </c>
      <c r="E44" s="9"/>
      <c r="F44" s="385">
        <f>SUM(SUMIFS(F$9:F$41,$A$9:$A$41,{"Na h-Eileanan Siar","Argyll and Bute","Shetland Islands","Highland","Orkney Islands","Scottish Borders","Dumfries and Galloway","Aberdeenshire"}))</f>
        <v>397900</v>
      </c>
      <c r="G44" s="385">
        <f>SUM(SUMIFS(G$9:G$41,$A$9:$A$41,{"Na h-Eileanan Siar","Argyll and Bute","Shetland Islands","Highland","Orkney Islands","Scottish Borders","Dumfries and Galloway","Aberdeenshire"}))</f>
        <v>549200</v>
      </c>
      <c r="H44" s="389">
        <f>SUM(F44/G44)*100</f>
        <v>72.450837581937364</v>
      </c>
      <c r="I44" s="9"/>
      <c r="J44" s="385">
        <f>SUM(SUMIFS(J$9:J$41,$A$9:$A$41,{"Na h-Eileanan Siar","Argyll and Bute","Shetland Islands","Highland","Orkney Islands","Scottish Borders","Dumfries and Galloway","Aberdeenshire"}))</f>
        <v>412200</v>
      </c>
      <c r="K44" s="385">
        <f>SUM(SUMIFS(K$9:K$41,$A$9:$A$41,{"Na h-Eileanan Siar","Argyll and Bute","Shetland Islands","Highland","Orkney Islands","Scottish Borders","Dumfries and Galloway","Aberdeenshire"}))</f>
        <v>550300</v>
      </c>
      <c r="L44" s="389">
        <f>SUM(J44/K44)*100</f>
        <v>74.904597492276935</v>
      </c>
      <c r="M44" s="9"/>
      <c r="N44" s="385">
        <f>SUM(SUMIFS(N$9:N$41,$A$9:$A$41,{"Na h-Eileanan Siar","Argyll and Bute","Shetland Islands","Highland","Orkney Islands","Scottish Borders","Dumfries and Galloway","Aberdeenshire"}))</f>
        <v>429300</v>
      </c>
      <c r="O44" s="385">
        <f>SUM(SUMIFS(O$9:O$41,$A$9:$A$41,{"Na h-Eileanan Siar","Argyll and Bute","Shetland Islands","Highland","Orkney Islands","Scottish Borders","Dumfries and Galloway","Aberdeenshire"}))</f>
        <v>558300</v>
      </c>
      <c r="P44" s="389">
        <f>SUM(N44/O44)*100</f>
        <v>76.894142933906508</v>
      </c>
      <c r="Q44" s="9"/>
    </row>
    <row r="45" spans="1:17">
      <c r="A45" s="6" t="s">
        <v>544</v>
      </c>
      <c r="B45" s="385">
        <f>SUM(SUMIFS(B$9:B$41,$A$9:$A$41,{"Perth and Kinross","Stirling","Moray","South Ayrshire","East Ayrshire","East Lothian","North Ayrshire","Fife"}))</f>
        <v>518200</v>
      </c>
      <c r="C45" s="385">
        <f>SUM(SUMIFS(C$9:C$41,$A$9:$A$41,{"Perth and Kinross","Stirling","Moray","South Ayrshire","East Ayrshire","East Lothian","North Ayrshire","Fife"}))</f>
        <v>716300</v>
      </c>
      <c r="D45" s="389">
        <f>SUM(B45/C45)*100</f>
        <v>72.343989948345666</v>
      </c>
      <c r="E45" s="9"/>
      <c r="F45" s="385">
        <f>SUM(SUMIFS(F$9:F$41,$A$9:$A$41,{"Perth and Kinross","Stirling","Moray","South Ayrshire","East Ayrshire","East Lothian","North Ayrshire","Fife"}))</f>
        <v>512100</v>
      </c>
      <c r="G45" s="385">
        <f>SUM(SUMIFS(G$9:G$41,$A$9:$A$41,{"Perth and Kinross","Stirling","Moray","South Ayrshire","East Ayrshire","East Lothian","North Ayrshire","Fife"}))</f>
        <v>714300</v>
      </c>
      <c r="H45" s="389">
        <f>SUM(F45/G45)*100</f>
        <v>71.692566148677031</v>
      </c>
      <c r="I45" s="9"/>
      <c r="J45" s="385">
        <f>SUM(SUMIFS(J$9:J$41,$A$9:$A$41,{"Perth and Kinross","Stirling","Moray","South Ayrshire","East Ayrshire","East Lothian","North Ayrshire","Fife"}))</f>
        <v>531600</v>
      </c>
      <c r="K45" s="385">
        <f>SUM(SUMIFS(K$9:K$41,$A$9:$A$41,{"Perth and Kinross","Stirling","Moray","South Ayrshire","East Ayrshire","East Lothian","North Ayrshire","Fife"}))</f>
        <v>716500</v>
      </c>
      <c r="L45" s="389">
        <f>SUM(J45/K45)*100</f>
        <v>74.19399860432658</v>
      </c>
      <c r="M45" s="9"/>
      <c r="N45" s="385">
        <f>SUM(SUMIFS(N$9:N$41,$A$9:$A$41,{"Perth and Kinross","Stirling","Moray","South Ayrshire","East Ayrshire","East Lothian","North Ayrshire","Fife"}))</f>
        <v>534400</v>
      </c>
      <c r="O45" s="385">
        <f>SUM(SUMIFS(O$9:O$41,$A$9:$A$41,{"Perth and Kinross","Stirling","Moray","South Ayrshire","East Ayrshire","East Lothian","North Ayrshire","Fife"}))</f>
        <v>721700</v>
      </c>
      <c r="P45" s="389">
        <f>SUM(N45/O45)*100</f>
        <v>74.047388111403635</v>
      </c>
      <c r="Q45" s="9"/>
    </row>
    <row r="46" spans="1:17">
      <c r="A46" s="6" t="s">
        <v>545</v>
      </c>
      <c r="B46" s="385">
        <f>SUM(SUMIFS(B$9:B$41,$A$9:$A$41,{"Angus","Clackmannanshire","Midlothian","South Lanarkshire","Inverclyde","Renfrewshire","West Lothian","East Renfrewshire"}))</f>
        <v>516100</v>
      </c>
      <c r="C46" s="385">
        <f>SUM(SUMIFS(C$9:C$41,$A$9:$A$41,{"Angus","Clackmannanshire","Midlothian","South Lanarkshire","Inverclyde","Renfrewshire","West Lothian","East Renfrewshire"}))</f>
        <v>688300</v>
      </c>
      <c r="D46" s="389">
        <f>SUM(B46/C46)*100</f>
        <v>74.981839314252511</v>
      </c>
      <c r="E46" s="9"/>
      <c r="F46" s="385">
        <f>SUM(SUMIFS(F$9:F$41,$A$9:$A$41,{"Angus","Clackmannanshire","Midlothian","South Lanarkshire","Inverclyde","Renfrewshire","West Lothian","East Renfrewshire"}))</f>
        <v>519300</v>
      </c>
      <c r="G46" s="385">
        <f>SUM(SUMIFS(G$9:G$41,$A$9:$A$41,{"Angus","Clackmannanshire","Midlothian","South Lanarkshire","Inverclyde","Renfrewshire","West Lothian","East Renfrewshire"}))</f>
        <v>688200</v>
      </c>
      <c r="H46" s="389">
        <f>SUM(F46/G46)*100</f>
        <v>75.457715780296425</v>
      </c>
      <c r="I46" s="9"/>
      <c r="J46" s="385">
        <f>SUM(SUMIFS(J$9:J$41,$A$9:$A$41,{"Angus","Clackmannanshire","Midlothian","South Lanarkshire","Inverclyde","Renfrewshire","West Lothian","East Renfrewshire"}))</f>
        <v>525000</v>
      </c>
      <c r="K46" s="385">
        <f>SUM(SUMIFS(K$9:K$41,$A$9:$A$41,{"Angus","Clackmannanshire","Midlothian","South Lanarkshire","Inverclyde","Renfrewshire","West Lothian","East Renfrewshire"}))</f>
        <v>688100</v>
      </c>
      <c r="L46" s="389">
        <f>SUM(J46/K46)*100</f>
        <v>76.297049847405901</v>
      </c>
      <c r="M46" s="9"/>
      <c r="N46" s="385">
        <f>SUM(SUMIFS(N$9:N$41,$A$9:$A$41,{"Angus","Clackmannanshire","Midlothian","South Lanarkshire","Inverclyde","Renfrewshire","West Lothian","East Renfrewshire"}))</f>
        <v>523000</v>
      </c>
      <c r="O46" s="385">
        <f>SUM(SUMIFS(O$9:O$41,$A$9:$A$41,{"Angus","Clackmannanshire","Midlothian","South Lanarkshire","Inverclyde","Renfrewshire","West Lothian","East Renfrewshire"}))</f>
        <v>690700</v>
      </c>
      <c r="P46" s="389">
        <f>SUM(N46/O46)*100</f>
        <v>75.720283770088315</v>
      </c>
      <c r="Q46" s="9"/>
    </row>
    <row r="47" spans="1:17">
      <c r="A47" s="6" t="s">
        <v>546</v>
      </c>
      <c r="B47" s="385">
        <f>SUM(SUMIFS(B$9:B$41,$A$9:$A$41,{"North Lanarkshire","Falkirk","East Dunbartonshire","Aberdeen City","Edinburgh, City of","West Dunbartonshire","Dundee City","Glasgow City"}))</f>
        <v>800900</v>
      </c>
      <c r="C47" s="385">
        <f>SUM(SUMIFS(C$9:C$41,$A$9:$A$41,{"North Lanarkshire","Falkirk","East Dunbartonshire","Aberdeen City","Edinburgh, City of","West Dunbartonshire","Dundee City","Glasgow City"}))</f>
        <v>1125100</v>
      </c>
      <c r="D47" s="389">
        <f>SUM(B47/C47)*100</f>
        <v>71.184783574793357</v>
      </c>
      <c r="E47" s="9"/>
      <c r="F47" s="385">
        <f>SUM(SUMIFS(F$9:F$41,$A$9:$A$41,{"North Lanarkshire","Falkirk","East Dunbartonshire","Aberdeen City","Edinburgh, City of","West Dunbartonshire","Dundee City","Glasgow City"}))</f>
        <v>801900</v>
      </c>
      <c r="G47" s="385">
        <f>SUM(SUMIFS(G$9:G$41,$A$9:$A$41,{"North Lanarkshire","Falkirk","East Dunbartonshire","Aberdeen City","Edinburgh, City of","West Dunbartonshire","Dundee City","Glasgow City"}))</f>
        <v>1123000</v>
      </c>
      <c r="H47" s="389">
        <f>SUM(F47/G47)*100</f>
        <v>71.406945681211042</v>
      </c>
      <c r="I47" s="9"/>
      <c r="J47" s="385">
        <f>SUM(SUMIFS(J$9:J$41,$A$9:$A$41,{"North Lanarkshire","Falkirk","East Dunbartonshire","Aberdeen City","Edinburgh, City of","West Dunbartonshire","Dundee City","Glasgow City"}))</f>
        <v>807800</v>
      </c>
      <c r="K47" s="385">
        <f>SUM(SUMIFS(K$9:K$41,$A$9:$A$41,{"North Lanarkshire","Falkirk","East Dunbartonshire","Aberdeen City","Edinburgh, City of","West Dunbartonshire","Dundee City","Glasgow City"}))</f>
        <v>1127000</v>
      </c>
      <c r="L47" s="389">
        <f>SUM(J47/K47)*100</f>
        <v>71.677018633540371</v>
      </c>
      <c r="M47" s="9"/>
      <c r="N47" s="385">
        <f>SUM(SUMIFS(N$9:N$41,$A$9:$A$41,{"North Lanarkshire","Falkirk","East Dunbartonshire","Aberdeen City","Edinburgh, City of","West Dunbartonshire","Dundee City","Glasgow City"}))</f>
        <v>802500</v>
      </c>
      <c r="O47" s="385">
        <f>SUM(SUMIFS(O$9:O$41,$A$9:$A$41,{"North Lanarkshire","Falkirk","East Dunbartonshire","Aberdeen City","Edinburgh, City of","West Dunbartonshire","Dundee City","Glasgow City"}))</f>
        <v>1126800</v>
      </c>
      <c r="P47" s="389">
        <f>SUM(N47/O47)*100</f>
        <v>71.219382321618738</v>
      </c>
      <c r="Q47" s="9"/>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autoPageBreaks="0"/>
  </sheetPr>
  <dimension ref="A1:Q55"/>
  <sheetViews>
    <sheetView topLeftCell="A38" zoomScale="80" zoomScaleNormal="80" workbookViewId="0">
      <selection activeCell="G2" sqref="G2:H2"/>
    </sheetView>
  </sheetViews>
  <sheetFormatPr defaultColWidth="8.7265625" defaultRowHeight="14.5"/>
  <cols>
    <col min="1" max="1" width="24.1796875" customWidth="1"/>
  </cols>
  <sheetData>
    <row r="1" spans="1:17" ht="15.5">
      <c r="A1" s="421" t="s">
        <v>0</v>
      </c>
    </row>
    <row r="2" spans="1:17">
      <c r="A2" s="422" t="s">
        <v>708</v>
      </c>
    </row>
    <row r="4" spans="1:17">
      <c r="A4" s="423" t="s">
        <v>1</v>
      </c>
      <c r="B4" s="423" t="s">
        <v>2</v>
      </c>
    </row>
    <row r="5" spans="1:17">
      <c r="A5" s="423" t="s">
        <v>3</v>
      </c>
      <c r="B5" s="423" t="s">
        <v>63</v>
      </c>
    </row>
    <row r="7" spans="1:17" ht="22" customHeight="1">
      <c r="A7" s="424" t="s">
        <v>5</v>
      </c>
      <c r="B7" s="603" t="s">
        <v>525</v>
      </c>
      <c r="C7" s="604"/>
      <c r="D7" s="604"/>
      <c r="E7" s="604"/>
      <c r="F7" s="603" t="s">
        <v>598</v>
      </c>
      <c r="G7" s="604"/>
      <c r="H7" s="604"/>
      <c r="I7" s="604"/>
      <c r="J7" s="603" t="s">
        <v>705</v>
      </c>
      <c r="K7" s="604"/>
      <c r="L7" s="604"/>
      <c r="M7" s="604"/>
      <c r="N7" s="603" t="s">
        <v>754</v>
      </c>
      <c r="O7" s="604"/>
      <c r="P7" s="604"/>
      <c r="Q7" s="604"/>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423" t="s">
        <v>14</v>
      </c>
      <c r="B9" s="243">
        <v>8900</v>
      </c>
      <c r="C9" s="243">
        <v>121200</v>
      </c>
      <c r="D9" s="244">
        <v>7.3</v>
      </c>
      <c r="E9" s="244">
        <v>2.9</v>
      </c>
      <c r="F9" s="243">
        <v>5300</v>
      </c>
      <c r="G9" s="243">
        <v>124200</v>
      </c>
      <c r="H9" s="244">
        <v>4.2</v>
      </c>
      <c r="I9" s="244">
        <v>2.1</v>
      </c>
      <c r="J9" s="243">
        <v>6100</v>
      </c>
      <c r="K9" s="243">
        <v>118900</v>
      </c>
      <c r="L9" s="244">
        <v>5.0999999999999996</v>
      </c>
      <c r="M9" s="244">
        <v>2.6</v>
      </c>
      <c r="N9" s="243">
        <v>5800</v>
      </c>
      <c r="O9" s="243">
        <v>123800</v>
      </c>
      <c r="P9" s="244">
        <v>4.7</v>
      </c>
      <c r="Q9" s="244">
        <v>2.7</v>
      </c>
    </row>
    <row r="10" spans="1:17">
      <c r="A10" s="423" t="s">
        <v>15</v>
      </c>
      <c r="B10" s="243">
        <v>3700</v>
      </c>
      <c r="C10" s="243">
        <v>134700</v>
      </c>
      <c r="D10" s="244">
        <v>2.7</v>
      </c>
      <c r="E10" s="243" t="s">
        <v>10</v>
      </c>
      <c r="F10" s="243">
        <v>5800</v>
      </c>
      <c r="G10" s="243">
        <v>128700</v>
      </c>
      <c r="H10" s="244">
        <v>4.5</v>
      </c>
      <c r="I10" s="244">
        <v>2.2000000000000002</v>
      </c>
      <c r="J10" s="243">
        <v>7000</v>
      </c>
      <c r="K10" s="243">
        <v>138200</v>
      </c>
      <c r="L10" s="244">
        <v>5.0999999999999996</v>
      </c>
      <c r="M10" s="244">
        <v>2.4</v>
      </c>
      <c r="N10" s="243">
        <v>2100</v>
      </c>
      <c r="O10" s="243">
        <v>145600</v>
      </c>
      <c r="P10" s="244">
        <v>1.5</v>
      </c>
      <c r="Q10" s="243" t="s">
        <v>10</v>
      </c>
    </row>
    <row r="11" spans="1:17">
      <c r="A11" s="423" t="s">
        <v>16</v>
      </c>
      <c r="B11" s="243">
        <v>1800</v>
      </c>
      <c r="C11" s="243">
        <v>51600</v>
      </c>
      <c r="D11" s="244">
        <v>3.5</v>
      </c>
      <c r="E11" s="244">
        <v>1.7</v>
      </c>
      <c r="F11" s="243">
        <v>1600</v>
      </c>
      <c r="G11" s="243">
        <v>53400</v>
      </c>
      <c r="H11" s="244">
        <v>2.9</v>
      </c>
      <c r="I11" s="244">
        <v>1.8</v>
      </c>
      <c r="J11" s="243">
        <v>1300</v>
      </c>
      <c r="K11" s="243">
        <v>53000</v>
      </c>
      <c r="L11" s="244">
        <v>2.5</v>
      </c>
      <c r="M11" s="243" t="s">
        <v>10</v>
      </c>
      <c r="N11" s="243">
        <v>1200</v>
      </c>
      <c r="O11" s="243">
        <v>51200</v>
      </c>
      <c r="P11" s="244">
        <v>2.4</v>
      </c>
      <c r="Q11" s="243" t="s">
        <v>10</v>
      </c>
    </row>
    <row r="12" spans="1:17">
      <c r="A12" s="423" t="s">
        <v>17</v>
      </c>
      <c r="B12" s="243">
        <v>700</v>
      </c>
      <c r="C12" s="243">
        <v>37400</v>
      </c>
      <c r="D12" s="244">
        <v>2</v>
      </c>
      <c r="E12" s="243" t="s">
        <v>10</v>
      </c>
      <c r="F12" s="243">
        <v>700</v>
      </c>
      <c r="G12" s="243">
        <v>36600</v>
      </c>
      <c r="H12" s="244">
        <v>2</v>
      </c>
      <c r="I12" s="243" t="s">
        <v>10</v>
      </c>
      <c r="J12" s="243" t="s">
        <v>707</v>
      </c>
      <c r="K12" s="243">
        <v>37000</v>
      </c>
      <c r="L12" s="243" t="s">
        <v>707</v>
      </c>
      <c r="M12" s="243" t="s">
        <v>707</v>
      </c>
      <c r="N12" s="243">
        <v>1400</v>
      </c>
      <c r="O12" s="243">
        <v>34500</v>
      </c>
      <c r="P12" s="244">
        <v>3.9</v>
      </c>
      <c r="Q12" s="243" t="s">
        <v>10</v>
      </c>
    </row>
    <row r="13" spans="1:17">
      <c r="A13" s="423" t="s">
        <v>586</v>
      </c>
      <c r="B13" s="243">
        <v>11600</v>
      </c>
      <c r="C13" s="243">
        <v>277200</v>
      </c>
      <c r="D13" s="244">
        <v>4.2</v>
      </c>
      <c r="E13" s="244">
        <v>1.8</v>
      </c>
      <c r="F13" s="243">
        <v>6700</v>
      </c>
      <c r="G13" s="243">
        <v>283300</v>
      </c>
      <c r="H13" s="244">
        <v>2.4</v>
      </c>
      <c r="I13" s="244">
        <v>1.4</v>
      </c>
      <c r="J13" s="243">
        <v>3700</v>
      </c>
      <c r="K13" s="243">
        <v>287100</v>
      </c>
      <c r="L13" s="244">
        <v>1.3</v>
      </c>
      <c r="M13" s="243" t="s">
        <v>10</v>
      </c>
      <c r="N13" s="243">
        <v>12900</v>
      </c>
      <c r="O13" s="243">
        <v>305800</v>
      </c>
      <c r="P13" s="244">
        <v>4.2</v>
      </c>
      <c r="Q13" s="244">
        <v>2.2000000000000002</v>
      </c>
    </row>
    <row r="14" spans="1:17">
      <c r="A14" s="423" t="s">
        <v>18</v>
      </c>
      <c r="B14" s="243">
        <v>1500</v>
      </c>
      <c r="C14" s="243">
        <v>24400</v>
      </c>
      <c r="D14" s="244">
        <v>6.3</v>
      </c>
      <c r="E14" s="243" t="s">
        <v>10</v>
      </c>
      <c r="F14" s="243" t="s">
        <v>707</v>
      </c>
      <c r="G14" s="243">
        <v>22700</v>
      </c>
      <c r="H14" s="243" t="s">
        <v>707</v>
      </c>
      <c r="I14" s="243" t="s">
        <v>707</v>
      </c>
      <c r="J14" s="243">
        <v>700</v>
      </c>
      <c r="K14" s="243">
        <v>22100</v>
      </c>
      <c r="L14" s="244">
        <v>3.4</v>
      </c>
      <c r="M14" s="243" t="s">
        <v>10</v>
      </c>
      <c r="N14" s="243">
        <v>1300</v>
      </c>
      <c r="O14" s="243">
        <v>23000</v>
      </c>
      <c r="P14" s="244">
        <v>5.7</v>
      </c>
      <c r="Q14" s="243" t="s">
        <v>10</v>
      </c>
    </row>
    <row r="15" spans="1:17">
      <c r="A15" s="423" t="s">
        <v>19</v>
      </c>
      <c r="B15" s="243">
        <v>3800</v>
      </c>
      <c r="C15" s="243">
        <v>61600</v>
      </c>
      <c r="D15" s="244">
        <v>6.2</v>
      </c>
      <c r="E15" s="244">
        <v>2.7</v>
      </c>
      <c r="F15" s="243">
        <v>2700</v>
      </c>
      <c r="G15" s="243">
        <v>62500</v>
      </c>
      <c r="H15" s="244">
        <v>4.3</v>
      </c>
      <c r="I15" s="244">
        <v>2.2000000000000002</v>
      </c>
      <c r="J15" s="243">
        <v>2900</v>
      </c>
      <c r="K15" s="243">
        <v>59800</v>
      </c>
      <c r="L15" s="244">
        <v>4.8</v>
      </c>
      <c r="M15" s="244">
        <v>2.6</v>
      </c>
      <c r="N15" s="243">
        <v>4100</v>
      </c>
      <c r="O15" s="243">
        <v>61800</v>
      </c>
      <c r="P15" s="244">
        <v>6.7</v>
      </c>
      <c r="Q15" s="243" t="s">
        <v>10</v>
      </c>
    </row>
    <row r="16" spans="1:17">
      <c r="A16" s="423" t="s">
        <v>20</v>
      </c>
      <c r="B16" s="243">
        <v>4200</v>
      </c>
      <c r="C16" s="243">
        <v>71500</v>
      </c>
      <c r="D16" s="244">
        <v>5.8</v>
      </c>
      <c r="E16" s="244">
        <v>2.2999999999999998</v>
      </c>
      <c r="F16" s="243">
        <v>4000</v>
      </c>
      <c r="G16" s="243">
        <v>71200</v>
      </c>
      <c r="H16" s="244">
        <v>5.7</v>
      </c>
      <c r="I16" s="244">
        <v>2.6</v>
      </c>
      <c r="J16" s="243">
        <v>5900</v>
      </c>
      <c r="K16" s="243">
        <v>71200</v>
      </c>
      <c r="L16" s="244">
        <v>8.3000000000000007</v>
      </c>
      <c r="M16" s="244">
        <v>3.1</v>
      </c>
      <c r="N16" s="243">
        <v>6700</v>
      </c>
      <c r="O16" s="243">
        <v>67700</v>
      </c>
      <c r="P16" s="244">
        <v>9.8000000000000007</v>
      </c>
      <c r="Q16" s="244">
        <v>4</v>
      </c>
    </row>
    <row r="17" spans="1:17">
      <c r="A17" s="423" t="s">
        <v>21</v>
      </c>
      <c r="B17" s="243">
        <v>1900</v>
      </c>
      <c r="C17" s="243">
        <v>54800</v>
      </c>
      <c r="D17" s="244">
        <v>3.5</v>
      </c>
      <c r="E17" s="244">
        <v>2</v>
      </c>
      <c r="F17" s="243">
        <v>2100</v>
      </c>
      <c r="G17" s="243">
        <v>57700</v>
      </c>
      <c r="H17" s="244">
        <v>3.6</v>
      </c>
      <c r="I17" s="244">
        <v>2.1</v>
      </c>
      <c r="J17" s="243">
        <v>1500</v>
      </c>
      <c r="K17" s="243">
        <v>54400</v>
      </c>
      <c r="L17" s="244">
        <v>2.7</v>
      </c>
      <c r="M17" s="243" t="s">
        <v>10</v>
      </c>
      <c r="N17" s="243" t="s">
        <v>707</v>
      </c>
      <c r="O17" s="243">
        <v>53200</v>
      </c>
      <c r="P17" s="243" t="s">
        <v>707</v>
      </c>
      <c r="Q17" s="243" t="s">
        <v>707</v>
      </c>
    </row>
    <row r="18" spans="1:17">
      <c r="A18" s="423" t="s">
        <v>22</v>
      </c>
      <c r="B18" s="243">
        <v>1100</v>
      </c>
      <c r="C18" s="243">
        <v>50000</v>
      </c>
      <c r="D18" s="244">
        <v>2.2999999999999998</v>
      </c>
      <c r="E18" s="244">
        <v>1.3</v>
      </c>
      <c r="F18" s="243">
        <v>1900</v>
      </c>
      <c r="G18" s="243">
        <v>48800</v>
      </c>
      <c r="H18" s="244">
        <v>4</v>
      </c>
      <c r="I18" s="244">
        <v>2</v>
      </c>
      <c r="J18" s="243">
        <v>1000</v>
      </c>
      <c r="K18" s="243">
        <v>50000</v>
      </c>
      <c r="L18" s="244">
        <v>2</v>
      </c>
      <c r="M18" s="243" t="s">
        <v>10</v>
      </c>
      <c r="N18" s="243">
        <v>1300</v>
      </c>
      <c r="O18" s="243">
        <v>47800</v>
      </c>
      <c r="P18" s="244">
        <v>2.7</v>
      </c>
      <c r="Q18" s="243" t="s">
        <v>10</v>
      </c>
    </row>
    <row r="19" spans="1:17">
      <c r="A19" s="423" t="s">
        <v>23</v>
      </c>
      <c r="B19" s="243">
        <v>1900</v>
      </c>
      <c r="C19" s="243">
        <v>50000</v>
      </c>
      <c r="D19" s="244">
        <v>3.8</v>
      </c>
      <c r="E19" s="244">
        <v>2.1</v>
      </c>
      <c r="F19" s="243">
        <v>2000</v>
      </c>
      <c r="G19" s="243">
        <v>53500</v>
      </c>
      <c r="H19" s="244">
        <v>3.8</v>
      </c>
      <c r="I19" s="243" t="s">
        <v>10</v>
      </c>
      <c r="J19" s="243">
        <v>700</v>
      </c>
      <c r="K19" s="243">
        <v>49900</v>
      </c>
      <c r="L19" s="244">
        <v>1.4</v>
      </c>
      <c r="M19" s="243" t="s">
        <v>10</v>
      </c>
      <c r="N19" s="243">
        <v>2500</v>
      </c>
      <c r="O19" s="243">
        <v>54200</v>
      </c>
      <c r="P19" s="244">
        <v>4.5</v>
      </c>
      <c r="Q19" s="243" t="s">
        <v>10</v>
      </c>
    </row>
    <row r="20" spans="1:17">
      <c r="A20" s="423" t="s">
        <v>24</v>
      </c>
      <c r="B20" s="243">
        <v>1800</v>
      </c>
      <c r="C20" s="243">
        <v>44100</v>
      </c>
      <c r="D20" s="244">
        <v>4</v>
      </c>
      <c r="E20" s="244">
        <v>2.1</v>
      </c>
      <c r="F20" s="243">
        <v>1500</v>
      </c>
      <c r="G20" s="243">
        <v>40900</v>
      </c>
      <c r="H20" s="244">
        <v>3.6</v>
      </c>
      <c r="I20" s="243" t="s">
        <v>10</v>
      </c>
      <c r="J20" s="243">
        <v>1500</v>
      </c>
      <c r="K20" s="243">
        <v>45100</v>
      </c>
      <c r="L20" s="244">
        <v>3.3</v>
      </c>
      <c r="M20" s="243" t="s">
        <v>10</v>
      </c>
      <c r="N20" s="243" t="s">
        <v>734</v>
      </c>
      <c r="O20" s="243">
        <v>44200</v>
      </c>
      <c r="P20" s="244">
        <v>2.6</v>
      </c>
      <c r="Q20" s="243" t="s">
        <v>10</v>
      </c>
    </row>
    <row r="21" spans="1:17">
      <c r="A21" s="423" t="s">
        <v>25</v>
      </c>
      <c r="B21" s="243">
        <v>3800</v>
      </c>
      <c r="C21" s="243">
        <v>80000</v>
      </c>
      <c r="D21" s="244">
        <v>4.7</v>
      </c>
      <c r="E21" s="244">
        <v>2.2999999999999998</v>
      </c>
      <c r="F21" s="243">
        <v>1400</v>
      </c>
      <c r="G21" s="243">
        <v>79000</v>
      </c>
      <c r="H21" s="244">
        <v>1.8</v>
      </c>
      <c r="I21" s="243" t="s">
        <v>10</v>
      </c>
      <c r="J21" s="243">
        <v>4600</v>
      </c>
      <c r="K21" s="243">
        <v>81900</v>
      </c>
      <c r="L21" s="244">
        <v>5.6</v>
      </c>
      <c r="M21" s="244">
        <v>2.6</v>
      </c>
      <c r="N21" s="243">
        <v>2400</v>
      </c>
      <c r="O21" s="243">
        <v>75400</v>
      </c>
      <c r="P21" s="244">
        <v>3.2</v>
      </c>
      <c r="Q21" s="243" t="s">
        <v>10</v>
      </c>
    </row>
    <row r="22" spans="1:17">
      <c r="A22" s="423" t="s">
        <v>26</v>
      </c>
      <c r="B22" s="243">
        <v>11400</v>
      </c>
      <c r="C22" s="243">
        <v>172700</v>
      </c>
      <c r="D22" s="244">
        <v>6.6</v>
      </c>
      <c r="E22" s="244">
        <v>2.2999999999999998</v>
      </c>
      <c r="F22" s="243">
        <v>12400</v>
      </c>
      <c r="G22" s="243">
        <v>165600</v>
      </c>
      <c r="H22" s="244">
        <v>7.5</v>
      </c>
      <c r="I22" s="244">
        <v>2.6</v>
      </c>
      <c r="J22" s="243">
        <v>7300</v>
      </c>
      <c r="K22" s="243">
        <v>176400</v>
      </c>
      <c r="L22" s="244">
        <v>4.0999999999999996</v>
      </c>
      <c r="M22" s="244">
        <v>2</v>
      </c>
      <c r="N22" s="243">
        <v>6100</v>
      </c>
      <c r="O22" s="243">
        <v>175700</v>
      </c>
      <c r="P22" s="244">
        <v>3.5</v>
      </c>
      <c r="Q22" s="244">
        <v>1.9</v>
      </c>
    </row>
    <row r="23" spans="1:17">
      <c r="A23" s="423" t="s">
        <v>27</v>
      </c>
      <c r="B23" s="243">
        <v>14400</v>
      </c>
      <c r="C23" s="243">
        <v>319200</v>
      </c>
      <c r="D23" s="244">
        <v>4.5</v>
      </c>
      <c r="E23" s="244">
        <v>1.9</v>
      </c>
      <c r="F23" s="243">
        <v>12100</v>
      </c>
      <c r="G23" s="243">
        <v>315700</v>
      </c>
      <c r="H23" s="244">
        <v>3.8</v>
      </c>
      <c r="I23" s="244">
        <v>1.7</v>
      </c>
      <c r="J23" s="243">
        <v>10600</v>
      </c>
      <c r="K23" s="243">
        <v>321800</v>
      </c>
      <c r="L23" s="244">
        <v>3.3</v>
      </c>
      <c r="M23" s="244">
        <v>1.7</v>
      </c>
      <c r="N23" s="243">
        <v>14000</v>
      </c>
      <c r="O23" s="243">
        <v>323000</v>
      </c>
      <c r="P23" s="244">
        <v>4.3</v>
      </c>
      <c r="Q23" s="244">
        <v>2.4</v>
      </c>
    </row>
    <row r="24" spans="1:17">
      <c r="A24" s="423" t="s">
        <v>28</v>
      </c>
      <c r="B24" s="243">
        <v>2400</v>
      </c>
      <c r="C24" s="243">
        <v>113200</v>
      </c>
      <c r="D24" s="244">
        <v>2.2000000000000002</v>
      </c>
      <c r="E24" s="243" t="s">
        <v>10</v>
      </c>
      <c r="F24" s="243">
        <v>4300</v>
      </c>
      <c r="G24" s="243">
        <v>106800</v>
      </c>
      <c r="H24" s="244">
        <v>4</v>
      </c>
      <c r="I24" s="243" t="s">
        <v>10</v>
      </c>
      <c r="J24" s="243">
        <v>3900</v>
      </c>
      <c r="K24" s="243">
        <v>104800</v>
      </c>
      <c r="L24" s="244">
        <v>3.7</v>
      </c>
      <c r="M24" s="243" t="s">
        <v>10</v>
      </c>
      <c r="N24" s="243" t="s">
        <v>707</v>
      </c>
      <c r="O24" s="243">
        <v>111900</v>
      </c>
      <c r="P24" s="243" t="s">
        <v>707</v>
      </c>
      <c r="Q24" s="243" t="s">
        <v>707</v>
      </c>
    </row>
    <row r="25" spans="1:17">
      <c r="A25" s="423" t="s">
        <v>29</v>
      </c>
      <c r="B25" s="243">
        <v>1600</v>
      </c>
      <c r="C25" s="243">
        <v>33900</v>
      </c>
      <c r="D25" s="244">
        <v>4.7</v>
      </c>
      <c r="E25" s="244">
        <v>2.4</v>
      </c>
      <c r="F25" s="243">
        <v>1600</v>
      </c>
      <c r="G25" s="243">
        <v>36900</v>
      </c>
      <c r="H25" s="244">
        <v>4.4000000000000004</v>
      </c>
      <c r="I25" s="244">
        <v>2.4</v>
      </c>
      <c r="J25" s="243">
        <v>1000</v>
      </c>
      <c r="K25" s="243">
        <v>36500</v>
      </c>
      <c r="L25" s="244">
        <v>2.6</v>
      </c>
      <c r="M25" s="243" t="s">
        <v>10</v>
      </c>
      <c r="N25" s="243">
        <v>2000</v>
      </c>
      <c r="O25" s="243">
        <v>34200</v>
      </c>
      <c r="P25" s="244">
        <v>5.7</v>
      </c>
      <c r="Q25" s="243" t="s">
        <v>10</v>
      </c>
    </row>
    <row r="26" spans="1:17">
      <c r="A26" s="423" t="s">
        <v>30</v>
      </c>
      <c r="B26" s="243">
        <v>1000</v>
      </c>
      <c r="C26" s="243">
        <v>43900</v>
      </c>
      <c r="D26" s="244">
        <v>2.2999999999999998</v>
      </c>
      <c r="E26" s="243" t="s">
        <v>10</v>
      </c>
      <c r="F26" s="243">
        <v>1000</v>
      </c>
      <c r="G26" s="243">
        <v>47500</v>
      </c>
      <c r="H26" s="244">
        <v>2.2000000000000002</v>
      </c>
      <c r="I26" s="243" t="s">
        <v>10</v>
      </c>
      <c r="J26" s="243">
        <v>800</v>
      </c>
      <c r="K26" s="243">
        <v>46100</v>
      </c>
      <c r="L26" s="244">
        <v>1.8</v>
      </c>
      <c r="M26" s="243" t="s">
        <v>10</v>
      </c>
      <c r="N26" s="243" t="s">
        <v>707</v>
      </c>
      <c r="O26" s="243">
        <v>49400</v>
      </c>
      <c r="P26" s="243" t="s">
        <v>707</v>
      </c>
      <c r="Q26" s="243" t="s">
        <v>707</v>
      </c>
    </row>
    <row r="27" spans="1:17">
      <c r="A27" s="423" t="s">
        <v>31</v>
      </c>
      <c r="B27" s="243">
        <v>1600</v>
      </c>
      <c r="C27" s="243">
        <v>46000</v>
      </c>
      <c r="D27" s="244">
        <v>3.4</v>
      </c>
      <c r="E27" s="244">
        <v>1.9</v>
      </c>
      <c r="F27" s="243">
        <v>1500</v>
      </c>
      <c r="G27" s="243">
        <v>45100</v>
      </c>
      <c r="H27" s="244">
        <v>3.3</v>
      </c>
      <c r="I27" s="243" t="s">
        <v>10</v>
      </c>
      <c r="J27" s="243">
        <v>2200</v>
      </c>
      <c r="K27" s="243">
        <v>48000</v>
      </c>
      <c r="L27" s="244">
        <v>4.5999999999999996</v>
      </c>
      <c r="M27" s="244">
        <v>2.5</v>
      </c>
      <c r="N27" s="243">
        <v>2100</v>
      </c>
      <c r="O27" s="243">
        <v>45500</v>
      </c>
      <c r="P27" s="244">
        <v>4.5</v>
      </c>
      <c r="Q27" s="243" t="s">
        <v>10</v>
      </c>
    </row>
    <row r="28" spans="1:17">
      <c r="A28" s="423" t="s">
        <v>32</v>
      </c>
      <c r="B28" s="243">
        <v>500</v>
      </c>
      <c r="C28" s="243">
        <v>12800</v>
      </c>
      <c r="D28" s="244">
        <v>4.0999999999999996</v>
      </c>
      <c r="E28" s="243" t="s">
        <v>10</v>
      </c>
      <c r="F28" s="243" t="s">
        <v>706</v>
      </c>
      <c r="G28" s="243">
        <v>12500</v>
      </c>
      <c r="H28" s="244">
        <v>2.2999999999999998</v>
      </c>
      <c r="I28" s="243" t="s">
        <v>10</v>
      </c>
      <c r="J28" s="243" t="s">
        <v>707</v>
      </c>
      <c r="K28" s="243">
        <v>12700</v>
      </c>
      <c r="L28" s="243" t="s">
        <v>707</v>
      </c>
      <c r="M28" s="243" t="s">
        <v>707</v>
      </c>
      <c r="N28" s="243" t="s">
        <v>707</v>
      </c>
      <c r="O28" s="243">
        <v>12200</v>
      </c>
      <c r="P28" s="243" t="s">
        <v>707</v>
      </c>
      <c r="Q28" s="243" t="s">
        <v>707</v>
      </c>
    </row>
    <row r="29" spans="1:17">
      <c r="A29" s="423" t="s">
        <v>33</v>
      </c>
      <c r="B29" s="243">
        <v>2800</v>
      </c>
      <c r="C29" s="243">
        <v>55900</v>
      </c>
      <c r="D29" s="244">
        <v>5.0999999999999996</v>
      </c>
      <c r="E29" s="244">
        <v>2.6</v>
      </c>
      <c r="F29" s="243">
        <v>3800</v>
      </c>
      <c r="G29" s="243">
        <v>54800</v>
      </c>
      <c r="H29" s="244">
        <v>7</v>
      </c>
      <c r="I29" s="244">
        <v>3</v>
      </c>
      <c r="J29" s="243">
        <v>1000</v>
      </c>
      <c r="K29" s="243">
        <v>59500</v>
      </c>
      <c r="L29" s="244">
        <v>1.6</v>
      </c>
      <c r="M29" s="243" t="s">
        <v>10</v>
      </c>
      <c r="N29" s="243">
        <v>1500</v>
      </c>
      <c r="O29" s="243">
        <v>58400</v>
      </c>
      <c r="P29" s="244">
        <v>2.7</v>
      </c>
      <c r="Q29" s="243" t="s">
        <v>10</v>
      </c>
    </row>
    <row r="30" spans="1:17">
      <c r="A30" s="423" t="s">
        <v>34</v>
      </c>
      <c r="B30" s="243">
        <v>10300</v>
      </c>
      <c r="C30" s="243">
        <v>161100</v>
      </c>
      <c r="D30" s="244">
        <v>6.4</v>
      </c>
      <c r="E30" s="244">
        <v>2.5</v>
      </c>
      <c r="F30" s="243">
        <v>5700</v>
      </c>
      <c r="G30" s="243">
        <v>154500</v>
      </c>
      <c r="H30" s="244">
        <v>3.7</v>
      </c>
      <c r="I30" s="243" t="s">
        <v>10</v>
      </c>
      <c r="J30" s="243">
        <v>4600</v>
      </c>
      <c r="K30" s="243">
        <v>154000</v>
      </c>
      <c r="L30" s="244">
        <v>3</v>
      </c>
      <c r="M30" s="243" t="s">
        <v>10</v>
      </c>
      <c r="N30" s="243">
        <v>4300</v>
      </c>
      <c r="O30" s="243">
        <v>159200</v>
      </c>
      <c r="P30" s="244">
        <v>2.7</v>
      </c>
      <c r="Q30" s="243" t="s">
        <v>10</v>
      </c>
    </row>
    <row r="31" spans="1:17">
      <c r="A31" s="423" t="s">
        <v>35</v>
      </c>
      <c r="B31" s="243" t="s">
        <v>707</v>
      </c>
      <c r="C31" s="243">
        <v>11000</v>
      </c>
      <c r="D31" s="243" t="s">
        <v>707</v>
      </c>
      <c r="E31" s="243" t="s">
        <v>707</v>
      </c>
      <c r="F31" s="243" t="s">
        <v>734</v>
      </c>
      <c r="G31" s="243">
        <v>10200</v>
      </c>
      <c r="H31" s="244">
        <v>9.5</v>
      </c>
      <c r="I31" s="243" t="s">
        <v>10</v>
      </c>
      <c r="J31" s="243" t="s">
        <v>707</v>
      </c>
      <c r="K31" s="243">
        <v>10600</v>
      </c>
      <c r="L31" s="243" t="s">
        <v>707</v>
      </c>
      <c r="M31" s="243" t="s">
        <v>707</v>
      </c>
      <c r="N31" s="243" t="s">
        <v>707</v>
      </c>
      <c r="O31" s="243">
        <v>11500</v>
      </c>
      <c r="P31" s="243" t="s">
        <v>707</v>
      </c>
      <c r="Q31" s="243" t="s">
        <v>707</v>
      </c>
    </row>
    <row r="32" spans="1:17">
      <c r="A32" s="423" t="s">
        <v>36</v>
      </c>
      <c r="B32" s="243">
        <v>3600</v>
      </c>
      <c r="C32" s="243">
        <v>71800</v>
      </c>
      <c r="D32" s="244">
        <v>5.0999999999999996</v>
      </c>
      <c r="E32" s="244">
        <v>2.1</v>
      </c>
      <c r="F32" s="243">
        <v>2100</v>
      </c>
      <c r="G32" s="243">
        <v>71700</v>
      </c>
      <c r="H32" s="244">
        <v>3</v>
      </c>
      <c r="I32" s="243" t="s">
        <v>10</v>
      </c>
      <c r="J32" s="243">
        <v>2400</v>
      </c>
      <c r="K32" s="243">
        <v>70300</v>
      </c>
      <c r="L32" s="244">
        <v>3.3</v>
      </c>
      <c r="M32" s="243" t="s">
        <v>10</v>
      </c>
      <c r="N32" s="243">
        <v>2000</v>
      </c>
      <c r="O32" s="243">
        <v>72400</v>
      </c>
      <c r="P32" s="244">
        <v>2.7</v>
      </c>
      <c r="Q32" s="243" t="s">
        <v>10</v>
      </c>
    </row>
    <row r="33" spans="1:17">
      <c r="A33" s="423" t="s">
        <v>37</v>
      </c>
      <c r="B33" s="243">
        <v>4200</v>
      </c>
      <c r="C33" s="243">
        <v>90900</v>
      </c>
      <c r="D33" s="244">
        <v>4.5999999999999996</v>
      </c>
      <c r="E33" s="244">
        <v>2.2000000000000002</v>
      </c>
      <c r="F33" s="243">
        <v>3400</v>
      </c>
      <c r="G33" s="243">
        <v>87500</v>
      </c>
      <c r="H33" s="244">
        <v>3.9</v>
      </c>
      <c r="I33" s="244">
        <v>2.1</v>
      </c>
      <c r="J33" s="243">
        <v>3200</v>
      </c>
      <c r="K33" s="243">
        <v>84200</v>
      </c>
      <c r="L33" s="244">
        <v>3.8</v>
      </c>
      <c r="M33" s="243" t="s">
        <v>10</v>
      </c>
      <c r="N33" s="243">
        <v>900</v>
      </c>
      <c r="O33" s="243">
        <v>87000</v>
      </c>
      <c r="P33" s="244">
        <v>1</v>
      </c>
      <c r="Q33" s="243" t="s">
        <v>10</v>
      </c>
    </row>
    <row r="34" spans="1:17">
      <c r="A34" s="423" t="s">
        <v>38</v>
      </c>
      <c r="B34" s="243">
        <v>500</v>
      </c>
      <c r="C34" s="243">
        <v>53200</v>
      </c>
      <c r="D34" s="244">
        <v>0.9</v>
      </c>
      <c r="E34" s="243" t="s">
        <v>10</v>
      </c>
      <c r="F34" s="243">
        <v>3800</v>
      </c>
      <c r="G34" s="243">
        <v>48900</v>
      </c>
      <c r="H34" s="244">
        <v>7.8</v>
      </c>
      <c r="I34" s="244">
        <v>3.2</v>
      </c>
      <c r="J34" s="243">
        <v>3600</v>
      </c>
      <c r="K34" s="243">
        <v>56400</v>
      </c>
      <c r="L34" s="244">
        <v>6.3</v>
      </c>
      <c r="M34" s="244">
        <v>2.7</v>
      </c>
      <c r="N34" s="243">
        <v>2600</v>
      </c>
      <c r="O34" s="243">
        <v>51900</v>
      </c>
      <c r="P34" s="244">
        <v>5</v>
      </c>
      <c r="Q34" s="243" t="s">
        <v>10</v>
      </c>
    </row>
    <row r="35" spans="1:17">
      <c r="A35" s="423" t="s">
        <v>39</v>
      </c>
      <c r="B35" s="243" t="s">
        <v>707</v>
      </c>
      <c r="C35" s="243">
        <v>10600</v>
      </c>
      <c r="D35" s="243" t="s">
        <v>707</v>
      </c>
      <c r="E35" s="243" t="s">
        <v>707</v>
      </c>
      <c r="F35" s="243" t="s">
        <v>707</v>
      </c>
      <c r="G35" s="243">
        <v>10200</v>
      </c>
      <c r="H35" s="243" t="s">
        <v>707</v>
      </c>
      <c r="I35" s="243" t="s">
        <v>707</v>
      </c>
      <c r="J35" s="243" t="s">
        <v>707</v>
      </c>
      <c r="K35" s="243">
        <v>10600</v>
      </c>
      <c r="L35" s="243" t="s">
        <v>707</v>
      </c>
      <c r="M35" s="243" t="s">
        <v>707</v>
      </c>
      <c r="N35" s="243" t="s">
        <v>707</v>
      </c>
      <c r="O35" s="243">
        <v>12000</v>
      </c>
      <c r="P35" s="243" t="s">
        <v>707</v>
      </c>
      <c r="Q35" s="243" t="s">
        <v>707</v>
      </c>
    </row>
    <row r="36" spans="1:17">
      <c r="A36" s="423" t="s">
        <v>40</v>
      </c>
      <c r="B36" s="243">
        <v>2300</v>
      </c>
      <c r="C36" s="243">
        <v>48700</v>
      </c>
      <c r="D36" s="244">
        <v>4.8</v>
      </c>
      <c r="E36" s="244">
        <v>2.4</v>
      </c>
      <c r="F36" s="243">
        <v>3000</v>
      </c>
      <c r="G36" s="243">
        <v>47700</v>
      </c>
      <c r="H36" s="244">
        <v>6.3</v>
      </c>
      <c r="I36" s="244">
        <v>3</v>
      </c>
      <c r="J36" s="243">
        <v>3200</v>
      </c>
      <c r="K36" s="243">
        <v>46300</v>
      </c>
      <c r="L36" s="244">
        <v>6.9</v>
      </c>
      <c r="M36" s="244">
        <v>3.2</v>
      </c>
      <c r="N36" s="243">
        <v>2700</v>
      </c>
      <c r="O36" s="243">
        <v>45000</v>
      </c>
      <c r="P36" s="244">
        <v>6.1</v>
      </c>
      <c r="Q36" s="243" t="s">
        <v>10</v>
      </c>
    </row>
    <row r="37" spans="1:17">
      <c r="A37" s="423" t="s">
        <v>41</v>
      </c>
      <c r="B37" s="243">
        <v>6000</v>
      </c>
      <c r="C37" s="243">
        <v>157600</v>
      </c>
      <c r="D37" s="244">
        <v>3.8</v>
      </c>
      <c r="E37" s="244">
        <v>1.9</v>
      </c>
      <c r="F37" s="243">
        <v>5800</v>
      </c>
      <c r="G37" s="243">
        <v>159500</v>
      </c>
      <c r="H37" s="244">
        <v>3.7</v>
      </c>
      <c r="I37" s="244">
        <v>1.9</v>
      </c>
      <c r="J37" s="243">
        <v>5100</v>
      </c>
      <c r="K37" s="243">
        <v>161500</v>
      </c>
      <c r="L37" s="244">
        <v>3.1</v>
      </c>
      <c r="M37" s="244">
        <v>1.8</v>
      </c>
      <c r="N37" s="243">
        <v>3400</v>
      </c>
      <c r="O37" s="243">
        <v>157500</v>
      </c>
      <c r="P37" s="244">
        <v>2.2000000000000002</v>
      </c>
      <c r="Q37" s="243" t="s">
        <v>10</v>
      </c>
    </row>
    <row r="38" spans="1:17">
      <c r="A38" s="423" t="s">
        <v>42</v>
      </c>
      <c r="B38" s="243">
        <v>1400</v>
      </c>
      <c r="C38" s="243">
        <v>45100</v>
      </c>
      <c r="D38" s="244">
        <v>3.2</v>
      </c>
      <c r="E38" s="244">
        <v>1.9</v>
      </c>
      <c r="F38" s="243">
        <v>1800</v>
      </c>
      <c r="G38" s="243">
        <v>44900</v>
      </c>
      <c r="H38" s="244">
        <v>4</v>
      </c>
      <c r="I38" s="243" t="s">
        <v>10</v>
      </c>
      <c r="J38" s="243">
        <v>1700</v>
      </c>
      <c r="K38" s="243">
        <v>46400</v>
      </c>
      <c r="L38" s="244">
        <v>3.7</v>
      </c>
      <c r="M38" s="244">
        <v>2</v>
      </c>
      <c r="N38" s="243">
        <v>2000</v>
      </c>
      <c r="O38" s="243">
        <v>49400</v>
      </c>
      <c r="P38" s="244">
        <v>4.0999999999999996</v>
      </c>
      <c r="Q38" s="244">
        <v>2.2999999999999998</v>
      </c>
    </row>
    <row r="39" spans="1:17">
      <c r="A39" s="423" t="s">
        <v>43</v>
      </c>
      <c r="B39" s="243">
        <v>2300</v>
      </c>
      <c r="C39" s="243">
        <v>42700</v>
      </c>
      <c r="D39" s="244">
        <v>5.3</v>
      </c>
      <c r="E39" s="244">
        <v>2.2000000000000002</v>
      </c>
      <c r="F39" s="243">
        <v>1800</v>
      </c>
      <c r="G39" s="243">
        <v>40900</v>
      </c>
      <c r="H39" s="244">
        <v>4.4000000000000004</v>
      </c>
      <c r="I39" s="244">
        <v>2.2999999999999998</v>
      </c>
      <c r="J39" s="243">
        <v>1300</v>
      </c>
      <c r="K39" s="243">
        <v>44300</v>
      </c>
      <c r="L39" s="244">
        <v>2.9</v>
      </c>
      <c r="M39" s="243" t="s">
        <v>10</v>
      </c>
      <c r="N39" s="243">
        <v>1200</v>
      </c>
      <c r="O39" s="243">
        <v>41200</v>
      </c>
      <c r="P39" s="244">
        <v>3</v>
      </c>
      <c r="Q39" s="243" t="s">
        <v>10</v>
      </c>
    </row>
    <row r="40" spans="1:17">
      <c r="A40" s="423" t="s">
        <v>44</v>
      </c>
      <c r="B40" s="243">
        <v>2900</v>
      </c>
      <c r="C40" s="243">
        <v>90500</v>
      </c>
      <c r="D40" s="244">
        <v>3.2</v>
      </c>
      <c r="E40" s="244">
        <v>1.9</v>
      </c>
      <c r="F40" s="243">
        <v>2600</v>
      </c>
      <c r="G40" s="243">
        <v>88900</v>
      </c>
      <c r="H40" s="244">
        <v>2.9</v>
      </c>
      <c r="I40" s="243" t="s">
        <v>10</v>
      </c>
      <c r="J40" s="243">
        <v>2000</v>
      </c>
      <c r="K40" s="243">
        <v>92100</v>
      </c>
      <c r="L40" s="244">
        <v>2.2000000000000002</v>
      </c>
      <c r="M40" s="243" t="s">
        <v>10</v>
      </c>
      <c r="N40" s="243">
        <v>4000</v>
      </c>
      <c r="O40" s="243">
        <v>91200</v>
      </c>
      <c r="P40" s="244">
        <v>4.4000000000000004</v>
      </c>
      <c r="Q40" s="243" t="s">
        <v>10</v>
      </c>
    </row>
    <row r="41" spans="1:17">
      <c r="A41" s="231" t="s">
        <v>45</v>
      </c>
      <c r="B41" s="243">
        <v>116500</v>
      </c>
      <c r="C41" s="243">
        <v>2639500</v>
      </c>
      <c r="D41" s="244">
        <v>4.4000000000000004</v>
      </c>
      <c r="E41" s="244">
        <v>0.4</v>
      </c>
      <c r="F41" s="243">
        <v>104200</v>
      </c>
      <c r="G41" s="243">
        <v>2612000</v>
      </c>
      <c r="H41" s="244">
        <v>4</v>
      </c>
      <c r="I41" s="244">
        <v>0.4</v>
      </c>
      <c r="J41" s="243">
        <v>91100</v>
      </c>
      <c r="K41" s="243">
        <v>2651000</v>
      </c>
      <c r="L41" s="244">
        <v>3.4</v>
      </c>
      <c r="M41" s="244">
        <v>0.4</v>
      </c>
      <c r="N41" s="243">
        <v>95100</v>
      </c>
      <c r="O41" s="243">
        <v>2677000</v>
      </c>
      <c r="P41" s="244">
        <v>3.6</v>
      </c>
      <c r="Q41" s="244">
        <v>0.5</v>
      </c>
    </row>
    <row r="42" spans="1:17">
      <c r="A42" s="231" t="s">
        <v>46</v>
      </c>
      <c r="B42" s="243">
        <v>1538800</v>
      </c>
      <c r="C42" s="243">
        <v>32613100</v>
      </c>
      <c r="D42" s="244">
        <v>4.7</v>
      </c>
      <c r="E42" s="244">
        <v>0.1</v>
      </c>
      <c r="F42" s="243">
        <v>1462300</v>
      </c>
      <c r="G42" s="243">
        <v>32377600</v>
      </c>
      <c r="H42" s="244">
        <v>4.5</v>
      </c>
      <c r="I42" s="244">
        <v>0.1</v>
      </c>
      <c r="J42" s="243">
        <v>1173500</v>
      </c>
      <c r="K42" s="243">
        <v>32513000</v>
      </c>
      <c r="L42" s="244">
        <v>3.6</v>
      </c>
      <c r="M42" s="244">
        <v>0.1</v>
      </c>
      <c r="N42" s="243">
        <v>1232300</v>
      </c>
      <c r="O42" s="243">
        <v>32791600</v>
      </c>
      <c r="P42" s="244">
        <v>3.8</v>
      </c>
      <c r="Q42" s="244">
        <v>0.2</v>
      </c>
    </row>
    <row r="43" spans="1:17">
      <c r="A43" s="231" t="s">
        <v>47</v>
      </c>
      <c r="B43" s="243">
        <v>41600</v>
      </c>
      <c r="C43" s="243">
        <v>899600</v>
      </c>
      <c r="D43" s="244">
        <v>4.5999999999999996</v>
      </c>
      <c r="E43" s="244">
        <v>0.7</v>
      </c>
      <c r="F43" s="243">
        <v>33900</v>
      </c>
      <c r="G43" s="243">
        <v>884600</v>
      </c>
      <c r="H43" s="244">
        <v>3.8</v>
      </c>
      <c r="I43" s="244">
        <v>0.7</v>
      </c>
      <c r="J43" s="243">
        <v>28200</v>
      </c>
      <c r="K43" s="243">
        <v>897300</v>
      </c>
      <c r="L43" s="244">
        <v>3.1</v>
      </c>
      <c r="M43" s="244">
        <v>0.7</v>
      </c>
      <c r="N43" s="243">
        <v>28300</v>
      </c>
      <c r="O43" s="243">
        <v>894100</v>
      </c>
      <c r="P43" s="244">
        <v>3.2</v>
      </c>
      <c r="Q43" s="244">
        <v>0.8</v>
      </c>
    </row>
    <row r="44" spans="1:17">
      <c r="A44" s="6" t="s">
        <v>543</v>
      </c>
      <c r="B44" s="385" cm="1">
        <f t="array" ref="B44">SUM(SUMIFS(B$9:B$41,$A$9:$A$41,{"Na h-Eileanan Siar","Argyll and Bute","Shetland Islands","Highland","Orkney Islands","Scottish Borders","Dumfries and Galloway","Aberdeenshire"}))</f>
        <v>11600</v>
      </c>
      <c r="C44" s="385">
        <f>SUM(SUMIFS(C$9:C$41,$A$9:$A$41,{"Na h-Eileanan Siar","Argyll and Bute","Shetland Islands","Highland","Orkney Islands","Scottish Borders","Dumfries and Galloway","Aberdeenshire"}))</f>
        <v>434500</v>
      </c>
      <c r="D44" s="389">
        <f>SUM(B44/C44)*100</f>
        <v>2.6697353279631764</v>
      </c>
      <c r="E44" s="9"/>
      <c r="F44" s="385">
        <f>SUM(SUMIFS(F$9:F$41,$A$9:$A$41,{"Na h-Eileanan Siar","Argyll and Bute","Shetland Islands","Highland","Orkney Islands","Scottish Borders","Dumfries and Galloway","Aberdeenshire"}))</f>
        <v>17300</v>
      </c>
      <c r="G44" s="385">
        <f>SUM(SUMIFS(G$9:G$41,$A$9:$A$41,{"Na h-Eileanan Siar","Argyll and Bute","Shetland Islands","Highland","Orkney Islands","Scottish Borders","Dumfries and Galloway","Aberdeenshire"}))</f>
        <v>416400</v>
      </c>
      <c r="H44" s="389">
        <f>SUM(F44/G44)*100</f>
        <v>4.1546589817483186</v>
      </c>
      <c r="I44" s="9"/>
      <c r="J44" s="385">
        <f>SUM(SUMIFS(J$9:J$41,$A$9:$A$41,{"Na h-Eileanan Siar","Argyll and Bute","Shetland Islands","Highland","Orkney Islands","Scottish Borders","Dumfries and Galloway","Aberdeenshire"}))</f>
        <v>17400</v>
      </c>
      <c r="K44" s="385">
        <f>SUM(SUMIFS(K$9:K$41,$A$9:$A$41,{"Na h-Eileanan Siar","Argyll and Bute","Shetland Islands","Highland","Orkney Islands","Scottish Borders","Dumfries and Galloway","Aberdeenshire"}))</f>
        <v>430100</v>
      </c>
      <c r="L44" s="389">
        <f>SUM(J44/K44)*100</f>
        <v>4.0455707974889554</v>
      </c>
      <c r="M44" s="9"/>
      <c r="N44" s="385">
        <f>SUM(SUMIFS(N$9:N$41,$A$9:$A$41,{"Na h-Eileanan Siar","Argyll and Bute","Shetland Islands","Highland","Orkney Islands","Scottish Borders","Dumfries and Galloway","Aberdeenshire"}))</f>
        <v>10200</v>
      </c>
      <c r="O44" s="385">
        <f>SUM(SUMIFS(O$9:O$41,$A$9:$A$41,{"Na h-Eileanan Siar","Argyll and Bute","Shetland Islands","Highland","Orkney Islands","Scottish Borders","Dumfries and Galloway","Aberdeenshire"}))</f>
        <v>441400</v>
      </c>
      <c r="P44" s="389">
        <f>SUM(N44/O44)*100</f>
        <v>2.3108291798821932</v>
      </c>
      <c r="Q44" s="9"/>
    </row>
    <row r="45" spans="1:17">
      <c r="A45" s="6" t="s">
        <v>544</v>
      </c>
      <c r="B45" s="385">
        <f>SUM(SUMIFS(B$9:B$41,$A$9:$A$41,{"Perth and Kinross","Stirling","Moray","South Ayrshire","East Ayrshire","East Lothian","North Ayrshire","Fife"}))</f>
        <v>26900</v>
      </c>
      <c r="C45" s="385">
        <f>SUM(SUMIFS(C$9:C$41,$A$9:$A$41,{"Perth and Kinross","Stirling","Moray","South Ayrshire","East Ayrshire","East Lothian","North Ayrshire","Fife"}))</f>
        <v>545000</v>
      </c>
      <c r="D45" s="389">
        <f>SUM(B45/C45)*100</f>
        <v>4.9357798165137616</v>
      </c>
      <c r="E45" s="9"/>
      <c r="F45" s="385">
        <f>SUM(SUMIFS(F$9:F$41,$A$9:$A$41,{"Perth and Kinross","Stirling","Moray","South Ayrshire","East Ayrshire","East Lothian","North Ayrshire","Fife"}))</f>
        <v>28700</v>
      </c>
      <c r="G45" s="385">
        <f>SUM(SUMIFS(G$9:G$41,$A$9:$A$41,{"Perth and Kinross","Stirling","Moray","South Ayrshire","East Ayrshire","East Lothian","North Ayrshire","Fife"}))</f>
        <v>541000</v>
      </c>
      <c r="H45" s="389">
        <f>SUM(F45/G45)*100</f>
        <v>5.3049907578558226</v>
      </c>
      <c r="I45" s="9"/>
      <c r="J45" s="385">
        <f>SUM(SUMIFS(J$9:J$41,$A$9:$A$41,{"Perth and Kinross","Stirling","Moray","South Ayrshire","East Ayrshire","East Lothian","North Ayrshire","Fife"}))</f>
        <v>20000</v>
      </c>
      <c r="K45" s="385">
        <f>SUM(SUMIFS(K$9:K$41,$A$9:$A$41,{"Perth and Kinross","Stirling","Moray","South Ayrshire","East Ayrshire","East Lothian","North Ayrshire","Fife"}))</f>
        <v>551200</v>
      </c>
      <c r="L45" s="389">
        <f>SUM(J45/K45)*100</f>
        <v>3.6284470246734397</v>
      </c>
      <c r="M45" s="9"/>
      <c r="N45" s="385">
        <f>SUM(SUMIFS(N$9:N$41,$A$9:$A$41,{"Perth and Kinross","Stirling","Moray","South Ayrshire","East Ayrshire","East Lothian","North Ayrshire","Fife"}))</f>
        <v>18900</v>
      </c>
      <c r="O45" s="385">
        <f>SUM(SUMIFS(O$9:O$41,$A$9:$A$41,{"Perth and Kinross","Stirling","Moray","South Ayrshire","East Ayrshire","East Lothian","North Ayrshire","Fife"}))</f>
        <v>553800</v>
      </c>
      <c r="P45" s="389">
        <f>SUM(N45/O45)*100</f>
        <v>3.412784398699892</v>
      </c>
      <c r="Q45" s="9"/>
    </row>
    <row r="46" spans="1:17">
      <c r="A46" s="6" t="s">
        <v>545</v>
      </c>
      <c r="B46" s="385">
        <f>SUM(SUMIFS(B$9:B$41,$A$9:$A$41,{"Angus","Clackmannanshire","Midlothian","South Lanarkshire","Inverclyde","Renfrewshire","West Lothian","East Renfrewshire"}))</f>
        <v>20800</v>
      </c>
      <c r="C46" s="385">
        <f>SUM(SUMIFS(C$9:C$41,$A$9:$A$41,{"Angus","Clackmannanshire","Midlothian","South Lanarkshire","Inverclyde","Renfrewshire","West Lothian","East Renfrewshire"}))</f>
        <v>536900</v>
      </c>
      <c r="D46" s="389">
        <f>SUM(B46/C46)*100</f>
        <v>3.87409200968523</v>
      </c>
      <c r="E46" s="9"/>
      <c r="F46" s="385">
        <f>SUM(SUMIFS(F$9:F$41,$A$9:$A$41,{"Angus","Clackmannanshire","Midlothian","South Lanarkshire","Inverclyde","Renfrewshire","West Lothian","East Renfrewshire"}))</f>
        <v>17500</v>
      </c>
      <c r="G46" s="385">
        <f>SUM(SUMIFS(G$9:G$41,$A$9:$A$41,{"Angus","Clackmannanshire","Midlothian","South Lanarkshire","Inverclyde","Renfrewshire","West Lothian","East Renfrewshire"}))</f>
        <v>537300</v>
      </c>
      <c r="H46" s="389">
        <f>SUM(F46/G46)*100</f>
        <v>3.2570258700911965</v>
      </c>
      <c r="I46" s="9"/>
      <c r="J46" s="385">
        <f>SUM(SUMIFS(J$9:J$41,$A$9:$A$41,{"Angus","Clackmannanshire","Midlothian","South Lanarkshire","Inverclyde","Renfrewshire","West Lothian","East Renfrewshire"}))</f>
        <v>15600</v>
      </c>
      <c r="K46" s="385">
        <f>SUM(SUMIFS(K$9:K$41,$A$9:$A$41,{"Angus","Clackmannanshire","Midlothian","South Lanarkshire","Inverclyde","Renfrewshire","West Lothian","East Renfrewshire"}))</f>
        <v>540600</v>
      </c>
      <c r="L46" s="389">
        <f>SUM(J46/K46)*100</f>
        <v>2.8856825749167592</v>
      </c>
      <c r="M46" s="9"/>
      <c r="N46" s="385">
        <f>SUM(SUMIFS(N$9:N$41,$A$9:$A$41,{"Angus","Clackmannanshire","Midlothian","South Lanarkshire","Inverclyde","Renfrewshire","West Lothian","East Renfrewshire"}))</f>
        <v>12800</v>
      </c>
      <c r="O46" s="385">
        <f>SUM(SUMIFS(O$9:O$41,$A$9:$A$41,{"Angus","Clackmannanshire","Midlothian","South Lanarkshire","Inverclyde","Renfrewshire","West Lothian","East Renfrewshire"}))</f>
        <v>537700</v>
      </c>
      <c r="P46" s="389">
        <f>SUM(N46/O46)*100</f>
        <v>2.3805095778315044</v>
      </c>
      <c r="Q46" s="9"/>
    </row>
    <row r="47" spans="1:17">
      <c r="A47" s="6" t="s">
        <v>546</v>
      </c>
      <c r="B47" s="385" cm="1">
        <f t="array" ref="B47">SUM(SUMIFS(B$9:B$41,$A$9:$A$41,{"North Lanarkshire","Falkirk","East Dunbartonshire","Aberdeen City","Edinburgh, City of","West Dunbartonshire","Dundee City","Glasgow City"}))</f>
        <v>45000</v>
      </c>
      <c r="C47" s="385">
        <f>SUM(SUMIFS(C$9:C$41,$A$9:$A$41,{"North Lanarkshire","Falkirk","East Dunbartonshire","Aberdeen City","Edinburgh, City of","West Dunbartonshire","Dundee City","Glasgow City"}))</f>
        <v>845700</v>
      </c>
      <c r="D47" s="389">
        <f>SUM(B47/C47)*100</f>
        <v>5.3210358283079104</v>
      </c>
      <c r="E47" s="9"/>
      <c r="F47" s="385">
        <f>SUM(SUMIFS(F$9:F$41,$A$9:$A$41,{"North Lanarkshire","Falkirk","East Dunbartonshire","Aberdeen City","Edinburgh, City of","West Dunbartonshire","Dundee City","Glasgow City"}))</f>
        <v>32200</v>
      </c>
      <c r="G47" s="385">
        <f>SUM(SUMIFS(G$9:G$41,$A$9:$A$41,{"North Lanarkshire","Falkirk","East Dunbartonshire","Aberdeen City","Edinburgh, City of","West Dunbartonshire","Dundee City","Glasgow City"}))</f>
        <v>834300</v>
      </c>
      <c r="H47" s="389">
        <f>SUM(F47/G47)*100</f>
        <v>3.859522953374086</v>
      </c>
      <c r="I47" s="9"/>
      <c r="J47" s="385">
        <f>SUM(SUMIFS(J$9:J$41,$A$9:$A$41,{"North Lanarkshire","Falkirk","East Dunbartonshire","Aberdeen City","Edinburgh, City of","West Dunbartonshire","Dundee City","Glasgow City"}))</f>
        <v>34100</v>
      </c>
      <c r="K47" s="385">
        <f>SUM(SUMIFS(K$9:K$41,$A$9:$A$41,{"North Lanarkshire","Falkirk","East Dunbartonshire","Aberdeen City","Edinburgh, City of","West Dunbartonshire","Dundee City","Glasgow City"}))</f>
        <v>842100</v>
      </c>
      <c r="L47" s="389">
        <f>SUM(J47/K47)*100</f>
        <v>4.0494003087519301</v>
      </c>
      <c r="M47" s="9"/>
      <c r="N47" s="385">
        <f>SUM(SUMIFS(N$9:N$41,$A$9:$A$41,{"North Lanarkshire","Falkirk","East Dunbartonshire","Aberdeen City","Edinburgh, City of","West Dunbartonshire","Dundee City","Glasgow City"}))</f>
        <v>35700</v>
      </c>
      <c r="O47" s="385">
        <f>SUM(SUMIFS(O$9:O$41,$A$9:$A$41,{"North Lanarkshire","Falkirk","East Dunbartonshire","Aberdeen City","Edinburgh, City of","West Dunbartonshire","Dundee City","Glasgow City"}))</f>
        <v>838100</v>
      </c>
      <c r="P47" s="389">
        <f>SUM(N47/O47)*100</f>
        <v>4.2596348884381339</v>
      </c>
      <c r="Q47" s="9"/>
    </row>
    <row r="49" spans="1:1">
      <c r="A49" s="230" t="s">
        <v>206</v>
      </c>
    </row>
    <row r="50" spans="1:1">
      <c r="A50" s="230" t="s">
        <v>11</v>
      </c>
    </row>
    <row r="51" spans="1:1">
      <c r="A51" s="230" t="s">
        <v>12</v>
      </c>
    </row>
    <row r="52" spans="1:1">
      <c r="A52" s="230" t="s">
        <v>13</v>
      </c>
    </row>
    <row r="53" spans="1:1">
      <c r="A53" s="230" t="s">
        <v>599</v>
      </c>
    </row>
    <row r="54" spans="1:1">
      <c r="A54" s="230" t="s">
        <v>600</v>
      </c>
    </row>
    <row r="55" spans="1:1">
      <c r="A55" s="230" t="s">
        <v>601</v>
      </c>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autoPageBreaks="0"/>
  </sheetPr>
  <dimension ref="A1:T138"/>
  <sheetViews>
    <sheetView topLeftCell="A4" zoomScale="73" zoomScaleNormal="55" workbookViewId="0"/>
  </sheetViews>
  <sheetFormatPr defaultColWidth="8.7265625" defaultRowHeight="14.5"/>
  <cols>
    <col min="1" max="1" width="25" customWidth="1" collapsed="1"/>
    <col min="2" max="19" width="14" customWidth="1" collapsed="1"/>
    <col min="20" max="20" width="14" customWidth="1"/>
  </cols>
  <sheetData>
    <row r="1" spans="1:20" ht="15.5">
      <c r="A1" s="1" t="s">
        <v>284</v>
      </c>
    </row>
    <row r="2" spans="1:20">
      <c r="A2" s="2" t="s">
        <v>283</v>
      </c>
    </row>
    <row r="4" spans="1:20">
      <c r="A4" s="6" t="s">
        <v>282</v>
      </c>
      <c r="B4" s="6"/>
    </row>
    <row r="5" spans="1:20">
      <c r="A5" s="6" t="s">
        <v>281</v>
      </c>
      <c r="B5" s="6" t="s">
        <v>285</v>
      </c>
    </row>
    <row r="6" spans="1:20">
      <c r="A6" s="6" t="s">
        <v>147</v>
      </c>
      <c r="B6" s="6" t="s">
        <v>280</v>
      </c>
    </row>
    <row r="8" spans="1:20" ht="14.5" customHeight="1">
      <c r="A8" s="12" t="s">
        <v>5</v>
      </c>
      <c r="B8" s="552"/>
      <c r="C8" s="552"/>
      <c r="D8" s="552">
        <f>H8-1</f>
        <v>2020</v>
      </c>
      <c r="E8" s="552"/>
      <c r="F8" s="552"/>
      <c r="G8" s="552"/>
      <c r="H8" s="552">
        <f>L8-1</f>
        <v>2021</v>
      </c>
      <c r="I8" s="552"/>
      <c r="J8" s="552"/>
      <c r="K8" s="552"/>
      <c r="L8" s="552">
        <f>P8-1</f>
        <v>2022</v>
      </c>
      <c r="M8" s="552"/>
      <c r="N8" s="552"/>
      <c r="O8" s="552"/>
      <c r="P8" s="552">
        <f>H57</f>
        <v>2023</v>
      </c>
      <c r="Q8" s="552"/>
      <c r="R8" s="552"/>
      <c r="S8" s="552"/>
      <c r="T8" s="552"/>
    </row>
    <row r="9" spans="1:20">
      <c r="A9" s="6" t="s">
        <v>14</v>
      </c>
      <c r="B9" s="10" cm="1">
        <f t="array" ref="B9">INDEX($A$57:$I$93,_xlfn.XMATCH($A9,$A$57:$A$93),_xlfn.XMATCH(D$8,$A$57:$I$57))</f>
        <v>41000</v>
      </c>
      <c r="C9" s="10">
        <f>B9/(D9/100)</f>
        <v>160156.25</v>
      </c>
      <c r="D9" s="8" cm="1">
        <f t="array" ref="D9">INDEX($A$102:$I$138,_xlfn.XMATCH($A9,$A$102:$A$138),_xlfn.XMATCH(D$8,$A$102:$I$102))</f>
        <v>25.6</v>
      </c>
      <c r="E9" s="10"/>
      <c r="F9" s="10" cm="1">
        <f t="array" ref="F9">INDEX($A$57:$I$93,_xlfn.XMATCH($A9,$A$57:$A$93),_xlfn.XMATCH(H$8,$A$57:$I$57))</f>
        <v>42000</v>
      </c>
      <c r="G9" s="10">
        <f>F9/(H9/100)</f>
        <v>157894.73684210525</v>
      </c>
      <c r="H9" s="8" cm="1">
        <f t="array" ref="H9">INDEX($A$102:$I$138,_xlfn.XMATCH($A9,$A$102:$A$138),_xlfn.XMATCH(H$8,$A$102:$I$102))</f>
        <v>26.6</v>
      </c>
      <c r="I9" s="10"/>
      <c r="J9" s="10" cm="1">
        <f t="array" ref="J9">INDEX($A$57:$I$93,_xlfn.XMATCH($A9,$A$57:$A$93),_xlfn.XMATCH(L$8,$A$57:$I$57))</f>
        <v>41000</v>
      </c>
      <c r="K9" s="10">
        <f>J9/(L9/100)</f>
        <v>158301.15830115828</v>
      </c>
      <c r="L9" s="8" cm="1">
        <f t="array" ref="L9">INDEX($A$102:$I$138,_xlfn.XMATCH($A9,$A$102:$A$138),_xlfn.XMATCH(L$8,$A$102:$I$102))</f>
        <v>25.9</v>
      </c>
      <c r="M9" s="10"/>
      <c r="N9" s="10" cm="1">
        <f t="array" ref="N9">INDEX($A$57:$I$93,_xlfn.XMATCH($A9,$A$57:$A$93),_xlfn.XMATCH(P$8,$A$57:$I$57))</f>
        <v>41000</v>
      </c>
      <c r="O9" s="10">
        <f>N9/(P9/100)</f>
        <v>158914.72868217053</v>
      </c>
      <c r="P9" s="8" cm="1">
        <f t="array" ref="P9">INDEX($A$102:$I$138,_xlfn.XMATCH($A9,$A$102:$A$138),_xlfn.XMATCH(P$8,$A$102:$I$102))</f>
        <v>25.8</v>
      </c>
      <c r="Q9" s="9"/>
      <c r="R9" s="10"/>
      <c r="T9" s="10"/>
    </row>
    <row r="10" spans="1:20">
      <c r="A10" s="6" t="s">
        <v>15</v>
      </c>
      <c r="B10" s="10" cm="1">
        <f t="array" ref="B10">INDEX($A$57:$I$93,_xlfn.XMATCH($A10,$A$57:$A$93),_xlfn.XMATCH(D$8,$A$57:$I$57))</f>
        <v>25000</v>
      </c>
      <c r="C10" s="10">
        <f t="shared" ref="C10:C43" si="0">B10/(D10/100)</f>
        <v>100806.45161290323</v>
      </c>
      <c r="D10" s="8" cm="1">
        <f t="array" ref="D10">INDEX($A$102:$I$138,_xlfn.XMATCH($A10,$A$102:$A$138),_xlfn.XMATCH(D$8,$A$102:$I$102))</f>
        <v>24.8</v>
      </c>
      <c r="E10" s="10"/>
      <c r="F10" s="10" cm="1">
        <f t="array" ref="F10">INDEX($A$57:$I$93,_xlfn.XMATCH($A10,$A$57:$A$93),_xlfn.XMATCH(H$8,$A$57:$I$57))</f>
        <v>27000</v>
      </c>
      <c r="G10" s="10">
        <f t="shared" ref="G10:G43" si="1">F10/(H10/100)</f>
        <v>103053.43511450381</v>
      </c>
      <c r="H10" s="8" cm="1">
        <f t="array" ref="H10">INDEX($A$102:$I$138,_xlfn.XMATCH($A10,$A$102:$A$138),_xlfn.XMATCH(H$8,$A$102:$I$102))</f>
        <v>26.2</v>
      </c>
      <c r="I10" s="10"/>
      <c r="J10" s="10" cm="1">
        <f t="array" ref="J10">INDEX($A$57:$I$93,_xlfn.XMATCH($A10,$A$57:$A$93),_xlfn.XMATCH(L$8,$A$57:$I$57))</f>
        <v>26000</v>
      </c>
      <c r="K10" s="10">
        <f t="shared" ref="K10:K43" si="2">J10/(L10/100)</f>
        <v>101960.78431372548</v>
      </c>
      <c r="L10" s="8" cm="1">
        <f t="array" ref="L10">INDEX($A$102:$I$138,_xlfn.XMATCH($A10,$A$102:$A$138),_xlfn.XMATCH(L$8,$A$102:$I$102))</f>
        <v>25.5</v>
      </c>
      <c r="M10" s="10"/>
      <c r="N10" s="10" cm="1">
        <f t="array" ref="N10">INDEX($A$57:$I$93,_xlfn.XMATCH($A10,$A$57:$A$93),_xlfn.XMATCH(P$8,$A$57:$I$57))</f>
        <v>27000</v>
      </c>
      <c r="O10" s="10">
        <f t="shared" ref="O10:O43" si="3">N10/(P10/100)</f>
        <v>103846.15384615384</v>
      </c>
      <c r="P10" s="8" cm="1">
        <f t="array" ref="P10">INDEX($A$102:$I$138,_xlfn.XMATCH($A10,$A$102:$A$138),_xlfn.XMATCH(P$8,$A$102:$I$102))</f>
        <v>26</v>
      </c>
      <c r="Q10" s="9"/>
      <c r="R10" s="10"/>
      <c r="T10" s="10"/>
    </row>
    <row r="11" spans="1:20">
      <c r="A11" s="6" t="s">
        <v>16</v>
      </c>
      <c r="B11" s="10" cm="1">
        <f t="array" ref="B11">INDEX($A$57:$I$93,_xlfn.XMATCH($A11,$A$57:$A$93),_xlfn.XMATCH(D$8,$A$57:$I$57))</f>
        <v>9000</v>
      </c>
      <c r="C11" s="10">
        <f t="shared" si="0"/>
        <v>33962.264150943396</v>
      </c>
      <c r="D11" s="8" cm="1">
        <f t="array" ref="D11">INDEX($A$102:$I$138,_xlfn.XMATCH($A11,$A$102:$A$138),_xlfn.XMATCH(D$8,$A$102:$I$102))</f>
        <v>26.5</v>
      </c>
      <c r="E11" s="10"/>
      <c r="F11" s="10" cm="1">
        <f t="array" ref="F11">INDEX($A$57:$I$93,_xlfn.XMATCH($A11,$A$57:$A$93),_xlfn.XMATCH(H$8,$A$57:$I$57))</f>
        <v>9000</v>
      </c>
      <c r="G11" s="10">
        <f t="shared" si="1"/>
        <v>36000</v>
      </c>
      <c r="H11" s="8" cm="1">
        <f t="array" ref="H11">INDEX($A$102:$I$138,_xlfn.XMATCH($A11,$A$102:$A$138),_xlfn.XMATCH(H$8,$A$102:$I$102))</f>
        <v>25</v>
      </c>
      <c r="I11" s="10"/>
      <c r="J11" s="10" cm="1">
        <f t="array" ref="J11">INDEX($A$57:$I$93,_xlfn.XMATCH($A11,$A$57:$A$93),_xlfn.XMATCH(L$8,$A$57:$I$57))</f>
        <v>10000</v>
      </c>
      <c r="K11" s="10">
        <f t="shared" si="2"/>
        <v>37037.037037037036</v>
      </c>
      <c r="L11" s="8" cm="1">
        <f t="array" ref="L11">INDEX($A$102:$I$138,_xlfn.XMATCH($A11,$A$102:$A$138),_xlfn.XMATCH(L$8,$A$102:$I$102))</f>
        <v>27</v>
      </c>
      <c r="M11" s="10"/>
      <c r="N11" s="10" cm="1">
        <f t="array" ref="N11">INDEX($A$57:$I$93,_xlfn.XMATCH($A11,$A$57:$A$93),_xlfn.XMATCH(P$8,$A$57:$I$57))</f>
        <v>10000</v>
      </c>
      <c r="O11" s="10">
        <f t="shared" si="3"/>
        <v>37037.037037037036</v>
      </c>
      <c r="P11" s="8" cm="1">
        <f t="array" ref="P11">INDEX($A$102:$I$138,_xlfn.XMATCH($A11,$A$102:$A$138),_xlfn.XMATCH(P$8,$A$102:$I$102))</f>
        <v>27</v>
      </c>
      <c r="Q11" s="9"/>
      <c r="R11" s="10"/>
      <c r="T11" s="10"/>
    </row>
    <row r="12" spans="1:20">
      <c r="A12" s="6" t="s">
        <v>17</v>
      </c>
      <c r="B12" s="10" cm="1">
        <f t="array" ref="B12">INDEX($A$57:$I$93,_xlfn.XMATCH($A12,$A$57:$A$93),_xlfn.XMATCH(D$8,$A$57:$I$57))</f>
        <v>11000</v>
      </c>
      <c r="C12" s="10">
        <f t="shared" si="0"/>
        <v>33950.617283950618</v>
      </c>
      <c r="D12" s="8" cm="1">
        <f t="array" ref="D12">INDEX($A$102:$I$138,_xlfn.XMATCH($A12,$A$102:$A$138),_xlfn.XMATCH(D$8,$A$102:$I$102))</f>
        <v>32.4</v>
      </c>
      <c r="E12" s="10"/>
      <c r="F12" s="10" cm="1">
        <f t="array" ref="F12">INDEX($A$57:$I$93,_xlfn.XMATCH($A12,$A$57:$A$93),_xlfn.XMATCH(H$8,$A$57:$I$57))</f>
        <v>12000</v>
      </c>
      <c r="G12" s="10">
        <f t="shared" si="1"/>
        <v>37037.037037037036</v>
      </c>
      <c r="H12" s="8" cm="1">
        <f t="array" ref="H12">INDEX($A$102:$I$138,_xlfn.XMATCH($A12,$A$102:$A$138),_xlfn.XMATCH(H$8,$A$102:$I$102))</f>
        <v>32.4</v>
      </c>
      <c r="I12" s="10"/>
      <c r="J12" s="10" cm="1">
        <f t="array" ref="J12">INDEX($A$57:$I$93,_xlfn.XMATCH($A12,$A$57:$A$93),_xlfn.XMATCH(L$8,$A$57:$I$57))</f>
        <v>13000</v>
      </c>
      <c r="K12" s="10">
        <f t="shared" si="2"/>
        <v>37037.037037037036</v>
      </c>
      <c r="L12" s="8" cm="1">
        <f t="array" ref="L12">INDEX($A$102:$I$138,_xlfn.XMATCH($A12,$A$102:$A$138),_xlfn.XMATCH(L$8,$A$102:$I$102))</f>
        <v>35.1</v>
      </c>
      <c r="M12" s="10"/>
      <c r="N12" s="10" cm="1">
        <f t="array" ref="N12">INDEX($A$57:$I$93,_xlfn.XMATCH($A12,$A$57:$A$93),_xlfn.XMATCH(P$8,$A$57:$I$57))</f>
        <v>12000</v>
      </c>
      <c r="O12" s="10">
        <f t="shared" si="3"/>
        <v>36036.036036036043</v>
      </c>
      <c r="P12" s="8" cm="1">
        <f t="array" ref="P12">INDEX($A$102:$I$138,_xlfn.XMATCH($A12,$A$102:$A$138),_xlfn.XMATCH(P$8,$A$102:$I$102))</f>
        <v>33.299999999999997</v>
      </c>
      <c r="Q12" s="9"/>
      <c r="R12" s="10"/>
      <c r="T12" s="10"/>
    </row>
    <row r="13" spans="1:20">
      <c r="A13" s="6" t="s">
        <v>189</v>
      </c>
      <c r="B13" s="10" cm="1">
        <f t="array" ref="B13">INDEX($A$57:$I$93,_xlfn.XMATCH($A13,$A$57:$A$93),_xlfn.XMATCH(D$8,$A$57:$I$57))</f>
        <v>101000</v>
      </c>
      <c r="C13" s="10">
        <f t="shared" si="0"/>
        <v>347079.03780068725</v>
      </c>
      <c r="D13" s="8" cm="1">
        <f t="array" ref="D13">INDEX($A$102:$I$138,_xlfn.XMATCH($A13,$A$102:$A$138),_xlfn.XMATCH(D$8,$A$102:$I$102))</f>
        <v>29.1</v>
      </c>
      <c r="E13" s="10"/>
      <c r="F13" s="10" cm="1">
        <f t="array" ref="F13">INDEX($A$57:$I$93,_xlfn.XMATCH($A13,$A$57:$A$93),_xlfn.XMATCH(H$8,$A$57:$I$57))</f>
        <v>105000</v>
      </c>
      <c r="G13" s="10">
        <f t="shared" si="1"/>
        <v>355932.20338983054</v>
      </c>
      <c r="H13" s="8" cm="1">
        <f t="array" ref="H13">INDEX($A$102:$I$138,_xlfn.XMATCH($A13,$A$102:$A$138),_xlfn.XMATCH(H$8,$A$102:$I$102))</f>
        <v>29.5</v>
      </c>
      <c r="I13" s="10"/>
      <c r="J13" s="10" cm="1">
        <f t="array" ref="J13">INDEX($A$57:$I$93,_xlfn.XMATCH($A13,$A$57:$A$93),_xlfn.XMATCH(L$8,$A$57:$I$57))</f>
        <v>92000</v>
      </c>
      <c r="K13" s="10">
        <f t="shared" si="2"/>
        <v>355212.35521235521</v>
      </c>
      <c r="L13" s="8" cm="1">
        <f t="array" ref="L13">INDEX($A$102:$I$138,_xlfn.XMATCH($A13,$A$102:$A$138),_xlfn.XMATCH(L$8,$A$102:$I$102))</f>
        <v>25.9</v>
      </c>
      <c r="M13" s="10"/>
      <c r="N13" s="10" cm="1">
        <f t="array" ref="N13">INDEX($A$57:$I$93,_xlfn.XMATCH($A13,$A$57:$A$93),_xlfn.XMATCH(P$8,$A$57:$I$57))</f>
        <v>95000</v>
      </c>
      <c r="O13" s="10">
        <f t="shared" si="3"/>
        <v>366795.3667953668</v>
      </c>
      <c r="P13" s="8" cm="1">
        <f t="array" ref="P13">INDEX($A$102:$I$138,_xlfn.XMATCH($A13,$A$102:$A$138),_xlfn.XMATCH(P$8,$A$102:$I$102))</f>
        <v>25.9</v>
      </c>
      <c r="Q13" s="9"/>
      <c r="R13" s="10"/>
      <c r="T13" s="10"/>
    </row>
    <row r="14" spans="1:20">
      <c r="A14" s="6" t="s">
        <v>18</v>
      </c>
      <c r="B14" s="10" cm="1">
        <f t="array" ref="B14">INDEX($A$57:$I$93,_xlfn.XMATCH($A14,$A$57:$A$93),_xlfn.XMATCH(D$8,$A$57:$I$57))</f>
        <v>3500</v>
      </c>
      <c r="C14" s="10">
        <f t="shared" si="0"/>
        <v>14000</v>
      </c>
      <c r="D14" s="8" cm="1">
        <f t="array" ref="D14">INDEX($A$102:$I$138,_xlfn.XMATCH($A14,$A$102:$A$138),_xlfn.XMATCH(D$8,$A$102:$I$102))</f>
        <v>25</v>
      </c>
      <c r="E14" s="10"/>
      <c r="F14" s="10" cm="1">
        <f t="array" ref="F14">INDEX($A$57:$I$93,_xlfn.XMATCH($A14,$A$57:$A$93),_xlfn.XMATCH(H$8,$A$57:$I$57))</f>
        <v>4000</v>
      </c>
      <c r="G14" s="10">
        <f t="shared" si="1"/>
        <v>14981.2734082397</v>
      </c>
      <c r="H14" s="8" cm="1">
        <f t="array" ref="H14">INDEX($A$102:$I$138,_xlfn.XMATCH($A14,$A$102:$A$138),_xlfn.XMATCH(H$8,$A$102:$I$102))</f>
        <v>26.7</v>
      </c>
      <c r="I14" s="10"/>
      <c r="J14" s="10" cm="1">
        <f t="array" ref="J14">INDEX($A$57:$I$93,_xlfn.XMATCH($A14,$A$57:$A$93),_xlfn.XMATCH(L$8,$A$57:$I$57))</f>
        <v>4000</v>
      </c>
      <c r="K14" s="10">
        <f t="shared" si="2"/>
        <v>13986.013986013984</v>
      </c>
      <c r="L14" s="8" cm="1">
        <f t="array" ref="L14">INDEX($A$102:$I$138,_xlfn.XMATCH($A14,$A$102:$A$138),_xlfn.XMATCH(L$8,$A$102:$I$102))</f>
        <v>28.6</v>
      </c>
      <c r="M14" s="10"/>
      <c r="N14" s="10" cm="1">
        <f t="array" ref="N14">INDEX($A$57:$I$93,_xlfn.XMATCH($A14,$A$57:$A$93),_xlfn.XMATCH(P$8,$A$57:$I$57))</f>
        <v>4000</v>
      </c>
      <c r="O14" s="10">
        <f t="shared" si="3"/>
        <v>13986.013986013984</v>
      </c>
      <c r="P14" s="8" cm="1">
        <f t="array" ref="P14">INDEX($A$102:$I$138,_xlfn.XMATCH($A14,$A$102:$A$138),_xlfn.XMATCH(P$8,$A$102:$I$102))</f>
        <v>28.6</v>
      </c>
      <c r="Q14" s="9"/>
      <c r="R14" s="10"/>
      <c r="T14" s="10"/>
    </row>
    <row r="15" spans="1:20">
      <c r="A15" s="6" t="s">
        <v>19</v>
      </c>
      <c r="B15" s="10" cm="1">
        <f t="array" ref="B15">INDEX($A$57:$I$93,_xlfn.XMATCH($A15,$A$57:$A$93),_xlfn.XMATCH(D$8,$A$57:$I$57))</f>
        <v>16000</v>
      </c>
      <c r="C15" s="10">
        <f t="shared" si="0"/>
        <v>55944.055944055937</v>
      </c>
      <c r="D15" s="8" cm="1">
        <f t="array" ref="D15">INDEX($A$102:$I$138,_xlfn.XMATCH($A15,$A$102:$A$138),_xlfn.XMATCH(D$8,$A$102:$I$102))</f>
        <v>28.6</v>
      </c>
      <c r="E15" s="10"/>
      <c r="F15" s="10" cm="1">
        <f t="array" ref="F15">INDEX($A$57:$I$93,_xlfn.XMATCH($A15,$A$57:$A$93),_xlfn.XMATCH(H$8,$A$57:$I$57))</f>
        <v>16000</v>
      </c>
      <c r="G15" s="10">
        <f t="shared" si="1"/>
        <v>57971.014492753617</v>
      </c>
      <c r="H15" s="8" cm="1">
        <f t="array" ref="H15">INDEX($A$102:$I$138,_xlfn.XMATCH($A15,$A$102:$A$138),_xlfn.XMATCH(H$8,$A$102:$I$102))</f>
        <v>27.6</v>
      </c>
      <c r="I15" s="10"/>
      <c r="J15" s="10" cm="1">
        <f t="array" ref="J15">INDEX($A$57:$I$93,_xlfn.XMATCH($A15,$A$57:$A$93),_xlfn.XMATCH(L$8,$A$57:$I$57))</f>
        <v>17000</v>
      </c>
      <c r="K15" s="10">
        <f t="shared" si="2"/>
        <v>59027.777777777774</v>
      </c>
      <c r="L15" s="8" cm="1">
        <f t="array" ref="L15">INDEX($A$102:$I$138,_xlfn.XMATCH($A15,$A$102:$A$138),_xlfn.XMATCH(L$8,$A$102:$I$102))</f>
        <v>28.8</v>
      </c>
      <c r="M15" s="10"/>
      <c r="N15" s="10" cm="1">
        <f t="array" ref="N15">INDEX($A$57:$I$93,_xlfn.XMATCH($A15,$A$57:$A$93),_xlfn.XMATCH(P$8,$A$57:$I$57))</f>
        <v>18000</v>
      </c>
      <c r="O15" s="10">
        <f t="shared" si="3"/>
        <v>60000</v>
      </c>
      <c r="P15" s="8" cm="1">
        <f t="array" ref="P15">INDEX($A$102:$I$138,_xlfn.XMATCH($A15,$A$102:$A$138),_xlfn.XMATCH(P$8,$A$102:$I$102))</f>
        <v>30</v>
      </c>
      <c r="Q15" s="9"/>
      <c r="R15" s="10"/>
      <c r="T15" s="10"/>
    </row>
    <row r="16" spans="1:20">
      <c r="A16" s="6" t="s">
        <v>20</v>
      </c>
      <c r="B16" s="10" cm="1">
        <f t="array" ref="B16">INDEX($A$57:$I$93,_xlfn.XMATCH($A16,$A$57:$A$93),_xlfn.XMATCH(D$8,$A$57:$I$57))</f>
        <v>22000</v>
      </c>
      <c r="C16" s="10">
        <f t="shared" si="0"/>
        <v>74074.074074074073</v>
      </c>
      <c r="D16" s="8" cm="1">
        <f t="array" ref="D16">INDEX($A$102:$I$138,_xlfn.XMATCH($A16,$A$102:$A$138),_xlfn.XMATCH(D$8,$A$102:$I$102))</f>
        <v>29.7</v>
      </c>
      <c r="E16" s="10"/>
      <c r="F16" s="10" cm="1">
        <f t="array" ref="F16">INDEX($A$57:$I$93,_xlfn.XMATCH($A16,$A$57:$A$93),_xlfn.XMATCH(H$8,$A$57:$I$57))</f>
        <v>22000</v>
      </c>
      <c r="G16" s="10">
        <f t="shared" si="1"/>
        <v>76124.567474048454</v>
      </c>
      <c r="H16" s="8" cm="1">
        <f t="array" ref="H16">INDEX($A$102:$I$138,_xlfn.XMATCH($A16,$A$102:$A$138),_xlfn.XMATCH(H$8,$A$102:$I$102))</f>
        <v>28.9</v>
      </c>
      <c r="I16" s="10"/>
      <c r="J16" s="10" cm="1">
        <f t="array" ref="J16">INDEX($A$57:$I$93,_xlfn.XMATCH($A16,$A$57:$A$93),_xlfn.XMATCH(L$8,$A$57:$I$57))</f>
        <v>22000</v>
      </c>
      <c r="K16" s="10">
        <f t="shared" si="2"/>
        <v>76124.567474048454</v>
      </c>
      <c r="L16" s="8" cm="1">
        <f t="array" ref="L16">INDEX($A$102:$I$138,_xlfn.XMATCH($A16,$A$102:$A$138),_xlfn.XMATCH(L$8,$A$102:$I$102))</f>
        <v>28.9</v>
      </c>
      <c r="M16" s="10"/>
      <c r="N16" s="10" cm="1">
        <f t="array" ref="N16">INDEX($A$57:$I$93,_xlfn.XMATCH($A16,$A$57:$A$93),_xlfn.XMATCH(P$8,$A$57:$I$57))</f>
        <v>22000</v>
      </c>
      <c r="O16" s="10">
        <f t="shared" si="3"/>
        <v>79136.690647482013</v>
      </c>
      <c r="P16" s="8" cm="1">
        <f t="array" ref="P16">INDEX($A$102:$I$138,_xlfn.XMATCH($A16,$A$102:$A$138),_xlfn.XMATCH(P$8,$A$102:$I$102))</f>
        <v>27.8</v>
      </c>
      <c r="Q16" s="9"/>
      <c r="R16" s="10"/>
      <c r="T16" s="10"/>
    </row>
    <row r="17" spans="1:20">
      <c r="A17" s="6" t="s">
        <v>21</v>
      </c>
      <c r="B17" s="10" cm="1">
        <f t="array" ref="B17">INDEX($A$57:$I$93,_xlfn.XMATCH($A17,$A$57:$A$93),_xlfn.XMATCH(D$8,$A$57:$I$57))</f>
        <v>11000</v>
      </c>
      <c r="C17" s="10">
        <f t="shared" si="0"/>
        <v>39007.092198581566</v>
      </c>
      <c r="D17" s="8" cm="1">
        <f t="array" ref="D17">INDEX($A$102:$I$138,_xlfn.XMATCH($A17,$A$102:$A$138),_xlfn.XMATCH(D$8,$A$102:$I$102))</f>
        <v>28.2</v>
      </c>
      <c r="E17" s="10"/>
      <c r="F17" s="10" cm="1">
        <f t="array" ref="F17">INDEX($A$57:$I$93,_xlfn.XMATCH($A17,$A$57:$A$93),_xlfn.XMATCH(H$8,$A$57:$I$57))</f>
        <v>12000</v>
      </c>
      <c r="G17" s="10">
        <f t="shared" si="1"/>
        <v>40955.631399317412</v>
      </c>
      <c r="H17" s="8" cm="1">
        <f t="array" ref="H17">INDEX($A$102:$I$138,_xlfn.XMATCH($A17,$A$102:$A$138),_xlfn.XMATCH(H$8,$A$102:$I$102))</f>
        <v>29.3</v>
      </c>
      <c r="I17" s="10"/>
      <c r="J17" s="10" cm="1">
        <f t="array" ref="J17">INDEX($A$57:$I$93,_xlfn.XMATCH($A17,$A$57:$A$93),_xlfn.XMATCH(L$8,$A$57:$I$57))</f>
        <v>12000</v>
      </c>
      <c r="K17" s="10">
        <f t="shared" si="2"/>
        <v>40955.631399317412</v>
      </c>
      <c r="L17" s="8" cm="1">
        <f t="array" ref="L17">INDEX($A$102:$I$138,_xlfn.XMATCH($A17,$A$102:$A$138),_xlfn.XMATCH(L$8,$A$102:$I$102))</f>
        <v>29.3</v>
      </c>
      <c r="M17" s="10"/>
      <c r="N17" s="10" cm="1">
        <f t="array" ref="N17">INDEX($A$57:$I$93,_xlfn.XMATCH($A17,$A$57:$A$93),_xlfn.XMATCH(P$8,$A$57:$I$57))</f>
        <v>12000</v>
      </c>
      <c r="O17" s="10">
        <f t="shared" si="3"/>
        <v>40955.631399317412</v>
      </c>
      <c r="P17" s="8" cm="1">
        <f t="array" ref="P17">INDEX($A$102:$I$138,_xlfn.XMATCH($A17,$A$102:$A$138),_xlfn.XMATCH(P$8,$A$102:$I$102))</f>
        <v>29.3</v>
      </c>
      <c r="Q17" s="9"/>
      <c r="R17" s="10"/>
      <c r="T17" s="10"/>
    </row>
    <row r="18" spans="1:20">
      <c r="A18" s="6" t="s">
        <v>22</v>
      </c>
      <c r="B18" s="10" cm="1">
        <f t="array" ref="B18">INDEX($A$57:$I$93,_xlfn.XMATCH($A18,$A$57:$A$93),_xlfn.XMATCH(D$8,$A$57:$I$57))</f>
        <v>7000</v>
      </c>
      <c r="C18" s="10">
        <f t="shared" si="0"/>
        <v>23972.60273972603</v>
      </c>
      <c r="D18" s="8" cm="1">
        <f t="array" ref="D18">INDEX($A$102:$I$138,_xlfn.XMATCH($A18,$A$102:$A$138),_xlfn.XMATCH(D$8,$A$102:$I$102))</f>
        <v>29.2</v>
      </c>
      <c r="E18" s="10"/>
      <c r="F18" s="10" cm="1">
        <f t="array" ref="F18">INDEX($A$57:$I$93,_xlfn.XMATCH($A18,$A$57:$A$93),_xlfn.XMATCH(H$8,$A$57:$I$57))</f>
        <v>7000</v>
      </c>
      <c r="G18" s="10">
        <f t="shared" si="1"/>
        <v>26022.304832713759</v>
      </c>
      <c r="H18" s="8" cm="1">
        <f t="array" ref="H18">INDEX($A$102:$I$138,_xlfn.XMATCH($A18,$A$102:$A$138),_xlfn.XMATCH(H$8,$A$102:$I$102))</f>
        <v>26.9</v>
      </c>
      <c r="I18" s="10"/>
      <c r="J18" s="10" cm="1">
        <f t="array" ref="J18">INDEX($A$57:$I$93,_xlfn.XMATCH($A18,$A$57:$A$93),_xlfn.XMATCH(L$8,$A$57:$I$57))</f>
        <v>7000</v>
      </c>
      <c r="K18" s="10">
        <f t="shared" si="2"/>
        <v>26022.304832713759</v>
      </c>
      <c r="L18" s="8" cm="1">
        <f t="array" ref="L18">INDEX($A$102:$I$138,_xlfn.XMATCH($A18,$A$102:$A$138),_xlfn.XMATCH(L$8,$A$102:$I$102))</f>
        <v>26.9</v>
      </c>
      <c r="M18" s="10"/>
      <c r="N18" s="10" cm="1">
        <f t="array" ref="N18">INDEX($A$57:$I$93,_xlfn.XMATCH($A18,$A$57:$A$93),_xlfn.XMATCH(P$8,$A$57:$I$57))</f>
        <v>7000</v>
      </c>
      <c r="O18" s="10">
        <f t="shared" si="3"/>
        <v>26022.304832713759</v>
      </c>
      <c r="P18" s="8" cm="1">
        <f t="array" ref="P18">INDEX($A$102:$I$138,_xlfn.XMATCH($A18,$A$102:$A$138),_xlfn.XMATCH(P$8,$A$102:$I$102))</f>
        <v>26.9</v>
      </c>
      <c r="Q18" s="9"/>
      <c r="R18" s="10"/>
      <c r="S18" s="10"/>
      <c r="T18" s="10"/>
    </row>
    <row r="19" spans="1:20">
      <c r="A19" s="6" t="s">
        <v>23</v>
      </c>
      <c r="B19" s="10" cm="1">
        <f t="array" ref="B19">INDEX($A$57:$I$93,_xlfn.XMATCH($A19,$A$57:$A$93),_xlfn.XMATCH(D$8,$A$57:$I$57))</f>
        <v>9000</v>
      </c>
      <c r="C19" s="10">
        <f t="shared" si="0"/>
        <v>31034.482758620692</v>
      </c>
      <c r="D19" s="8" cm="1">
        <f t="array" ref="D19">INDEX($A$102:$I$138,_xlfn.XMATCH($A19,$A$102:$A$138),_xlfn.XMATCH(D$8,$A$102:$I$102))</f>
        <v>29</v>
      </c>
      <c r="E19" s="10"/>
      <c r="F19" s="10" cm="1">
        <f t="array" ref="F19">INDEX($A$57:$I$93,_xlfn.XMATCH($A19,$A$57:$A$93),_xlfn.XMATCH(H$8,$A$57:$I$57))</f>
        <v>10000</v>
      </c>
      <c r="G19" s="10">
        <f t="shared" si="1"/>
        <v>33003.300330033002</v>
      </c>
      <c r="H19" s="8" cm="1">
        <f t="array" ref="H19">INDEX($A$102:$I$138,_xlfn.XMATCH($A19,$A$102:$A$138),_xlfn.XMATCH(H$8,$A$102:$I$102))</f>
        <v>30.3</v>
      </c>
      <c r="I19" s="10"/>
      <c r="J19" s="10" cm="1">
        <f t="array" ref="J19">INDEX($A$57:$I$93,_xlfn.XMATCH($A19,$A$57:$A$93),_xlfn.XMATCH(L$8,$A$57:$I$57))</f>
        <v>10000</v>
      </c>
      <c r="K19" s="10">
        <f t="shared" si="2"/>
        <v>34013.605442176871</v>
      </c>
      <c r="L19" s="8" cm="1">
        <f t="array" ref="L19">INDEX($A$102:$I$138,_xlfn.XMATCH($A19,$A$102:$A$138),_xlfn.XMATCH(L$8,$A$102:$I$102))</f>
        <v>29.4</v>
      </c>
      <c r="M19" s="10"/>
      <c r="N19" s="10" cm="1">
        <f t="array" ref="N19">INDEX($A$57:$I$93,_xlfn.XMATCH($A19,$A$57:$A$93),_xlfn.XMATCH(P$8,$A$57:$I$57))</f>
        <v>9000</v>
      </c>
      <c r="O19" s="10">
        <f t="shared" si="3"/>
        <v>32967.032967032967</v>
      </c>
      <c r="P19" s="8" cm="1">
        <f t="array" ref="P19">INDEX($A$102:$I$138,_xlfn.XMATCH($A19,$A$102:$A$138),_xlfn.XMATCH(P$8,$A$102:$I$102))</f>
        <v>27.3</v>
      </c>
      <c r="Q19" s="9"/>
      <c r="R19" s="10"/>
      <c r="S19" s="10"/>
      <c r="T19" s="10"/>
    </row>
    <row r="20" spans="1:20">
      <c r="A20" s="6" t="s">
        <v>24</v>
      </c>
      <c r="B20" s="10" cm="1">
        <f t="array" ref="B20">INDEX($A$57:$I$93,_xlfn.XMATCH($A20,$A$57:$A$93),_xlfn.XMATCH(D$8,$A$57:$I$57))</f>
        <v>6000</v>
      </c>
      <c r="C20" s="10">
        <f t="shared" si="0"/>
        <v>20979.020979020977</v>
      </c>
      <c r="D20" s="8" cm="1">
        <f t="array" ref="D20">INDEX($A$102:$I$138,_xlfn.XMATCH($A20,$A$102:$A$138),_xlfn.XMATCH(D$8,$A$102:$I$102))</f>
        <v>28.6</v>
      </c>
      <c r="E20" s="10"/>
      <c r="F20" s="10" cm="1">
        <f t="array" ref="F20">INDEX($A$57:$I$93,_xlfn.XMATCH($A20,$A$57:$A$93),_xlfn.XMATCH(H$8,$A$57:$I$57))</f>
        <v>7000</v>
      </c>
      <c r="G20" s="10">
        <f t="shared" si="1"/>
        <v>22012.578616352203</v>
      </c>
      <c r="H20" s="8" cm="1">
        <f t="array" ref="H20">INDEX($A$102:$I$138,_xlfn.XMATCH($A20,$A$102:$A$138),_xlfn.XMATCH(H$8,$A$102:$I$102))</f>
        <v>31.8</v>
      </c>
      <c r="I20" s="10"/>
      <c r="J20" s="10" cm="1">
        <f t="array" ref="J20">INDEX($A$57:$I$93,_xlfn.XMATCH($A20,$A$57:$A$93),_xlfn.XMATCH(L$8,$A$57:$I$57))</f>
        <v>7000</v>
      </c>
      <c r="K20" s="10">
        <f t="shared" si="2"/>
        <v>21021.021021021024</v>
      </c>
      <c r="L20" s="8" cm="1">
        <f t="array" ref="L20">INDEX($A$102:$I$138,_xlfn.XMATCH($A20,$A$102:$A$138),_xlfn.XMATCH(L$8,$A$102:$I$102))</f>
        <v>33.299999999999997</v>
      </c>
      <c r="M20" s="10"/>
      <c r="N20" s="10" cm="1">
        <f t="array" ref="N20">INDEX($A$57:$I$93,_xlfn.XMATCH($A20,$A$57:$A$93),_xlfn.XMATCH(P$8,$A$57:$I$57))</f>
        <v>7000</v>
      </c>
      <c r="O20" s="10">
        <f t="shared" si="3"/>
        <v>21021.021021021024</v>
      </c>
      <c r="P20" s="8" cm="1">
        <f t="array" ref="P20">INDEX($A$102:$I$138,_xlfn.XMATCH($A20,$A$102:$A$138),_xlfn.XMATCH(P$8,$A$102:$I$102))</f>
        <v>33.299999999999997</v>
      </c>
      <c r="Q20" s="9"/>
      <c r="R20" s="10"/>
      <c r="S20" s="10"/>
      <c r="T20" s="10"/>
    </row>
    <row r="21" spans="1:20">
      <c r="A21" s="6" t="s">
        <v>25</v>
      </c>
      <c r="B21" s="10" cm="1">
        <f t="array" ref="B21">INDEX($A$57:$I$93,_xlfn.XMATCH($A21,$A$57:$A$93),_xlfn.XMATCH(D$8,$A$57:$I$57))</f>
        <v>16000</v>
      </c>
      <c r="C21" s="10">
        <f t="shared" si="0"/>
        <v>62992.125984251965</v>
      </c>
      <c r="D21" s="8" cm="1">
        <f t="array" ref="D21">INDEX($A$102:$I$138,_xlfn.XMATCH($A21,$A$102:$A$138),_xlfn.XMATCH(D$8,$A$102:$I$102))</f>
        <v>25.4</v>
      </c>
      <c r="E21" s="10"/>
      <c r="F21" s="10" cm="1">
        <f t="array" ref="F21">INDEX($A$57:$I$93,_xlfn.XMATCH($A21,$A$57:$A$93),_xlfn.XMATCH(H$8,$A$57:$I$57))</f>
        <v>17000</v>
      </c>
      <c r="G21" s="10">
        <f t="shared" si="1"/>
        <v>66929.133858267713</v>
      </c>
      <c r="H21" s="8" cm="1">
        <f t="array" ref="H21">INDEX($A$102:$I$138,_xlfn.XMATCH($A21,$A$102:$A$138),_xlfn.XMATCH(H$8,$A$102:$I$102))</f>
        <v>25.4</v>
      </c>
      <c r="I21" s="10"/>
      <c r="J21" s="10" cm="1">
        <f t="array" ref="J21">INDEX($A$57:$I$93,_xlfn.XMATCH($A21,$A$57:$A$93),_xlfn.XMATCH(L$8,$A$57:$I$57))</f>
        <v>16000</v>
      </c>
      <c r="K21" s="10">
        <f t="shared" si="2"/>
        <v>66115.702479338841</v>
      </c>
      <c r="L21" s="8" cm="1">
        <f t="array" ref="L21">INDEX($A$102:$I$138,_xlfn.XMATCH($A21,$A$102:$A$138),_xlfn.XMATCH(L$8,$A$102:$I$102))</f>
        <v>24.2</v>
      </c>
      <c r="M21" s="10"/>
      <c r="N21" s="10" cm="1">
        <f t="array" ref="N21">INDEX($A$57:$I$93,_xlfn.XMATCH($A21,$A$57:$A$93),_xlfn.XMATCH(P$8,$A$57:$I$57))</f>
        <v>20000</v>
      </c>
      <c r="O21" s="10">
        <f t="shared" si="3"/>
        <v>71942.446043165459</v>
      </c>
      <c r="P21" s="8" cm="1">
        <f t="array" ref="P21">INDEX($A$102:$I$138,_xlfn.XMATCH($A21,$A$102:$A$138),_xlfn.XMATCH(P$8,$A$102:$I$102))</f>
        <v>27.8</v>
      </c>
      <c r="Q21" s="9"/>
      <c r="R21" s="10"/>
      <c r="S21" s="10"/>
      <c r="T21" s="10"/>
    </row>
    <row r="22" spans="1:20">
      <c r="A22" s="6" t="s">
        <v>26</v>
      </c>
      <c r="B22" s="10" cm="1">
        <f t="array" ref="B22">INDEX($A$57:$I$93,_xlfn.XMATCH($A22,$A$57:$A$93),_xlfn.XMATCH(D$8,$A$57:$I$57))</f>
        <v>34000</v>
      </c>
      <c r="C22" s="10">
        <f t="shared" si="0"/>
        <v>127819.54887218044</v>
      </c>
      <c r="D22" s="8" cm="1">
        <f t="array" ref="D22">INDEX($A$102:$I$138,_xlfn.XMATCH($A22,$A$102:$A$138),_xlfn.XMATCH(D$8,$A$102:$I$102))</f>
        <v>26.6</v>
      </c>
      <c r="E22" s="10"/>
      <c r="F22" s="10" cm="1">
        <f t="array" ref="F22">INDEX($A$57:$I$93,_xlfn.XMATCH($A22,$A$57:$A$93),_xlfn.XMATCH(H$8,$A$57:$I$57))</f>
        <v>37000</v>
      </c>
      <c r="G22" s="10">
        <f t="shared" si="1"/>
        <v>137037.03703703702</v>
      </c>
      <c r="H22" s="8" cm="1">
        <f t="array" ref="H22">INDEX($A$102:$I$138,_xlfn.XMATCH($A22,$A$102:$A$138),_xlfn.XMATCH(H$8,$A$102:$I$102))</f>
        <v>27</v>
      </c>
      <c r="I22" s="10"/>
      <c r="J22" s="10" cm="1">
        <f t="array" ref="J22">INDEX($A$57:$I$93,_xlfn.XMATCH($A22,$A$57:$A$93),_xlfn.XMATCH(L$8,$A$57:$I$57))</f>
        <v>37000</v>
      </c>
      <c r="K22" s="10">
        <f t="shared" si="2"/>
        <v>135036.49635036499</v>
      </c>
      <c r="L22" s="8" cm="1">
        <f t="array" ref="L22">INDEX($A$102:$I$138,_xlfn.XMATCH($A22,$A$102:$A$138),_xlfn.XMATCH(L$8,$A$102:$I$102))</f>
        <v>27.4</v>
      </c>
      <c r="M22" s="10"/>
      <c r="N22" s="10" cm="1">
        <f t="array" ref="N22">INDEX($A$57:$I$93,_xlfn.XMATCH($A22,$A$57:$A$93),_xlfn.XMATCH(P$8,$A$57:$I$57))</f>
        <v>36000</v>
      </c>
      <c r="O22" s="10">
        <f t="shared" si="3"/>
        <v>133828.99628252789</v>
      </c>
      <c r="P22" s="8" cm="1">
        <f t="array" ref="P22">INDEX($A$102:$I$138,_xlfn.XMATCH($A22,$A$102:$A$138),_xlfn.XMATCH(P$8,$A$102:$I$102))</f>
        <v>26.9</v>
      </c>
      <c r="Q22" s="9"/>
      <c r="R22" s="10"/>
      <c r="S22" s="10"/>
      <c r="T22" s="10"/>
    </row>
    <row r="23" spans="1:20">
      <c r="A23" s="6" t="s">
        <v>27</v>
      </c>
      <c r="B23" s="10" cm="1">
        <f t="array" ref="B23">INDEX($A$57:$I$93,_xlfn.XMATCH($A23,$A$57:$A$93),_xlfn.XMATCH(D$8,$A$57:$I$57))</f>
        <v>126000</v>
      </c>
      <c r="C23" s="10">
        <f t="shared" si="0"/>
        <v>406451.61290322582</v>
      </c>
      <c r="D23" s="8" cm="1">
        <f t="array" ref="D23">INDEX($A$102:$I$138,_xlfn.XMATCH($A23,$A$102:$A$138),_xlfn.XMATCH(D$8,$A$102:$I$102))</f>
        <v>31</v>
      </c>
      <c r="E23" s="10"/>
      <c r="F23" s="10" cm="1">
        <f t="array" ref="F23">INDEX($A$57:$I$93,_xlfn.XMATCH($A23,$A$57:$A$93),_xlfn.XMATCH(H$8,$A$57:$I$57))</f>
        <v>137000</v>
      </c>
      <c r="G23" s="10">
        <f t="shared" si="1"/>
        <v>422839.50617283949</v>
      </c>
      <c r="H23" s="8" cm="1">
        <f t="array" ref="H23">INDEX($A$102:$I$138,_xlfn.XMATCH($A23,$A$102:$A$138),_xlfn.XMATCH(H$8,$A$102:$I$102))</f>
        <v>32.4</v>
      </c>
      <c r="I23" s="10"/>
      <c r="J23" s="10" cm="1">
        <f t="array" ref="J23">INDEX($A$57:$I$93,_xlfn.XMATCH($A23,$A$57:$A$93),_xlfn.XMATCH(L$8,$A$57:$I$57))</f>
        <v>135000</v>
      </c>
      <c r="K23" s="10">
        <f t="shared" si="2"/>
        <v>435483.87096774194</v>
      </c>
      <c r="L23" s="8" cm="1">
        <f t="array" ref="L23">INDEX($A$102:$I$138,_xlfn.XMATCH($A23,$A$102:$A$138),_xlfn.XMATCH(L$8,$A$102:$I$102))</f>
        <v>31</v>
      </c>
      <c r="M23" s="10"/>
      <c r="N23" s="10" cm="1">
        <f t="array" ref="N23">INDEX($A$57:$I$93,_xlfn.XMATCH($A23,$A$57:$A$93),_xlfn.XMATCH(P$8,$A$57:$I$57))</f>
        <v>132000</v>
      </c>
      <c r="O23" s="10">
        <f t="shared" si="3"/>
        <v>441471.57190635451</v>
      </c>
      <c r="P23" s="8" cm="1">
        <f t="array" ref="P23">INDEX($A$102:$I$138,_xlfn.XMATCH($A23,$A$102:$A$138),_xlfn.XMATCH(P$8,$A$102:$I$102))</f>
        <v>29.9</v>
      </c>
      <c r="Q23" s="9"/>
      <c r="R23" s="10"/>
      <c r="S23" s="10"/>
      <c r="T23" s="10"/>
    </row>
    <row r="24" spans="1:20">
      <c r="A24" s="6" t="s">
        <v>28</v>
      </c>
      <c r="B24" s="10" cm="1">
        <f t="array" ref="B24">INDEX($A$57:$I$93,_xlfn.XMATCH($A24,$A$57:$A$93),_xlfn.XMATCH(D$8,$A$57:$I$57))</f>
        <v>33000</v>
      </c>
      <c r="C24" s="10">
        <f t="shared" si="0"/>
        <v>107142.85714285714</v>
      </c>
      <c r="D24" s="8" cm="1">
        <f t="array" ref="D24">INDEX($A$102:$I$138,_xlfn.XMATCH($A24,$A$102:$A$138),_xlfn.XMATCH(D$8,$A$102:$I$102))</f>
        <v>30.8</v>
      </c>
      <c r="E24" s="10"/>
      <c r="F24" s="10" cm="1">
        <f t="array" ref="F24">INDEX($A$57:$I$93,_xlfn.XMATCH($A24,$A$57:$A$93),_xlfn.XMATCH(H$8,$A$57:$I$57))</f>
        <v>35000</v>
      </c>
      <c r="G24" s="10">
        <f t="shared" si="1"/>
        <v>112179.48717948717</v>
      </c>
      <c r="H24" s="8" cm="1">
        <f t="array" ref="H24">INDEX($A$102:$I$138,_xlfn.XMATCH($A24,$A$102:$A$138),_xlfn.XMATCH(H$8,$A$102:$I$102))</f>
        <v>31.2</v>
      </c>
      <c r="I24" s="10"/>
      <c r="J24" s="10" cm="1">
        <f t="array" ref="J24">INDEX($A$57:$I$93,_xlfn.XMATCH($A24,$A$57:$A$93),_xlfn.XMATCH(L$8,$A$57:$I$57))</f>
        <v>37000</v>
      </c>
      <c r="K24" s="10">
        <f t="shared" si="2"/>
        <v>113846.15384615384</v>
      </c>
      <c r="L24" s="8" cm="1">
        <f t="array" ref="L24">INDEX($A$102:$I$138,_xlfn.XMATCH($A24,$A$102:$A$138),_xlfn.XMATCH(L$8,$A$102:$I$102))</f>
        <v>32.5</v>
      </c>
      <c r="M24" s="10"/>
      <c r="N24" s="10" cm="1">
        <f t="array" ref="N24">INDEX($A$57:$I$93,_xlfn.XMATCH($A24,$A$57:$A$93),_xlfn.XMATCH(P$8,$A$57:$I$57))</f>
        <v>37000</v>
      </c>
      <c r="O24" s="10">
        <f t="shared" si="3"/>
        <v>117088.60759493671</v>
      </c>
      <c r="P24" s="8" cm="1">
        <f t="array" ref="P24">INDEX($A$102:$I$138,_xlfn.XMATCH($A24,$A$102:$A$138),_xlfn.XMATCH(P$8,$A$102:$I$102))</f>
        <v>31.6</v>
      </c>
      <c r="Q24" s="9"/>
      <c r="R24" s="10"/>
      <c r="S24" s="10"/>
      <c r="T24" s="10"/>
    </row>
    <row r="25" spans="1:20">
      <c r="A25" s="6" t="s">
        <v>29</v>
      </c>
      <c r="B25" s="10" cm="1">
        <f t="array" ref="B25">INDEX($A$57:$I$93,_xlfn.XMATCH($A25,$A$57:$A$93),_xlfn.XMATCH(D$8,$A$57:$I$57))</f>
        <v>7000</v>
      </c>
      <c r="C25" s="10">
        <f t="shared" si="0"/>
        <v>26022.304832713759</v>
      </c>
      <c r="D25" s="8" cm="1">
        <f t="array" ref="D25">INDEX($A$102:$I$138,_xlfn.XMATCH($A25,$A$102:$A$138),_xlfn.XMATCH(D$8,$A$102:$I$102))</f>
        <v>26.9</v>
      </c>
      <c r="E25" s="10"/>
      <c r="F25" s="10" cm="1">
        <f t="array" ref="F25">INDEX($A$57:$I$93,_xlfn.XMATCH($A25,$A$57:$A$93),_xlfn.XMATCH(H$8,$A$57:$I$57))</f>
        <v>8000</v>
      </c>
      <c r="G25" s="10">
        <f t="shared" si="1"/>
        <v>25974.025974025975</v>
      </c>
      <c r="H25" s="8" cm="1">
        <f t="array" ref="H25">INDEX($A$102:$I$138,_xlfn.XMATCH($A25,$A$102:$A$138),_xlfn.XMATCH(H$8,$A$102:$I$102))</f>
        <v>30.8</v>
      </c>
      <c r="I25" s="10"/>
      <c r="J25" s="10" cm="1">
        <f t="array" ref="J25">INDEX($A$57:$I$93,_xlfn.XMATCH($A25,$A$57:$A$93),_xlfn.XMATCH(L$8,$A$57:$I$57))</f>
        <v>7000</v>
      </c>
      <c r="K25" s="10">
        <f t="shared" si="2"/>
        <v>24999.999999999996</v>
      </c>
      <c r="L25" s="8" cm="1">
        <f t="array" ref="L25">INDEX($A$102:$I$138,_xlfn.XMATCH($A25,$A$102:$A$138),_xlfn.XMATCH(L$8,$A$102:$I$102))</f>
        <v>28</v>
      </c>
      <c r="M25" s="10"/>
      <c r="N25" s="10" cm="1">
        <f t="array" ref="N25">INDEX($A$57:$I$93,_xlfn.XMATCH($A25,$A$57:$A$93),_xlfn.XMATCH(P$8,$A$57:$I$57))</f>
        <v>7000</v>
      </c>
      <c r="O25" s="10">
        <f t="shared" si="3"/>
        <v>23972.60273972603</v>
      </c>
      <c r="P25" s="8" cm="1">
        <f t="array" ref="P25">INDEX($A$102:$I$138,_xlfn.XMATCH($A25,$A$102:$A$138),_xlfn.XMATCH(P$8,$A$102:$I$102))</f>
        <v>29.2</v>
      </c>
      <c r="Q25" s="9"/>
      <c r="R25" s="10"/>
      <c r="S25" s="10"/>
      <c r="T25" s="10"/>
    </row>
    <row r="26" spans="1:20">
      <c r="A26" s="6" t="s">
        <v>30</v>
      </c>
      <c r="B26" s="10" cm="1">
        <f t="array" ref="B26">INDEX($A$57:$I$93,_xlfn.XMATCH($A26,$A$57:$A$93),_xlfn.XMATCH(D$8,$A$57:$I$57))</f>
        <v>9000</v>
      </c>
      <c r="C26" s="10">
        <f t="shared" si="0"/>
        <v>31034.482758620692</v>
      </c>
      <c r="D26" s="8" cm="1">
        <f t="array" ref="D26">INDEX($A$102:$I$138,_xlfn.XMATCH($A26,$A$102:$A$138),_xlfn.XMATCH(D$8,$A$102:$I$102))</f>
        <v>29</v>
      </c>
      <c r="E26" s="10"/>
      <c r="F26" s="10" cm="1">
        <f t="array" ref="F26">INDEX($A$57:$I$93,_xlfn.XMATCH($A26,$A$57:$A$93),_xlfn.XMATCH(H$8,$A$57:$I$57))</f>
        <v>10000</v>
      </c>
      <c r="G26" s="10">
        <f t="shared" si="1"/>
        <v>33003.300330033002</v>
      </c>
      <c r="H26" s="8" cm="1">
        <f t="array" ref="H26">INDEX($A$102:$I$138,_xlfn.XMATCH($A26,$A$102:$A$138),_xlfn.XMATCH(H$8,$A$102:$I$102))</f>
        <v>30.3</v>
      </c>
      <c r="I26" s="10"/>
      <c r="J26" s="10" cm="1">
        <f t="array" ref="J26">INDEX($A$57:$I$93,_xlfn.XMATCH($A26,$A$57:$A$93),_xlfn.XMATCH(L$8,$A$57:$I$57))</f>
        <v>10000</v>
      </c>
      <c r="K26" s="10">
        <f t="shared" si="2"/>
        <v>33003.300330033002</v>
      </c>
      <c r="L26" s="8" cm="1">
        <f t="array" ref="L26">INDEX($A$102:$I$138,_xlfn.XMATCH($A26,$A$102:$A$138),_xlfn.XMATCH(L$8,$A$102:$I$102))</f>
        <v>30.3</v>
      </c>
      <c r="M26" s="10"/>
      <c r="N26" s="10" cm="1">
        <f t="array" ref="N26">INDEX($A$57:$I$93,_xlfn.XMATCH($A26,$A$57:$A$93),_xlfn.XMATCH(P$8,$A$57:$I$57))</f>
        <v>10000</v>
      </c>
      <c r="O26" s="10">
        <f t="shared" si="3"/>
        <v>33003.300330033002</v>
      </c>
      <c r="P26" s="8" cm="1">
        <f t="array" ref="P26">INDEX($A$102:$I$138,_xlfn.XMATCH($A26,$A$102:$A$138),_xlfn.XMATCH(P$8,$A$102:$I$102))</f>
        <v>30.3</v>
      </c>
      <c r="Q26" s="9"/>
      <c r="R26" s="10"/>
      <c r="S26" s="10"/>
      <c r="T26" s="10"/>
    </row>
    <row r="27" spans="1:20">
      <c r="A27" s="6" t="s">
        <v>31</v>
      </c>
      <c r="B27" s="10" cm="1">
        <f t="array" ref="B27">INDEX($A$57:$I$93,_xlfn.XMATCH($A27,$A$57:$A$93),_xlfn.XMATCH(D$8,$A$57:$I$57))</f>
        <v>9000</v>
      </c>
      <c r="C27" s="10">
        <f t="shared" si="0"/>
        <v>35019.455252918284</v>
      </c>
      <c r="D27" s="8" cm="1">
        <f t="array" ref="D27">INDEX($A$102:$I$138,_xlfn.XMATCH($A27,$A$102:$A$138),_xlfn.XMATCH(D$8,$A$102:$I$102))</f>
        <v>25.7</v>
      </c>
      <c r="E27" s="10"/>
      <c r="F27" s="10" cm="1">
        <f t="array" ref="F27">INDEX($A$57:$I$93,_xlfn.XMATCH($A27,$A$57:$A$93),_xlfn.XMATCH(H$8,$A$57:$I$57))</f>
        <v>10000</v>
      </c>
      <c r="G27" s="10">
        <f t="shared" si="1"/>
        <v>35971.223021582729</v>
      </c>
      <c r="H27" s="8" cm="1">
        <f t="array" ref="H27">INDEX($A$102:$I$138,_xlfn.XMATCH($A27,$A$102:$A$138),_xlfn.XMATCH(H$8,$A$102:$I$102))</f>
        <v>27.8</v>
      </c>
      <c r="I27" s="10"/>
      <c r="J27" s="10" cm="1">
        <f t="array" ref="J27">INDEX($A$57:$I$93,_xlfn.XMATCH($A27,$A$57:$A$93),_xlfn.XMATCH(L$8,$A$57:$I$57))</f>
        <v>10000</v>
      </c>
      <c r="K27" s="10">
        <f t="shared" si="2"/>
        <v>37037.037037037036</v>
      </c>
      <c r="L27" s="8" cm="1">
        <f t="array" ref="L27">INDEX($A$102:$I$138,_xlfn.XMATCH($A27,$A$102:$A$138),_xlfn.XMATCH(L$8,$A$102:$I$102))</f>
        <v>27</v>
      </c>
      <c r="M27" s="10"/>
      <c r="N27" s="10" cm="1">
        <f t="array" ref="N27">INDEX($A$57:$I$93,_xlfn.XMATCH($A27,$A$57:$A$93),_xlfn.XMATCH(P$8,$A$57:$I$57))</f>
        <v>9000</v>
      </c>
      <c r="O27" s="10">
        <f t="shared" si="3"/>
        <v>37037.037037037036</v>
      </c>
      <c r="P27" s="8" cm="1">
        <f t="array" ref="P27">INDEX($A$102:$I$138,_xlfn.XMATCH($A27,$A$102:$A$138),_xlfn.XMATCH(P$8,$A$102:$I$102))</f>
        <v>24.3</v>
      </c>
      <c r="Q27" s="9"/>
      <c r="R27" s="10"/>
      <c r="S27" s="10"/>
      <c r="T27" s="10"/>
    </row>
    <row r="28" spans="1:20">
      <c r="A28" s="442" t="s">
        <v>32</v>
      </c>
      <c r="B28" s="10" cm="1">
        <f t="array" ref="B28">INDEX($A$57:$I$93,_xlfn.XMATCH($A28,$A$57:$A$93),_xlfn.XMATCH(D$8,$A$57:$I$57))</f>
        <v>2500</v>
      </c>
      <c r="C28" s="10">
        <f t="shared" si="0"/>
        <v>11013.215859030837</v>
      </c>
      <c r="D28" s="8" cm="1">
        <f t="array" ref="D28">INDEX($A$102:$I$138,_xlfn.XMATCH($A28,$A$102:$A$138),_xlfn.XMATCH(D$8,$A$102:$I$102))</f>
        <v>22.7</v>
      </c>
      <c r="E28" s="10"/>
      <c r="F28" s="10" cm="1">
        <f t="array" ref="F28">INDEX($A$57:$I$93,_xlfn.XMATCH($A28,$A$57:$A$93),_xlfn.XMATCH(H$8,$A$57:$I$57))</f>
        <v>2500</v>
      </c>
      <c r="G28" s="10">
        <f t="shared" si="1"/>
        <v>12019.230769230768</v>
      </c>
      <c r="H28" s="8" cm="1">
        <f t="array" ref="H28">INDEX($A$102:$I$138,_xlfn.XMATCH($A28,$A$102:$A$138),_xlfn.XMATCH(H$8,$A$102:$I$102))</f>
        <v>20.8</v>
      </c>
      <c r="I28" s="10"/>
      <c r="J28" s="10" cm="1">
        <f t="array" ref="J28">INDEX($A$57:$I$93,_xlfn.XMATCH($A28,$A$57:$A$93),_xlfn.XMATCH(L$8,$A$57:$I$57))</f>
        <v>3000</v>
      </c>
      <c r="K28" s="10">
        <f t="shared" si="2"/>
        <v>12000</v>
      </c>
      <c r="L28" s="8" cm="1">
        <f t="array" ref="L28">INDEX($A$102:$I$138,_xlfn.XMATCH($A28,$A$102:$A$138),_xlfn.XMATCH(L$8,$A$102:$I$102))</f>
        <v>25</v>
      </c>
      <c r="M28" s="10"/>
      <c r="N28" s="10" cm="1">
        <f t="array" ref="N28">INDEX($A$57:$I$93,_xlfn.XMATCH($A28,$A$57:$A$93),_xlfn.XMATCH(P$8,$A$57:$I$57))</f>
        <v>3000</v>
      </c>
      <c r="O28" s="10">
        <f t="shared" si="3"/>
        <v>12000</v>
      </c>
      <c r="P28" s="8" cm="1">
        <f t="array" ref="P28">INDEX($A$102:$I$138,_xlfn.XMATCH($A28,$A$102:$A$138),_xlfn.XMATCH(P$8,$A$102:$I$102))</f>
        <v>25</v>
      </c>
      <c r="Q28" s="9"/>
      <c r="R28" s="10"/>
      <c r="S28" s="10"/>
      <c r="T28" s="10"/>
    </row>
    <row r="29" spans="1:20">
      <c r="A29" s="6" t="s">
        <v>33</v>
      </c>
      <c r="B29" s="10" cm="1">
        <f t="array" ref="B29">INDEX($A$57:$I$93,_xlfn.XMATCH($A29,$A$57:$A$93),_xlfn.XMATCH(D$8,$A$57:$I$57))</f>
        <v>12000</v>
      </c>
      <c r="C29" s="10">
        <f t="shared" si="0"/>
        <v>38961.038961038961</v>
      </c>
      <c r="D29" s="8" cm="1">
        <f t="array" ref="D29">INDEX($A$102:$I$138,_xlfn.XMATCH($A29,$A$102:$A$138),_xlfn.XMATCH(D$8,$A$102:$I$102))</f>
        <v>30.8</v>
      </c>
      <c r="E29" s="10"/>
      <c r="F29" s="10" cm="1">
        <f t="array" ref="F29">INDEX($A$57:$I$93,_xlfn.XMATCH($A29,$A$57:$A$93),_xlfn.XMATCH(H$8,$A$57:$I$57))</f>
        <v>14000</v>
      </c>
      <c r="G29" s="10">
        <f t="shared" si="1"/>
        <v>41055.718475073314</v>
      </c>
      <c r="H29" s="8" cm="1">
        <f t="array" ref="H29">INDEX($A$102:$I$138,_xlfn.XMATCH($A29,$A$102:$A$138),_xlfn.XMATCH(H$8,$A$102:$I$102))</f>
        <v>34.1</v>
      </c>
      <c r="I29" s="10"/>
      <c r="J29" s="10" cm="1">
        <f t="array" ref="J29">INDEX($A$57:$I$93,_xlfn.XMATCH($A29,$A$57:$A$93),_xlfn.XMATCH(L$8,$A$57:$I$57))</f>
        <v>14000</v>
      </c>
      <c r="K29" s="10">
        <f t="shared" si="2"/>
        <v>42042.042042042049</v>
      </c>
      <c r="L29" s="8" cm="1">
        <f t="array" ref="L29">INDEX($A$102:$I$138,_xlfn.XMATCH($A29,$A$102:$A$138),_xlfn.XMATCH(L$8,$A$102:$I$102))</f>
        <v>33.299999999999997</v>
      </c>
      <c r="M29" s="10"/>
      <c r="N29" s="10" cm="1">
        <f t="array" ref="N29">INDEX($A$57:$I$93,_xlfn.XMATCH($A29,$A$57:$A$93),_xlfn.XMATCH(P$8,$A$57:$I$57))</f>
        <v>17000</v>
      </c>
      <c r="O29" s="10">
        <f t="shared" si="3"/>
        <v>44041.450777202073</v>
      </c>
      <c r="P29" s="8" cm="1">
        <f t="array" ref="P29">INDEX($A$102:$I$138,_xlfn.XMATCH($A29,$A$102:$A$138),_xlfn.XMATCH(P$8,$A$102:$I$102))</f>
        <v>38.6</v>
      </c>
      <c r="Q29" s="9"/>
      <c r="R29" s="10"/>
      <c r="S29" s="10"/>
      <c r="T29" s="10"/>
    </row>
    <row r="30" spans="1:20">
      <c r="A30" s="6" t="s">
        <v>34</v>
      </c>
      <c r="B30" s="10" cm="1">
        <f t="array" ref="B30">INDEX($A$57:$I$93,_xlfn.XMATCH($A30,$A$57:$A$93),_xlfn.XMATCH(D$8,$A$57:$I$57))</f>
        <v>34000</v>
      </c>
      <c r="C30" s="10">
        <f t="shared" si="0"/>
        <v>133858.26771653543</v>
      </c>
      <c r="D30" s="8" cm="1">
        <f t="array" ref="D30">INDEX($A$102:$I$138,_xlfn.XMATCH($A30,$A$102:$A$138),_xlfn.XMATCH(D$8,$A$102:$I$102))</f>
        <v>25.4</v>
      </c>
      <c r="E30" s="10"/>
      <c r="F30" s="10" cm="1">
        <f t="array" ref="F30">INDEX($A$57:$I$93,_xlfn.XMATCH($A30,$A$57:$A$93),_xlfn.XMATCH(H$8,$A$57:$I$57))</f>
        <v>36000</v>
      </c>
      <c r="G30" s="10">
        <f t="shared" si="1"/>
        <v>133828.99628252789</v>
      </c>
      <c r="H30" s="8" cm="1">
        <f t="array" ref="H30">INDEX($A$102:$I$138,_xlfn.XMATCH($A30,$A$102:$A$138),_xlfn.XMATCH(H$8,$A$102:$I$102))</f>
        <v>26.9</v>
      </c>
      <c r="I30" s="10"/>
      <c r="J30" s="10" cm="1">
        <f t="array" ref="J30">INDEX($A$57:$I$93,_xlfn.XMATCH($A30,$A$57:$A$93),_xlfn.XMATCH(L$8,$A$57:$I$57))</f>
        <v>36000</v>
      </c>
      <c r="K30" s="10">
        <f t="shared" si="2"/>
        <v>129963.89891696752</v>
      </c>
      <c r="L30" s="8" cm="1">
        <f t="array" ref="L30">INDEX($A$102:$I$138,_xlfn.XMATCH($A30,$A$102:$A$138),_xlfn.XMATCH(L$8,$A$102:$I$102))</f>
        <v>27.7</v>
      </c>
      <c r="M30" s="10"/>
      <c r="N30" s="10" cm="1">
        <f t="array" ref="N30">INDEX($A$57:$I$93,_xlfn.XMATCH($A30,$A$57:$A$93),_xlfn.XMATCH(P$8,$A$57:$I$57))</f>
        <v>35000</v>
      </c>
      <c r="O30" s="10">
        <f t="shared" si="3"/>
        <v>131086.14232209738</v>
      </c>
      <c r="P30" s="8" cm="1">
        <f t="array" ref="P30">INDEX($A$102:$I$138,_xlfn.XMATCH($A30,$A$102:$A$138),_xlfn.XMATCH(P$8,$A$102:$I$102))</f>
        <v>26.7</v>
      </c>
      <c r="Q30" s="9"/>
      <c r="R30" s="10"/>
      <c r="S30" s="10"/>
      <c r="T30" s="10"/>
    </row>
    <row r="31" spans="1:20">
      <c r="A31" s="6" t="s">
        <v>35</v>
      </c>
      <c r="B31" s="10" cm="1">
        <f t="array" ref="B31">INDEX($A$57:$I$93,_xlfn.XMATCH($A31,$A$57:$A$93),_xlfn.XMATCH(D$8,$A$57:$I$57))</f>
        <v>2500</v>
      </c>
      <c r="C31" s="10">
        <f t="shared" si="0"/>
        <v>11013.215859030837</v>
      </c>
      <c r="D31" s="8" cm="1">
        <f t="array" ref="D31">INDEX($A$102:$I$138,_xlfn.XMATCH($A31,$A$102:$A$138),_xlfn.XMATCH(D$8,$A$102:$I$102))</f>
        <v>22.7</v>
      </c>
      <c r="E31" s="10"/>
      <c r="F31" s="10" cm="1">
        <f t="array" ref="F31">INDEX($A$57:$I$93,_xlfn.XMATCH($A31,$A$57:$A$93),_xlfn.XMATCH(H$8,$A$57:$I$57))</f>
        <v>2500</v>
      </c>
      <c r="G31" s="10">
        <f t="shared" si="1"/>
        <v>12019.230769230768</v>
      </c>
      <c r="H31" s="8" cm="1">
        <f t="array" ref="H31">INDEX($A$102:$I$138,_xlfn.XMATCH($A31,$A$102:$A$138),_xlfn.XMATCH(H$8,$A$102:$I$102))</f>
        <v>20.8</v>
      </c>
      <c r="I31" s="10"/>
      <c r="J31" s="10" cm="1">
        <f t="array" ref="J31">INDEX($A$57:$I$93,_xlfn.XMATCH($A31,$A$57:$A$93),_xlfn.XMATCH(L$8,$A$57:$I$57))</f>
        <v>2500</v>
      </c>
      <c r="K31" s="10">
        <f t="shared" si="2"/>
        <v>11013.215859030837</v>
      </c>
      <c r="L31" s="8" cm="1">
        <f t="array" ref="L31">INDEX($A$102:$I$138,_xlfn.XMATCH($A31,$A$102:$A$138),_xlfn.XMATCH(L$8,$A$102:$I$102))</f>
        <v>22.7</v>
      </c>
      <c r="M31" s="10"/>
      <c r="N31" s="10" cm="1">
        <f t="array" ref="N31">INDEX($A$57:$I$93,_xlfn.XMATCH($A31,$A$57:$A$93),_xlfn.XMATCH(P$8,$A$57:$I$57))</f>
        <v>2500</v>
      </c>
      <c r="O31" s="10">
        <f t="shared" si="3"/>
        <v>12019.230769230768</v>
      </c>
      <c r="P31" s="8" cm="1">
        <f t="array" ref="P31">INDEX($A$102:$I$138,_xlfn.XMATCH($A31,$A$102:$A$138),_xlfn.XMATCH(P$8,$A$102:$I$102))</f>
        <v>20.8</v>
      </c>
      <c r="Q31" s="9"/>
      <c r="R31" s="10"/>
      <c r="S31" s="10"/>
      <c r="T31" s="10"/>
    </row>
    <row r="32" spans="1:20">
      <c r="A32" s="6" t="s">
        <v>36</v>
      </c>
      <c r="B32" s="10" cm="1">
        <f t="array" ref="B32">INDEX($A$57:$I$93,_xlfn.XMATCH($A32,$A$57:$A$93),_xlfn.XMATCH(D$8,$A$57:$I$57))</f>
        <v>19000</v>
      </c>
      <c r="C32" s="10">
        <f t="shared" si="0"/>
        <v>61093.247588424434</v>
      </c>
      <c r="D32" s="8" cm="1">
        <f t="array" ref="D32">INDEX($A$102:$I$138,_xlfn.XMATCH($A32,$A$102:$A$138),_xlfn.XMATCH(D$8,$A$102:$I$102))</f>
        <v>31.1</v>
      </c>
      <c r="E32" s="10"/>
      <c r="F32" s="10" cm="1">
        <f t="array" ref="F32">INDEX($A$57:$I$93,_xlfn.XMATCH($A32,$A$57:$A$93),_xlfn.XMATCH(H$8,$A$57:$I$57))</f>
        <v>20000</v>
      </c>
      <c r="G32" s="10">
        <f t="shared" si="1"/>
        <v>64102.564102564102</v>
      </c>
      <c r="H32" s="8" cm="1">
        <f t="array" ref="H32">INDEX($A$102:$I$138,_xlfn.XMATCH($A32,$A$102:$A$138),_xlfn.XMATCH(H$8,$A$102:$I$102))</f>
        <v>31.2</v>
      </c>
      <c r="I32" s="10"/>
      <c r="J32" s="10" cm="1">
        <f t="array" ref="J32">INDEX($A$57:$I$93,_xlfn.XMATCH($A32,$A$57:$A$93),_xlfn.XMATCH(L$8,$A$57:$I$57))</f>
        <v>20000</v>
      </c>
      <c r="K32" s="10">
        <f t="shared" si="2"/>
        <v>64102.564102564102</v>
      </c>
      <c r="L32" s="8" cm="1">
        <f t="array" ref="L32">INDEX($A$102:$I$138,_xlfn.XMATCH($A32,$A$102:$A$138),_xlfn.XMATCH(L$8,$A$102:$I$102))</f>
        <v>31.2</v>
      </c>
      <c r="M32" s="10"/>
      <c r="N32" s="10" cm="1">
        <f t="array" ref="N32">INDEX($A$57:$I$93,_xlfn.XMATCH($A32,$A$57:$A$93),_xlfn.XMATCH(P$8,$A$57:$I$57))</f>
        <v>21000</v>
      </c>
      <c r="O32" s="10">
        <f t="shared" si="3"/>
        <v>66037.735849056597</v>
      </c>
      <c r="P32" s="8" cm="1">
        <f t="array" ref="P32">INDEX($A$102:$I$138,_xlfn.XMATCH($A32,$A$102:$A$138),_xlfn.XMATCH(P$8,$A$102:$I$102))</f>
        <v>31.8</v>
      </c>
      <c r="Q32" s="9"/>
      <c r="R32" s="10"/>
      <c r="S32" s="10"/>
      <c r="T32" s="10"/>
    </row>
    <row r="33" spans="1:20">
      <c r="A33" s="6" t="s">
        <v>37</v>
      </c>
      <c r="B33" s="10" cm="1">
        <f t="array" ref="B33">INDEX($A$57:$I$93,_xlfn.XMATCH($A33,$A$57:$A$93),_xlfn.XMATCH(D$8,$A$57:$I$57))</f>
        <v>30000</v>
      </c>
      <c r="C33" s="10">
        <f t="shared" si="0"/>
        <v>84033.613445378141</v>
      </c>
      <c r="D33" s="8" cm="1">
        <f t="array" ref="D33">INDEX($A$102:$I$138,_xlfn.XMATCH($A33,$A$102:$A$138),_xlfn.XMATCH(D$8,$A$102:$I$102))</f>
        <v>35.700000000000003</v>
      </c>
      <c r="E33" s="10"/>
      <c r="F33" s="10" cm="1">
        <f t="array" ref="F33">INDEX($A$57:$I$93,_xlfn.XMATCH($A33,$A$57:$A$93),_xlfn.XMATCH(H$8,$A$57:$I$57))</f>
        <v>30000</v>
      </c>
      <c r="G33" s="10">
        <f t="shared" si="1"/>
        <v>83102.493074792248</v>
      </c>
      <c r="H33" s="8" cm="1">
        <f t="array" ref="H33">INDEX($A$102:$I$138,_xlfn.XMATCH($A33,$A$102:$A$138),_xlfn.XMATCH(H$8,$A$102:$I$102))</f>
        <v>36.1</v>
      </c>
      <c r="I33" s="10"/>
      <c r="J33" s="10" cm="1">
        <f t="array" ref="J33">INDEX($A$57:$I$93,_xlfn.XMATCH($A33,$A$57:$A$93),_xlfn.XMATCH(L$8,$A$57:$I$57))</f>
        <v>30000</v>
      </c>
      <c r="K33" s="10">
        <f t="shared" si="2"/>
        <v>84033.613445378141</v>
      </c>
      <c r="L33" s="8" cm="1">
        <f t="array" ref="L33">INDEX($A$102:$I$138,_xlfn.XMATCH($A33,$A$102:$A$138),_xlfn.XMATCH(L$8,$A$102:$I$102))</f>
        <v>35.700000000000003</v>
      </c>
      <c r="M33" s="10"/>
      <c r="N33" s="10" cm="1">
        <f t="array" ref="N33">INDEX($A$57:$I$93,_xlfn.XMATCH($A33,$A$57:$A$93),_xlfn.XMATCH(P$8,$A$57:$I$57))</f>
        <v>29000</v>
      </c>
      <c r="O33" s="10">
        <f t="shared" si="3"/>
        <v>84057.971014492767</v>
      </c>
      <c r="P33" s="8" cm="1">
        <f t="array" ref="P33">INDEX($A$102:$I$138,_xlfn.XMATCH($A33,$A$102:$A$138),_xlfn.XMATCH(P$8,$A$102:$I$102))</f>
        <v>34.5</v>
      </c>
      <c r="Q33" s="9"/>
      <c r="R33" s="10"/>
      <c r="S33" s="10"/>
      <c r="T33" s="10"/>
    </row>
    <row r="34" spans="1:20">
      <c r="A34" s="6" t="s">
        <v>38</v>
      </c>
      <c r="B34" s="10" cm="1">
        <f t="array" ref="B34">INDEX($A$57:$I$93,_xlfn.XMATCH($A34,$A$57:$A$93),_xlfn.XMATCH(D$8,$A$57:$I$57))</f>
        <v>11000</v>
      </c>
      <c r="C34" s="10">
        <f t="shared" si="0"/>
        <v>41984.732824427476</v>
      </c>
      <c r="D34" s="8" cm="1">
        <f t="array" ref="D34">INDEX($A$102:$I$138,_xlfn.XMATCH($A34,$A$102:$A$138),_xlfn.XMATCH(D$8,$A$102:$I$102))</f>
        <v>26.2</v>
      </c>
      <c r="E34" s="10"/>
      <c r="F34" s="10" cm="1">
        <f t="array" ref="F34">INDEX($A$57:$I$93,_xlfn.XMATCH($A34,$A$57:$A$93),_xlfn.XMATCH(H$8,$A$57:$I$57))</f>
        <v>11000</v>
      </c>
      <c r="G34" s="10">
        <f t="shared" si="1"/>
        <v>41984.732824427476</v>
      </c>
      <c r="H34" s="8" cm="1">
        <f t="array" ref="H34">INDEX($A$102:$I$138,_xlfn.XMATCH($A34,$A$102:$A$138),_xlfn.XMATCH(H$8,$A$102:$I$102))</f>
        <v>26.2</v>
      </c>
      <c r="I34" s="10"/>
      <c r="J34" s="10" cm="1">
        <f t="array" ref="J34">INDEX($A$57:$I$93,_xlfn.XMATCH($A34,$A$57:$A$93),_xlfn.XMATCH(L$8,$A$57:$I$57))</f>
        <v>12000</v>
      </c>
      <c r="K34" s="10">
        <f t="shared" si="2"/>
        <v>43010.752688172048</v>
      </c>
      <c r="L34" s="8" cm="1">
        <f t="array" ref="L34">INDEX($A$102:$I$138,_xlfn.XMATCH($A34,$A$102:$A$138),_xlfn.XMATCH(L$8,$A$102:$I$102))</f>
        <v>27.9</v>
      </c>
      <c r="M34" s="10"/>
      <c r="N34" s="10" cm="1">
        <f t="array" ref="N34">INDEX($A$57:$I$93,_xlfn.XMATCH($A34,$A$57:$A$93),_xlfn.XMATCH(P$8,$A$57:$I$57))</f>
        <v>12000</v>
      </c>
      <c r="O34" s="10">
        <f t="shared" si="3"/>
        <v>43956.043956043955</v>
      </c>
      <c r="P34" s="8" cm="1">
        <f t="array" ref="P34">INDEX($A$102:$I$138,_xlfn.XMATCH($A34,$A$102:$A$138),_xlfn.XMATCH(P$8,$A$102:$I$102))</f>
        <v>27.3</v>
      </c>
      <c r="Q34" s="9"/>
      <c r="R34" s="10"/>
      <c r="S34" s="10"/>
      <c r="T34" s="10"/>
    </row>
    <row r="35" spans="1:20">
      <c r="A35" s="6" t="s">
        <v>39</v>
      </c>
      <c r="B35" s="10" cm="1">
        <f t="array" ref="B35">INDEX($A$57:$I$93,_xlfn.XMATCH($A35,$A$57:$A$93),_xlfn.XMATCH(D$8,$A$57:$I$57))</f>
        <v>3000</v>
      </c>
      <c r="C35" s="10">
        <f t="shared" si="0"/>
        <v>14018.691588785046</v>
      </c>
      <c r="D35" s="8" cm="1">
        <f t="array" ref="D35">INDEX($A$102:$I$138,_xlfn.XMATCH($A35,$A$102:$A$138),_xlfn.XMATCH(D$8,$A$102:$I$102))</f>
        <v>21.4</v>
      </c>
      <c r="E35" s="10"/>
      <c r="F35" s="10" cm="1">
        <f t="array" ref="F35">INDEX($A$57:$I$93,_xlfn.XMATCH($A35,$A$57:$A$93),_xlfn.XMATCH(H$8,$A$57:$I$57))</f>
        <v>3000</v>
      </c>
      <c r="G35" s="10">
        <f t="shared" si="1"/>
        <v>15000</v>
      </c>
      <c r="H35" s="8" cm="1">
        <f t="array" ref="H35">INDEX($A$102:$I$138,_xlfn.XMATCH($A35,$A$102:$A$138),_xlfn.XMATCH(H$8,$A$102:$I$102))</f>
        <v>20</v>
      </c>
      <c r="I35" s="10"/>
      <c r="J35" s="10" cm="1">
        <f t="array" ref="J35">INDEX($A$57:$I$93,_xlfn.XMATCH($A35,$A$57:$A$93),_xlfn.XMATCH(L$8,$A$57:$I$57))</f>
        <v>3000</v>
      </c>
      <c r="K35" s="10">
        <f t="shared" si="2"/>
        <v>14018.691588785046</v>
      </c>
      <c r="L35" s="8" cm="1">
        <f t="array" ref="L35">INDEX($A$102:$I$138,_xlfn.XMATCH($A35,$A$102:$A$138),_xlfn.XMATCH(L$8,$A$102:$I$102))</f>
        <v>21.4</v>
      </c>
      <c r="M35" s="10"/>
      <c r="N35" s="10" cm="1">
        <f t="array" ref="N35">INDEX($A$57:$I$93,_xlfn.XMATCH($A35,$A$57:$A$93),_xlfn.XMATCH(P$8,$A$57:$I$57))</f>
        <v>3000</v>
      </c>
      <c r="O35" s="10">
        <f t="shared" si="3"/>
        <v>14018.691588785046</v>
      </c>
      <c r="P35" s="8" cm="1">
        <f t="array" ref="P35">INDEX($A$102:$I$138,_xlfn.XMATCH($A35,$A$102:$A$138),_xlfn.XMATCH(P$8,$A$102:$I$102))</f>
        <v>21.4</v>
      </c>
      <c r="Q35" s="9"/>
      <c r="R35" s="10"/>
      <c r="S35" s="10"/>
      <c r="T35" s="10"/>
    </row>
    <row r="36" spans="1:20">
      <c r="A36" s="6" t="s">
        <v>40</v>
      </c>
      <c r="B36" s="10" cm="1">
        <f t="array" ref="B36">INDEX($A$57:$I$93,_xlfn.XMATCH($A36,$A$57:$A$93),_xlfn.XMATCH(D$8,$A$57:$I$57))</f>
        <v>13000</v>
      </c>
      <c r="C36" s="10">
        <f t="shared" si="0"/>
        <v>44067.796610169491</v>
      </c>
      <c r="D36" s="8" cm="1">
        <f t="array" ref="D36">INDEX($A$102:$I$138,_xlfn.XMATCH($A36,$A$102:$A$138),_xlfn.XMATCH(D$8,$A$102:$I$102))</f>
        <v>29.5</v>
      </c>
      <c r="E36" s="10"/>
      <c r="F36" s="10" cm="1">
        <f t="array" ref="F36">INDEX($A$57:$I$93,_xlfn.XMATCH($A36,$A$57:$A$93),_xlfn.XMATCH(H$8,$A$57:$I$57))</f>
        <v>15000</v>
      </c>
      <c r="G36" s="10">
        <f t="shared" si="1"/>
        <v>46012.269938650308</v>
      </c>
      <c r="H36" s="8" cm="1">
        <f t="array" ref="H36">INDEX($A$102:$I$138,_xlfn.XMATCH($A36,$A$102:$A$138),_xlfn.XMATCH(H$8,$A$102:$I$102))</f>
        <v>32.6</v>
      </c>
      <c r="I36" s="10"/>
      <c r="J36" s="10" cm="1">
        <f t="array" ref="J36">INDEX($A$57:$I$93,_xlfn.XMATCH($A36,$A$57:$A$93),_xlfn.XMATCH(L$8,$A$57:$I$57))</f>
        <v>14000</v>
      </c>
      <c r="K36" s="10">
        <f t="shared" si="2"/>
        <v>46052.631578947367</v>
      </c>
      <c r="L36" s="8" cm="1">
        <f t="array" ref="L36">INDEX($A$102:$I$138,_xlfn.XMATCH($A36,$A$102:$A$138),_xlfn.XMATCH(L$8,$A$102:$I$102))</f>
        <v>30.4</v>
      </c>
      <c r="M36" s="10"/>
      <c r="N36" s="10" cm="1">
        <f t="array" ref="N36">INDEX($A$57:$I$93,_xlfn.XMATCH($A36,$A$57:$A$93),_xlfn.XMATCH(P$8,$A$57:$I$57))</f>
        <v>14000</v>
      </c>
      <c r="O36" s="10">
        <f t="shared" si="3"/>
        <v>46052.631578947367</v>
      </c>
      <c r="P36" s="8" cm="1">
        <f t="array" ref="P36">INDEX($A$102:$I$138,_xlfn.XMATCH($A36,$A$102:$A$138),_xlfn.XMATCH(P$8,$A$102:$I$102))</f>
        <v>30.4</v>
      </c>
      <c r="Q36" s="9"/>
      <c r="R36" s="10"/>
      <c r="S36" s="10"/>
      <c r="T36" s="10"/>
    </row>
    <row r="37" spans="1:20">
      <c r="A37" s="6" t="s">
        <v>41</v>
      </c>
      <c r="B37" s="10" cm="1">
        <f t="array" ref="B37">INDEX($A$57:$I$93,_xlfn.XMATCH($A37,$A$57:$A$93),_xlfn.XMATCH(D$8,$A$57:$I$57))</f>
        <v>34000</v>
      </c>
      <c r="C37" s="10">
        <f t="shared" si="0"/>
        <v>116838.48797250858</v>
      </c>
      <c r="D37" s="8" cm="1">
        <f t="array" ref="D37">INDEX($A$102:$I$138,_xlfn.XMATCH($A37,$A$102:$A$138),_xlfn.XMATCH(D$8,$A$102:$I$102))</f>
        <v>29.1</v>
      </c>
      <c r="E37" s="10"/>
      <c r="F37" s="10" cm="1">
        <f t="array" ref="F37">INDEX($A$57:$I$93,_xlfn.XMATCH($A37,$A$57:$A$93),_xlfn.XMATCH(H$8,$A$57:$I$57))</f>
        <v>36000</v>
      </c>
      <c r="G37" s="10">
        <f t="shared" si="1"/>
        <v>118811.88118811882</v>
      </c>
      <c r="H37" s="8" cm="1">
        <f t="array" ref="H37">INDEX($A$102:$I$138,_xlfn.XMATCH($A37,$A$102:$A$138),_xlfn.XMATCH(H$8,$A$102:$I$102))</f>
        <v>30.3</v>
      </c>
      <c r="I37" s="10"/>
      <c r="J37" s="10" cm="1">
        <f t="array" ref="J37">INDEX($A$57:$I$93,_xlfn.XMATCH($A37,$A$57:$A$93),_xlfn.XMATCH(L$8,$A$57:$I$57))</f>
        <v>35000</v>
      </c>
      <c r="K37" s="10">
        <f t="shared" si="2"/>
        <v>115894.03973509934</v>
      </c>
      <c r="L37" s="8" cm="1">
        <f t="array" ref="L37">INDEX($A$102:$I$138,_xlfn.XMATCH($A37,$A$102:$A$138),_xlfn.XMATCH(L$8,$A$102:$I$102))</f>
        <v>30.2</v>
      </c>
      <c r="M37" s="10"/>
      <c r="N37" s="10" cm="1">
        <f t="array" ref="N37">INDEX($A$57:$I$93,_xlfn.XMATCH($A37,$A$57:$A$93),_xlfn.XMATCH(P$8,$A$57:$I$57))</f>
        <v>36000</v>
      </c>
      <c r="O37" s="10">
        <f t="shared" si="3"/>
        <v>118032.78688524591</v>
      </c>
      <c r="P37" s="8" cm="1">
        <f t="array" ref="P37">INDEX($A$102:$I$138,_xlfn.XMATCH($A37,$A$102:$A$138),_xlfn.XMATCH(P$8,$A$102:$I$102))</f>
        <v>30.5</v>
      </c>
      <c r="Q37" s="9"/>
      <c r="R37" s="10"/>
      <c r="S37" s="10"/>
      <c r="T37" s="10"/>
    </row>
    <row r="38" spans="1:20">
      <c r="A38" s="6" t="s">
        <v>42</v>
      </c>
      <c r="B38" s="10" cm="1">
        <f t="array" ref="B38">INDEX($A$57:$I$93,_xlfn.XMATCH($A38,$A$57:$A$93),_xlfn.XMATCH(D$8,$A$57:$I$57))</f>
        <v>15000</v>
      </c>
      <c r="C38" s="10">
        <f t="shared" si="0"/>
        <v>46012.269938650308</v>
      </c>
      <c r="D38" s="8" cm="1">
        <f t="array" ref="D38">INDEX($A$102:$I$138,_xlfn.XMATCH($A38,$A$102:$A$138),_xlfn.XMATCH(D$8,$A$102:$I$102))</f>
        <v>32.6</v>
      </c>
      <c r="E38" s="10"/>
      <c r="F38" s="10" cm="1">
        <f t="array" ref="F38">INDEX($A$57:$I$93,_xlfn.XMATCH($A38,$A$57:$A$93),_xlfn.XMATCH(H$8,$A$57:$I$57))</f>
        <v>16000</v>
      </c>
      <c r="G38" s="10">
        <f t="shared" si="1"/>
        <v>45977.011494252874</v>
      </c>
      <c r="H38" s="8" cm="1">
        <f t="array" ref="H38">INDEX($A$102:$I$138,_xlfn.XMATCH($A38,$A$102:$A$138),_xlfn.XMATCH(H$8,$A$102:$I$102))</f>
        <v>34.799999999999997</v>
      </c>
      <c r="I38" s="10"/>
      <c r="J38" s="10" cm="1">
        <f t="array" ref="J38">INDEX($A$57:$I$93,_xlfn.XMATCH($A38,$A$57:$A$93),_xlfn.XMATCH(L$8,$A$57:$I$57))</f>
        <v>17000</v>
      </c>
      <c r="K38" s="10">
        <f t="shared" si="2"/>
        <v>46961.325966850825</v>
      </c>
      <c r="L38" s="8" cm="1">
        <f t="array" ref="L38">INDEX($A$102:$I$138,_xlfn.XMATCH($A38,$A$102:$A$138),_xlfn.XMATCH(L$8,$A$102:$I$102))</f>
        <v>36.200000000000003</v>
      </c>
      <c r="M38" s="10"/>
      <c r="N38" s="10" cm="1">
        <f t="array" ref="N38">INDEX($A$57:$I$93,_xlfn.XMATCH($A38,$A$57:$A$93),_xlfn.XMATCH(P$8,$A$57:$I$57))</f>
        <v>16000</v>
      </c>
      <c r="O38" s="10">
        <f t="shared" si="3"/>
        <v>47058.823529411762</v>
      </c>
      <c r="P38" s="8" cm="1">
        <f t="array" ref="P38">INDEX($A$102:$I$138,_xlfn.XMATCH($A38,$A$102:$A$138),_xlfn.XMATCH(P$8,$A$102:$I$102))</f>
        <v>34</v>
      </c>
      <c r="Q38" s="9"/>
      <c r="R38" s="10"/>
      <c r="S38" s="10"/>
      <c r="T38" s="10"/>
    </row>
    <row r="39" spans="1:20">
      <c r="A39" s="6" t="s">
        <v>43</v>
      </c>
      <c r="B39" s="10" cm="1">
        <f t="array" ref="B39">INDEX($A$57:$I$93,_xlfn.XMATCH($A39,$A$57:$A$93),_xlfn.XMATCH(D$8,$A$57:$I$57))</f>
        <v>8000</v>
      </c>
      <c r="C39" s="10">
        <f t="shared" si="0"/>
        <v>32000</v>
      </c>
      <c r="D39" s="8" cm="1">
        <f t="array" ref="D39">INDEX($A$102:$I$138,_xlfn.XMATCH($A39,$A$102:$A$138),_xlfn.XMATCH(D$8,$A$102:$I$102))</f>
        <v>25</v>
      </c>
      <c r="E39" s="10"/>
      <c r="F39" s="10" cm="1">
        <f t="array" ref="F39">INDEX($A$57:$I$93,_xlfn.XMATCH($A39,$A$57:$A$93),_xlfn.XMATCH(H$8,$A$57:$I$57))</f>
        <v>10000</v>
      </c>
      <c r="G39" s="10">
        <f t="shared" si="1"/>
        <v>33003.300330033002</v>
      </c>
      <c r="H39" s="8" cm="1">
        <f t="array" ref="H39">INDEX($A$102:$I$138,_xlfn.XMATCH($A39,$A$102:$A$138),_xlfn.XMATCH(H$8,$A$102:$I$102))</f>
        <v>30.3</v>
      </c>
      <c r="I39" s="10"/>
      <c r="J39" s="10" cm="1">
        <f t="array" ref="J39">INDEX($A$57:$I$93,_xlfn.XMATCH($A39,$A$57:$A$93),_xlfn.XMATCH(L$8,$A$57:$I$57))</f>
        <v>9000</v>
      </c>
      <c r="K39" s="10">
        <f t="shared" si="2"/>
        <v>32028.469750889675</v>
      </c>
      <c r="L39" s="8" cm="1">
        <f t="array" ref="L39">INDEX($A$102:$I$138,_xlfn.XMATCH($A39,$A$102:$A$138),_xlfn.XMATCH(L$8,$A$102:$I$102))</f>
        <v>28.1</v>
      </c>
      <c r="M39" s="10"/>
      <c r="N39" s="10" cm="1">
        <f t="array" ref="N39">INDEX($A$57:$I$93,_xlfn.XMATCH($A39,$A$57:$A$93),_xlfn.XMATCH(P$8,$A$57:$I$57))</f>
        <v>9000</v>
      </c>
      <c r="O39" s="10">
        <f t="shared" si="3"/>
        <v>32967.032967032967</v>
      </c>
      <c r="P39" s="8" cm="1">
        <f t="array" ref="P39">INDEX($A$102:$I$138,_xlfn.XMATCH($A39,$A$102:$A$138),_xlfn.XMATCH(P$8,$A$102:$I$102))</f>
        <v>27.3</v>
      </c>
      <c r="Q39" s="9"/>
      <c r="R39" s="10"/>
      <c r="S39" s="10"/>
      <c r="T39" s="10"/>
    </row>
    <row r="40" spans="1:20">
      <c r="A40" s="6" t="s">
        <v>44</v>
      </c>
      <c r="B40" s="10" cm="1">
        <f t="array" ref="B40">INDEX($A$57:$I$93,_xlfn.XMATCH($A40,$A$57:$A$93),_xlfn.XMATCH(D$8,$A$57:$I$57))</f>
        <v>22000</v>
      </c>
      <c r="C40" s="10">
        <f t="shared" si="0"/>
        <v>75085.324232081912</v>
      </c>
      <c r="D40" s="8" cm="1">
        <f t="array" ref="D40">INDEX($A$102:$I$138,_xlfn.XMATCH($A40,$A$102:$A$138),_xlfn.XMATCH(D$8,$A$102:$I$102))</f>
        <v>29.3</v>
      </c>
      <c r="E40" s="10"/>
      <c r="F40" s="10" cm="1">
        <f t="array" ref="F40">INDEX($A$57:$I$93,_xlfn.XMATCH($A40,$A$57:$A$93),_xlfn.XMATCH(H$8,$A$57:$I$57))</f>
        <v>24000</v>
      </c>
      <c r="G40" s="10">
        <f t="shared" si="1"/>
        <v>76923.076923076922</v>
      </c>
      <c r="H40" s="8" cm="1">
        <f t="array" ref="H40">INDEX($A$102:$I$138,_xlfn.XMATCH($A40,$A$102:$A$138),_xlfn.XMATCH(H$8,$A$102:$I$102))</f>
        <v>31.2</v>
      </c>
      <c r="I40" s="10"/>
      <c r="J40" s="10" cm="1">
        <f t="array" ref="J40">INDEX($A$57:$I$93,_xlfn.XMATCH($A40,$A$57:$A$93),_xlfn.XMATCH(L$8,$A$57:$I$57))</f>
        <v>23000</v>
      </c>
      <c r="K40" s="10">
        <f t="shared" si="2"/>
        <v>75907.590759075916</v>
      </c>
      <c r="L40" s="8" cm="1">
        <f t="array" ref="L40">INDEX($A$102:$I$138,_xlfn.XMATCH($A40,$A$102:$A$138),_xlfn.XMATCH(L$8,$A$102:$I$102))</f>
        <v>30.3</v>
      </c>
      <c r="M40" s="10"/>
      <c r="N40" s="10" cm="1">
        <f t="array" ref="N40">INDEX($A$57:$I$93,_xlfn.XMATCH($A40,$A$57:$A$93),_xlfn.XMATCH(P$8,$A$57:$I$57))</f>
        <v>21000</v>
      </c>
      <c r="O40" s="10">
        <f t="shared" si="3"/>
        <v>76086.956521739121</v>
      </c>
      <c r="P40" s="8" cm="1">
        <f t="array" ref="P40">INDEX($A$102:$I$138,_xlfn.XMATCH($A40,$A$102:$A$138),_xlfn.XMATCH(P$8,$A$102:$I$102))</f>
        <v>27.6</v>
      </c>
      <c r="Q40" s="9"/>
      <c r="R40" s="10"/>
      <c r="S40" s="10"/>
      <c r="T40" s="10"/>
    </row>
    <row r="41" spans="1:20">
      <c r="A41" s="6"/>
      <c r="B41" s="10"/>
      <c r="C41" s="10"/>
      <c r="D41" s="8"/>
      <c r="E41" s="10"/>
      <c r="F41" s="10"/>
      <c r="G41" s="10"/>
      <c r="H41" s="8"/>
      <c r="I41" s="10"/>
      <c r="J41" s="10"/>
      <c r="K41" s="10"/>
      <c r="L41" s="8"/>
      <c r="M41" s="10"/>
      <c r="N41" s="10"/>
      <c r="O41" s="10"/>
      <c r="P41" s="553"/>
      <c r="Q41" s="9"/>
      <c r="R41" s="10"/>
      <c r="S41" s="10"/>
      <c r="T41" s="10"/>
    </row>
    <row r="42" spans="1:20">
      <c r="A42" s="6" t="s">
        <v>279</v>
      </c>
      <c r="B42" s="10" cm="1">
        <f t="array" ref="B42">INDEX($A$57:$I$93,_xlfn.XMATCH($A42,$A$57:$A$93),_xlfn.XMATCH(D$8,$A$57:$I$57))</f>
        <v>9063000</v>
      </c>
      <c r="C42" s="10">
        <f t="shared" si="0"/>
        <v>29521172.638436481</v>
      </c>
      <c r="D42" s="8" cm="1">
        <f t="array" ref="D42">INDEX($A$102:$I$138,_xlfn.XMATCH($A42,$A$102:$A$138),_xlfn.XMATCH(D$8,$A$102:$I$102))</f>
        <v>30.7</v>
      </c>
      <c r="E42" s="10"/>
      <c r="F42" s="10" cm="1">
        <f t="array" ref="F42">INDEX($A$57:$I$93,_xlfn.XMATCH($A42,$A$57:$A$93),_xlfn.XMATCH(H$8,$A$57:$I$57))</f>
        <v>9312000</v>
      </c>
      <c r="G42" s="10">
        <f t="shared" si="1"/>
        <v>30332247.55700326</v>
      </c>
      <c r="H42" s="8" cm="1">
        <f t="array" ref="H42">INDEX($A$102:$I$138,_xlfn.XMATCH($A42,$A$102:$A$138),_xlfn.XMATCH(H$8,$A$102:$I$102))</f>
        <v>30.7</v>
      </c>
      <c r="I42" s="10"/>
      <c r="J42" s="10" cm="1">
        <f t="array" ref="J42">INDEX($A$57:$I$93,_xlfn.XMATCH($A42,$A$57:$A$93),_xlfn.XMATCH(L$8,$A$57:$I$57))</f>
        <v>9545000</v>
      </c>
      <c r="K42" s="10">
        <f t="shared" si="2"/>
        <v>30889967.637540452</v>
      </c>
      <c r="L42" s="8" cm="1">
        <f t="array" ref="L42">INDEX($A$102:$I$138,_xlfn.XMATCH($A42,$A$102:$A$138),_xlfn.XMATCH(L$8,$A$102:$I$102))</f>
        <v>30.9</v>
      </c>
      <c r="M42" s="10"/>
      <c r="N42" s="10" cm="1">
        <f t="array" ref="N42">INDEX($A$57:$I$93,_xlfn.XMATCH($A42,$A$57:$A$93),_xlfn.XMATCH(P$8,$A$57:$I$57))</f>
        <v>9482000</v>
      </c>
      <c r="O42" s="10">
        <f t="shared" si="3"/>
        <v>31397350.993377484</v>
      </c>
      <c r="P42" s="8" cm="1">
        <f t="array" ref="P42">INDEX($A$102:$I$138,_xlfn.XMATCH($A42,$A$102:$A$138),_xlfn.XMATCH(P$8,$A$102:$I$102))</f>
        <v>30.2</v>
      </c>
      <c r="Q42" s="9"/>
      <c r="R42" s="10"/>
      <c r="S42" s="10"/>
      <c r="T42" s="10"/>
    </row>
    <row r="43" spans="1:20">
      <c r="A43" s="6" t="s">
        <v>45</v>
      </c>
      <c r="B43" s="10" cm="1">
        <f t="array" ref="B43">INDEX($A$57:$I$93,_xlfn.XMATCH($A43,$A$57:$A$93),_xlfn.XMATCH(D$8,$A$57:$I$57))</f>
        <v>701000</v>
      </c>
      <c r="C43" s="10">
        <f t="shared" si="0"/>
        <v>2442508.7108013937</v>
      </c>
      <c r="D43" s="8" cm="1">
        <f t="array" ref="D43">INDEX($A$102:$I$138,_xlfn.XMATCH($A43,$A$102:$A$138),_xlfn.XMATCH(D$8,$A$102:$I$102))</f>
        <v>28.7</v>
      </c>
      <c r="E43" s="10"/>
      <c r="F43" s="10" cm="1">
        <f t="array" ref="F43">INDEX($A$57:$I$93,_xlfn.XMATCH($A43,$A$57:$A$93),_xlfn.XMATCH(H$8,$A$57:$I$57))</f>
        <v>746000</v>
      </c>
      <c r="G43" s="10">
        <f t="shared" si="1"/>
        <v>2520270.2702702698</v>
      </c>
      <c r="H43" s="8" cm="1">
        <f t="array" ref="H43">INDEX($A$102:$I$138,_xlfn.XMATCH($A43,$A$102:$A$138),_xlfn.XMATCH(H$8,$A$102:$I$102))</f>
        <v>29.6</v>
      </c>
      <c r="I43" s="10"/>
      <c r="J43" s="10" cm="1">
        <f t="array" ref="J43">INDEX($A$57:$I$93,_xlfn.XMATCH($A43,$A$57:$A$93),_xlfn.XMATCH(L$8,$A$57:$I$57))</f>
        <v>731000</v>
      </c>
      <c r="K43" s="10">
        <f t="shared" si="2"/>
        <v>2520689.6551724141</v>
      </c>
      <c r="L43" s="8" cm="1">
        <f t="array" ref="L43">INDEX($A$102:$I$138,_xlfn.XMATCH($A43,$A$102:$A$138),_xlfn.XMATCH(L$8,$A$102:$I$102))</f>
        <v>29</v>
      </c>
      <c r="M43" s="10"/>
      <c r="N43" s="10" cm="1">
        <f t="array" ref="N43">INDEX($A$57:$I$93,_xlfn.XMATCH($A43,$A$57:$A$93),_xlfn.XMATCH(P$8,$A$57:$I$57))</f>
        <v>737000</v>
      </c>
      <c r="O43" s="10">
        <f t="shared" si="3"/>
        <v>2559027.7777777775</v>
      </c>
      <c r="P43" s="8" cm="1">
        <f t="array" ref="P43">INDEX($A$102:$I$138,_xlfn.XMATCH($A43,$A$102:$A$138),_xlfn.XMATCH(P$8,$A$102:$I$102))</f>
        <v>28.8</v>
      </c>
      <c r="Q43" s="9"/>
      <c r="R43" s="10"/>
      <c r="S43" s="10"/>
      <c r="T43" s="10"/>
    </row>
    <row r="44" spans="1:20">
      <c r="A44" s="6" t="s">
        <v>543</v>
      </c>
      <c r="B44" s="370">
        <f>SUM(SUMIFS(B$9:B$40,$A$9:$A$40,{"Na h-Eileanan Siar","Argyll and Bute","Shetland Islands","Highland","Orkney Islands","Scottish Borders","Dumfries and Galloway","Aberdeenshire"}))</f>
        <v>104000</v>
      </c>
      <c r="C44" s="370">
        <f>SUM(SUMIFS(C$9:C$40,$A$9:$A$40,{"Na h-Eileanan Siar","Argyll and Bute","Shetland Islands","Highland","Orkney Islands","Scottish Borders","Dumfries and Galloway","Aberdeenshire"}))</f>
        <v>375873.83811504114</v>
      </c>
      <c r="D44" s="233">
        <f>SUM(B44/C44)*100</f>
        <v>27.668858391833439</v>
      </c>
      <c r="E44" s="4"/>
      <c r="F44" s="370">
        <f>SUM(SUMIFS(F$9:F$40,$A$9:$A$40,{"Na h-Eileanan Siar","Argyll and Bute","Shetland Islands","Highland","Orkney Islands","Scottish Borders","Dumfries and Galloway","Aberdeenshire"}))</f>
        <v>109000</v>
      </c>
      <c r="G44" s="370">
        <f>SUM(SUMIFS(G$9:G$40,$A$9:$A$40,{"Na h-Eileanan Siar","Argyll and Bute","Shetland Islands","Highland","Orkney Islands","Scottish Borders","Dumfries and Galloway","Aberdeenshire"}))</f>
        <v>391264.16818667063</v>
      </c>
      <c r="H44" s="233">
        <f>SUM(F44/G44)*100</f>
        <v>27.858416093956379</v>
      </c>
      <c r="I44" s="4"/>
      <c r="J44" s="370">
        <f>SUM(SUMIFS(J$9:J$40,$A$9:$A$40,{"Na h-Eileanan Siar","Argyll and Bute","Shetland Islands","Highland","Orkney Islands","Scottish Borders","Dumfries and Galloway","Aberdeenshire"}))</f>
        <v>113500</v>
      </c>
      <c r="K44" s="370">
        <f>SUM(SUMIFS(K$9:K$40,$A$9:$A$40,{"Na h-Eileanan Siar","Argyll and Bute","Shetland Islands","Highland","Orkney Islands","Scottish Borders","Dumfries and Galloway","Aberdeenshire"}))</f>
        <v>391914.41311068204</v>
      </c>
      <c r="L44" s="233">
        <f>SUM(J44/K44)*100</f>
        <v>28.96040467078868</v>
      </c>
      <c r="M44" s="4"/>
      <c r="N44" s="370">
        <f>SUM(SUMIFS(N$9:N$40,$A$9:$A$40,{"Na h-Eileanan Siar","Argyll and Bute","Shetland Islands","Highland","Orkney Islands","Scottish Borders","Dumfries and Galloway","Aberdeenshire"}))</f>
        <v>114500</v>
      </c>
      <c r="O44" s="370">
        <f>SUM(SUMIFS(O$9:O$40,$A$9:$A$40,{"Na h-Eileanan Siar","Argyll and Bute","Shetland Islands","Highland","Orkney Islands","Scottish Borders","Dumfries and Galloway","Aberdeenshire"}))</f>
        <v>398964.76379118639</v>
      </c>
      <c r="P44" s="233">
        <f>SUM(N44/O44)*100</f>
        <v>28.699276325046085</v>
      </c>
      <c r="Q44" s="9"/>
    </row>
    <row r="45" spans="1:20">
      <c r="A45" s="6" t="s">
        <v>544</v>
      </c>
      <c r="B45" s="370">
        <f>SUM(SUMIFS(B$9:B$40,$A$9:$A$40,{"Perth and Kinross","Stirling","Moray","South Ayrshire","East Ayrshire","East Lothian","North Ayrshire","Fife"}))</f>
        <v>122000</v>
      </c>
      <c r="C45" s="370">
        <f>SUM(SUMIFS(C$9:C$40,$A$9:$A$40,{"Perth and Kinross","Stirling","Moray","South Ayrshire","East Ayrshire","East Lothian","North Ayrshire","Fife"}))</f>
        <v>423014.93218058423</v>
      </c>
      <c r="D45" s="233">
        <f>SUM(B45/C45)*100</f>
        <v>28.840589473072892</v>
      </c>
      <c r="E45" s="4"/>
      <c r="F45" s="370">
        <f>SUM(SUMIFS(F$9:F$40,$A$9:$A$40,{"Perth and Kinross","Stirling","Moray","South Ayrshire","East Ayrshire","East Lothian","North Ayrshire","Fife"}))</f>
        <v>134000</v>
      </c>
      <c r="G45" s="370">
        <f>SUM(SUMIFS(G$9:G$40,$A$9:$A$40,{"Perth and Kinross","Stirling","Moray","South Ayrshire","East Ayrshire","East Lothian","North Ayrshire","Fife"}))</f>
        <v>444114.7557985108</v>
      </c>
      <c r="H45" s="233">
        <f>SUM(F45/G45)*100</f>
        <v>30.172381856367341</v>
      </c>
      <c r="I45" s="4"/>
      <c r="J45" s="370">
        <f>SUM(SUMIFS(J$9:J$40,$A$9:$A$40,{"Perth and Kinross","Stirling","Moray","South Ayrshire","East Ayrshire","East Lothian","North Ayrshire","Fife"}))</f>
        <v>134000</v>
      </c>
      <c r="K45" s="370">
        <f>SUM(SUMIFS(K$9:K$40,$A$9:$A$40,{"Perth and Kinross","Stirling","Moray","South Ayrshire","East Ayrshire","East Lothian","North Ayrshire","Fife"}))</f>
        <v>446201.33391930064</v>
      </c>
      <c r="L45" s="233">
        <f>SUM(J45/K45)*100</f>
        <v>30.031286285718512</v>
      </c>
      <c r="M45" s="4"/>
      <c r="N45" s="370">
        <f>SUM(SUMIFS(N$9:N$40,$A$9:$A$40,{"Perth and Kinross","Stirling","Moray","South Ayrshire","East Ayrshire","East Lothian","North Ayrshire","Fife"}))</f>
        <v>134000</v>
      </c>
      <c r="O45" s="370">
        <f>SUM(SUMIFS(O$9:O$40,$A$9:$A$40,{"Perth and Kinross","Stirling","Moray","South Ayrshire","East Ayrshire","East Lothian","North Ayrshire","Fife"}))</f>
        <v>447979.33942053316</v>
      </c>
      <c r="P45" s="233">
        <f>SUM(N45/O45)*100</f>
        <v>29.912093752656244</v>
      </c>
      <c r="Q45" s="9"/>
    </row>
    <row r="46" spans="1:20">
      <c r="A46" s="6" t="s">
        <v>545</v>
      </c>
      <c r="B46" s="370">
        <f>SUM(SUMIFS(B$9:B$40,$A$9:$A$40,{"Angus","Clackmannanshire","Midlothian","South Lanarkshire","Inverclyde","Renfrewshire","West Lothian","East Renfrewshire"}))</f>
        <v>120500</v>
      </c>
      <c r="C46" s="370">
        <f>SUM(SUMIFS(C$9:C$40,$A$9:$A$40,{"Angus","Clackmannanshire","Midlothian","South Lanarkshire","Inverclyde","Renfrewshire","West Lothian","East Renfrewshire"}))</f>
        <v>401955.49837126746</v>
      </c>
      <c r="D46" s="233">
        <f>SUM(B46/C46)*100</f>
        <v>29.978443008807854</v>
      </c>
      <c r="E46" s="4"/>
      <c r="F46" s="370">
        <f>SUM(SUMIFS(F$9:F$40,$A$9:$A$40,{"Angus","Clackmannanshire","Midlothian","South Lanarkshire","Inverclyde","Renfrewshire","West Lothian","East Renfrewshire"}))</f>
        <v>128000</v>
      </c>
      <c r="G46" s="370">
        <f>SUM(SUMIFS(G$9:G$40,$A$9:$A$40,{"Angus","Clackmannanshire","Midlothian","South Lanarkshire","Inverclyde","Renfrewshire","West Lothian","East Renfrewshire"}))</f>
        <v>410808.62951463892</v>
      </c>
      <c r="H46" s="233">
        <f>SUM(F46/G46)*100</f>
        <v>31.158060177856804</v>
      </c>
      <c r="I46" s="4"/>
      <c r="J46" s="370">
        <f>SUM(SUMIFS(J$9:J$40,$A$9:$A$40,{"Angus","Clackmannanshire","Midlothian","South Lanarkshire","Inverclyde","Renfrewshire","West Lothian","East Renfrewshire"}))</f>
        <v>126000</v>
      </c>
      <c r="K46" s="370">
        <f>SUM(SUMIFS(K$9:K$40,$A$9:$A$40,{"Angus","Clackmannanshire","Midlothian","South Lanarkshire","Inverclyde","Renfrewshire","West Lothian","East Renfrewshire"}))</f>
        <v>405882.61631365848</v>
      </c>
      <c r="L46" s="233">
        <f>SUM(J46/K46)*100</f>
        <v>31.043458117119645</v>
      </c>
      <c r="M46" s="4"/>
      <c r="N46" s="370">
        <f>SUM(SUMIFS(N$9:N$40,$A$9:$A$40,{"Angus","Clackmannanshire","Midlothian","South Lanarkshire","Inverclyde","Renfrewshire","West Lothian","East Renfrewshire"}))</f>
        <v>124000</v>
      </c>
      <c r="O46" s="370">
        <f>SUM(SUMIFS(O$9:O$40,$A$9:$A$40,{"Angus","Clackmannanshire","Midlothian","South Lanarkshire","Inverclyde","Renfrewshire","West Lothian","East Renfrewshire"}))</f>
        <v>407197.68953530886</v>
      </c>
      <c r="P46" s="233">
        <f>SUM(N46/O46)*100</f>
        <v>30.45203919047476</v>
      </c>
      <c r="Q46" s="9"/>
    </row>
    <row r="47" spans="1:20">
      <c r="A47" s="6" t="s">
        <v>546</v>
      </c>
      <c r="B47" s="370">
        <f>SUM(SUMIFS(B$9:B$40,$A$9:$A$40,{"North Lanarkshire","Falkirk","East Dunbartonshire","Aberdeen City","Edinburgh, City of","West Dunbartonshire","Dundee City","Glasgow City"}))</f>
        <v>355000</v>
      </c>
      <c r="C47" s="370">
        <f>SUM(SUMIFS(C$9:C$40,$A$9:$A$40,{"North Lanarkshire","Falkirk","East Dunbartonshire","Aberdeen City","Edinburgh, City of","West Dunbartonshire","Dundee City","Glasgow City"}))</f>
        <v>1240583.9712185005</v>
      </c>
      <c r="D47" s="233">
        <f>SUM(B47/C47)*100</f>
        <v>28.615555918501776</v>
      </c>
      <c r="E47" s="4"/>
      <c r="F47" s="370">
        <f>SUM(SUMIFS(F$9:F$40,$A$9:$A$40,{"North Lanarkshire","Falkirk","East Dunbartonshire","Aberdeen City","Edinburgh, City of","West Dunbartonshire","Dundee City","Glasgow City"}))</f>
        <v>376000</v>
      </c>
      <c r="G47" s="370">
        <f>SUM(SUMIFS(G$9:G$40,$A$9:$A$40,{"North Lanarkshire","Falkirk","East Dunbartonshire","Aberdeen City","Edinburgh, City of","West Dunbartonshire","Dundee City","Glasgow City"}))</f>
        <v>1272574.7491823661</v>
      </c>
      <c r="H47" s="233">
        <f>SUM(F47/G47)*100</f>
        <v>29.546397981068019</v>
      </c>
      <c r="I47" s="4"/>
      <c r="J47" s="370">
        <f>SUM(SUMIFS(J$9:J$40,$A$9:$A$40,{"North Lanarkshire","Falkirk","East Dunbartonshire","Aberdeen City","Edinburgh, City of","West Dunbartonshire","Dundee City","Glasgow City"}))</f>
        <v>358000</v>
      </c>
      <c r="K47" s="370">
        <f>SUM(SUMIFS(K$9:K$40,$A$9:$A$40,{"North Lanarkshire","Falkirk","East Dunbartonshire","Aberdeen City","Edinburgh, City of","West Dunbartonshire","Dundee City","Glasgow City"}))</f>
        <v>1279252.3279352137</v>
      </c>
      <c r="L47" s="233">
        <f>SUM(J47/K47)*100</f>
        <v>27.985096621073374</v>
      </c>
      <c r="M47" s="4"/>
      <c r="N47" s="370">
        <f>SUM(SUMIFS(N$9:N$40,$A$9:$A$40,{"North Lanarkshire","Falkirk","East Dunbartonshire","Aberdeen City","Edinburgh, City of","West Dunbartonshire","Dundee City","Glasgow City"}))</f>
        <v>361000</v>
      </c>
      <c r="O47" s="370">
        <f>SUM(SUMIFS(O$9:O$40,$A$9:$A$40,{"North Lanarkshire","Falkirk","East Dunbartonshire","Aberdeen City","Edinburgh, City of","West Dunbartonshire","Dundee City","Glasgow City"}))</f>
        <v>1308336.2841963836</v>
      </c>
      <c r="P47" s="233">
        <f>SUM(N47/O47)*100</f>
        <v>27.592294455223815</v>
      </c>
      <c r="Q47" s="9"/>
    </row>
    <row r="48" spans="1:20">
      <c r="A48" s="6" t="s">
        <v>47</v>
      </c>
      <c r="B48" s="10" cm="1">
        <f t="array" ref="B48">INDEX($A$57:$I$93,_xlfn.XMATCH($A48,$A$57:$A$93),_xlfn.XMATCH(D$8,$A$57:$I$57))</f>
        <v>252000</v>
      </c>
      <c r="C48" s="10">
        <f t="shared" ref="C48" si="4">B48/(D48/100)</f>
        <v>845637.58389261749</v>
      </c>
      <c r="D48" s="8" cm="1">
        <f t="array" ref="D48">INDEX($A$102:$I$138,_xlfn.XMATCH($A48,$A$102:$A$138),_xlfn.XMATCH(D$8,$A$102:$I$102))</f>
        <v>29.8</v>
      </c>
      <c r="E48" s="10"/>
      <c r="F48" s="10" cm="1">
        <f t="array" ref="F48">INDEX($A$57:$I$93,_xlfn.XMATCH($A48,$A$57:$A$93),_xlfn.XMATCH(H$8,$A$57:$I$57))</f>
        <v>271000</v>
      </c>
      <c r="G48" s="10">
        <f t="shared" ref="G48" si="5">F48/(H48/100)</f>
        <v>865814.69648562302</v>
      </c>
      <c r="H48" s="8" cm="1">
        <f t="array" ref="H48">INDEX($A$102:$I$138,_xlfn.XMATCH($A48,$A$102:$A$138),_xlfn.XMATCH(H$8,$A$102:$I$102))</f>
        <v>31.3</v>
      </c>
      <c r="I48" s="10"/>
      <c r="J48" s="10" cm="1">
        <f t="array" ref="J48">INDEX($A$57:$I$93,_xlfn.XMATCH($A48,$A$57:$A$93),_xlfn.XMATCH(L$8,$A$57:$I$57))</f>
        <v>266000</v>
      </c>
      <c r="K48" s="10">
        <f t="shared" ref="K48" si="6">J48/(L48/100)</f>
        <v>872131.14754098363</v>
      </c>
      <c r="L48" s="8" cm="1">
        <f t="array" ref="L48">INDEX($A$102:$I$138,_xlfn.XMATCH($A48,$A$102:$A$138),_xlfn.XMATCH(L$8,$A$102:$I$102))</f>
        <v>30.5</v>
      </c>
      <c r="M48" s="10"/>
      <c r="N48" s="10" cm="1">
        <f t="array" ref="N48">INDEX($A$57:$I$93,_xlfn.XMATCH($A48,$A$57:$A$93),_xlfn.XMATCH(P$8,$A$57:$I$57))</f>
        <v>263000</v>
      </c>
      <c r="O48" s="10">
        <f t="shared" ref="O48" si="7">N48/(P48/100)</f>
        <v>876666.66666666674</v>
      </c>
      <c r="P48" s="8" cm="1">
        <f t="array" ref="P48">INDEX($A$102:$I$138,_xlfn.XMATCH($A48,$A$102:$A$138),_xlfn.XMATCH(P$8,$A$102:$I$102))</f>
        <v>30</v>
      </c>
      <c r="Q48" s="9"/>
      <c r="R48" s="10"/>
      <c r="S48" s="10"/>
      <c r="T48" s="10"/>
    </row>
    <row r="49" spans="1:16">
      <c r="B49" s="10"/>
      <c r="C49" s="10"/>
      <c r="D49" s="8"/>
      <c r="E49" s="10"/>
      <c r="O49" s="10"/>
      <c r="P49" s="8"/>
    </row>
    <row r="50" spans="1:16" ht="15.5">
      <c r="A50" s="554" t="s">
        <v>284</v>
      </c>
      <c r="J50" s="10"/>
      <c r="K50" s="10"/>
      <c r="L50" s="8"/>
      <c r="M50" s="10"/>
      <c r="N50" s="10"/>
      <c r="O50" s="10"/>
      <c r="P50" s="8"/>
    </row>
    <row r="51" spans="1:16">
      <c r="A51" s="555" t="s">
        <v>777</v>
      </c>
    </row>
    <row r="53" spans="1:16">
      <c r="A53" s="556" t="s">
        <v>213</v>
      </c>
      <c r="B53" s="556" t="s">
        <v>778</v>
      </c>
      <c r="D53" t="s">
        <v>780</v>
      </c>
    </row>
    <row r="54" spans="1:16">
      <c r="A54" s="556" t="s">
        <v>281</v>
      </c>
      <c r="B54" s="556" t="s">
        <v>735</v>
      </c>
    </row>
    <row r="55" spans="1:16">
      <c r="A55" s="556" t="s">
        <v>147</v>
      </c>
      <c r="B55" s="556" t="s">
        <v>280</v>
      </c>
    </row>
    <row r="57" spans="1:16">
      <c r="A57" s="557" t="s">
        <v>5</v>
      </c>
      <c r="B57" s="608">
        <v>2020</v>
      </c>
      <c r="C57" s="608" t="s">
        <v>736</v>
      </c>
      <c r="D57" s="608">
        <v>2021</v>
      </c>
      <c r="E57" s="608" t="s">
        <v>736</v>
      </c>
      <c r="F57" s="608">
        <v>2022</v>
      </c>
      <c r="G57" s="608" t="s">
        <v>736</v>
      </c>
      <c r="H57" s="608">
        <v>2023</v>
      </c>
      <c r="I57" s="608" t="s">
        <v>736</v>
      </c>
    </row>
    <row r="58" spans="1:16" ht="22" customHeight="1">
      <c r="B58" s="558" t="s">
        <v>71</v>
      </c>
      <c r="C58" s="558" t="s">
        <v>736</v>
      </c>
      <c r="D58" s="558" t="s">
        <v>71</v>
      </c>
      <c r="E58" s="558" t="s">
        <v>736</v>
      </c>
      <c r="F58" s="558" t="s">
        <v>71</v>
      </c>
      <c r="G58" s="558" t="s">
        <v>736</v>
      </c>
      <c r="H58" s="558" t="s">
        <v>71</v>
      </c>
      <c r="I58" s="558" t="s">
        <v>736</v>
      </c>
    </row>
    <row r="59" spans="1:16" ht="26.15" customHeight="1">
      <c r="A59" s="556" t="s">
        <v>14</v>
      </c>
      <c r="B59" s="559">
        <v>41000</v>
      </c>
      <c r="C59" s="555"/>
      <c r="D59" s="559">
        <v>42000</v>
      </c>
      <c r="E59" s="555"/>
      <c r="F59" s="559">
        <v>41000</v>
      </c>
      <c r="G59" s="555"/>
      <c r="H59" s="559">
        <v>41000</v>
      </c>
      <c r="I59" s="555"/>
    </row>
    <row r="60" spans="1:16">
      <c r="A60" s="556" t="s">
        <v>15</v>
      </c>
      <c r="B60" s="559">
        <v>25000</v>
      </c>
      <c r="C60" s="555"/>
      <c r="D60" s="559">
        <v>27000</v>
      </c>
      <c r="E60" s="555"/>
      <c r="F60" s="559">
        <v>26000</v>
      </c>
      <c r="G60" s="555"/>
      <c r="H60" s="559">
        <v>27000</v>
      </c>
      <c r="I60" s="555"/>
    </row>
    <row r="61" spans="1:16">
      <c r="A61" s="556" t="s">
        <v>16</v>
      </c>
      <c r="B61" s="559">
        <v>9000</v>
      </c>
      <c r="C61" s="555"/>
      <c r="D61" s="559">
        <v>9000</v>
      </c>
      <c r="E61" s="555"/>
      <c r="F61" s="559">
        <v>10000</v>
      </c>
      <c r="G61" s="555"/>
      <c r="H61" s="559">
        <v>10000</v>
      </c>
      <c r="I61" s="555"/>
    </row>
    <row r="62" spans="1:16">
      <c r="A62" s="556" t="s">
        <v>17</v>
      </c>
      <c r="B62" s="559">
        <v>11000</v>
      </c>
      <c r="C62" s="555"/>
      <c r="D62" s="559">
        <v>12000</v>
      </c>
      <c r="E62" s="555"/>
      <c r="F62" s="559">
        <v>13000</v>
      </c>
      <c r="G62" s="555"/>
      <c r="H62" s="559">
        <v>12000</v>
      </c>
      <c r="I62" s="555"/>
    </row>
    <row r="63" spans="1:16">
      <c r="A63" s="556" t="s">
        <v>189</v>
      </c>
      <c r="B63" s="559">
        <v>101000</v>
      </c>
      <c r="C63" s="555"/>
      <c r="D63" s="559">
        <v>105000</v>
      </c>
      <c r="E63" s="555"/>
      <c r="F63" s="559">
        <v>92000</v>
      </c>
      <c r="G63" s="555"/>
      <c r="H63" s="559">
        <v>95000</v>
      </c>
      <c r="I63" s="555"/>
    </row>
    <row r="64" spans="1:16">
      <c r="A64" s="556" t="s">
        <v>18</v>
      </c>
      <c r="B64" s="559">
        <v>3500</v>
      </c>
      <c r="C64" s="555"/>
      <c r="D64" s="559">
        <v>4000</v>
      </c>
      <c r="E64" s="555"/>
      <c r="F64" s="559">
        <v>4000</v>
      </c>
      <c r="G64" s="555"/>
      <c r="H64" s="559">
        <v>4000</v>
      </c>
      <c r="I64" s="555"/>
    </row>
    <row r="65" spans="1:9">
      <c r="A65" s="556" t="s">
        <v>19</v>
      </c>
      <c r="B65" s="559">
        <v>16000</v>
      </c>
      <c r="C65" s="555"/>
      <c r="D65" s="559">
        <v>16000</v>
      </c>
      <c r="E65" s="555"/>
      <c r="F65" s="559">
        <v>17000</v>
      </c>
      <c r="G65" s="555"/>
      <c r="H65" s="559">
        <v>18000</v>
      </c>
      <c r="I65" s="555"/>
    </row>
    <row r="66" spans="1:9">
      <c r="A66" s="556" t="s">
        <v>20</v>
      </c>
      <c r="B66" s="559">
        <v>22000</v>
      </c>
      <c r="C66" s="555"/>
      <c r="D66" s="559">
        <v>22000</v>
      </c>
      <c r="E66" s="555"/>
      <c r="F66" s="559">
        <v>22000</v>
      </c>
      <c r="G66" s="555"/>
      <c r="H66" s="559">
        <v>22000</v>
      </c>
      <c r="I66" s="555"/>
    </row>
    <row r="67" spans="1:9">
      <c r="A67" s="556" t="s">
        <v>21</v>
      </c>
      <c r="B67" s="559">
        <v>11000</v>
      </c>
      <c r="C67" s="555"/>
      <c r="D67" s="559">
        <v>12000</v>
      </c>
      <c r="E67" s="555"/>
      <c r="F67" s="559">
        <v>12000</v>
      </c>
      <c r="G67" s="555"/>
      <c r="H67" s="559">
        <v>12000</v>
      </c>
      <c r="I67" s="555"/>
    </row>
    <row r="68" spans="1:9">
      <c r="A68" s="556" t="s">
        <v>22</v>
      </c>
      <c r="B68" s="559">
        <v>7000</v>
      </c>
      <c r="C68" s="555"/>
      <c r="D68" s="559">
        <v>7000</v>
      </c>
      <c r="E68" s="555"/>
      <c r="F68" s="559">
        <v>7000</v>
      </c>
      <c r="G68" s="555"/>
      <c r="H68" s="559">
        <v>7000</v>
      </c>
      <c r="I68" s="555"/>
    </row>
    <row r="69" spans="1:9">
      <c r="A69" s="556" t="s">
        <v>23</v>
      </c>
      <c r="B69" s="559">
        <v>9000</v>
      </c>
      <c r="C69" s="555"/>
      <c r="D69" s="559">
        <v>10000</v>
      </c>
      <c r="E69" s="555"/>
      <c r="F69" s="559">
        <v>10000</v>
      </c>
      <c r="G69" s="555"/>
      <c r="H69" s="559">
        <v>9000</v>
      </c>
      <c r="I69" s="555"/>
    </row>
    <row r="70" spans="1:9">
      <c r="A70" s="556" t="s">
        <v>24</v>
      </c>
      <c r="B70" s="559">
        <v>6000</v>
      </c>
      <c r="C70" s="555"/>
      <c r="D70" s="559">
        <v>7000</v>
      </c>
      <c r="E70" s="555"/>
      <c r="F70" s="559">
        <v>7000</v>
      </c>
      <c r="G70" s="555"/>
      <c r="H70" s="559">
        <v>7000</v>
      </c>
      <c r="I70" s="555"/>
    </row>
    <row r="71" spans="1:9">
      <c r="A71" s="556" t="s">
        <v>25</v>
      </c>
      <c r="B71" s="559">
        <v>16000</v>
      </c>
      <c r="C71" s="555"/>
      <c r="D71" s="559">
        <v>17000</v>
      </c>
      <c r="E71" s="555"/>
      <c r="F71" s="559">
        <v>16000</v>
      </c>
      <c r="G71" s="555"/>
      <c r="H71" s="559">
        <v>20000</v>
      </c>
      <c r="I71" s="555"/>
    </row>
    <row r="72" spans="1:9">
      <c r="A72" s="556" t="s">
        <v>26</v>
      </c>
      <c r="B72" s="559">
        <v>34000</v>
      </c>
      <c r="C72" s="555"/>
      <c r="D72" s="559">
        <v>37000</v>
      </c>
      <c r="E72" s="555"/>
      <c r="F72" s="559">
        <v>37000</v>
      </c>
      <c r="G72" s="555"/>
      <c r="H72" s="559">
        <v>36000</v>
      </c>
      <c r="I72" s="555"/>
    </row>
    <row r="73" spans="1:9">
      <c r="A73" s="556" t="s">
        <v>27</v>
      </c>
      <c r="B73" s="559">
        <v>126000</v>
      </c>
      <c r="C73" s="555"/>
      <c r="D73" s="559">
        <v>137000</v>
      </c>
      <c r="E73" s="555"/>
      <c r="F73" s="559">
        <v>135000</v>
      </c>
      <c r="G73" s="555"/>
      <c r="H73" s="559">
        <v>132000</v>
      </c>
      <c r="I73" s="555"/>
    </row>
    <row r="74" spans="1:9">
      <c r="A74" s="556" t="s">
        <v>28</v>
      </c>
      <c r="B74" s="559">
        <v>33000</v>
      </c>
      <c r="C74" s="555"/>
      <c r="D74" s="559">
        <v>35000</v>
      </c>
      <c r="E74" s="555"/>
      <c r="F74" s="559">
        <v>37000</v>
      </c>
      <c r="G74" s="555"/>
      <c r="H74" s="559">
        <v>37000</v>
      </c>
      <c r="I74" s="555"/>
    </row>
    <row r="75" spans="1:9">
      <c r="A75" s="556" t="s">
        <v>29</v>
      </c>
      <c r="B75" s="559">
        <v>7000</v>
      </c>
      <c r="C75" s="555"/>
      <c r="D75" s="559">
        <v>8000</v>
      </c>
      <c r="E75" s="555"/>
      <c r="F75" s="559">
        <v>7000</v>
      </c>
      <c r="G75" s="555"/>
      <c r="H75" s="559">
        <v>7000</v>
      </c>
      <c r="I75" s="555"/>
    </row>
    <row r="76" spans="1:9">
      <c r="A76" s="556" t="s">
        <v>30</v>
      </c>
      <c r="B76" s="559">
        <v>9000</v>
      </c>
      <c r="C76" s="555"/>
      <c r="D76" s="559">
        <v>10000</v>
      </c>
      <c r="E76" s="555"/>
      <c r="F76" s="559">
        <v>10000</v>
      </c>
      <c r="G76" s="555"/>
      <c r="H76" s="559">
        <v>10000</v>
      </c>
      <c r="I76" s="555"/>
    </row>
    <row r="77" spans="1:9">
      <c r="A77" s="556" t="s">
        <v>31</v>
      </c>
      <c r="B77" s="559">
        <v>9000</v>
      </c>
      <c r="C77" s="555"/>
      <c r="D77" s="559">
        <v>10000</v>
      </c>
      <c r="E77" s="555"/>
      <c r="F77" s="559">
        <v>10000</v>
      </c>
      <c r="G77" s="555"/>
      <c r="H77" s="559">
        <v>9000</v>
      </c>
      <c r="I77" s="555"/>
    </row>
    <row r="78" spans="1:9">
      <c r="A78" s="556" t="s">
        <v>32</v>
      </c>
      <c r="B78" s="559">
        <v>2500</v>
      </c>
      <c r="C78" s="555"/>
      <c r="D78" s="559">
        <v>2500</v>
      </c>
      <c r="E78" s="555"/>
      <c r="F78" s="559">
        <v>3000</v>
      </c>
      <c r="G78" s="555"/>
      <c r="H78" s="559">
        <v>3000</v>
      </c>
      <c r="I78" s="555"/>
    </row>
    <row r="79" spans="1:9">
      <c r="A79" s="556" t="s">
        <v>33</v>
      </c>
      <c r="B79" s="559">
        <v>12000</v>
      </c>
      <c r="C79" s="555"/>
      <c r="D79" s="559">
        <v>14000</v>
      </c>
      <c r="E79" s="555"/>
      <c r="F79" s="559">
        <v>14000</v>
      </c>
      <c r="G79" s="555"/>
      <c r="H79" s="559">
        <v>17000</v>
      </c>
      <c r="I79" s="555"/>
    </row>
    <row r="80" spans="1:9">
      <c r="A80" s="556" t="s">
        <v>34</v>
      </c>
      <c r="B80" s="559">
        <v>34000</v>
      </c>
      <c r="C80" s="555"/>
      <c r="D80" s="559">
        <v>36000</v>
      </c>
      <c r="E80" s="555"/>
      <c r="F80" s="559">
        <v>36000</v>
      </c>
      <c r="G80" s="555"/>
      <c r="H80" s="559">
        <v>35000</v>
      </c>
      <c r="I80" s="555"/>
    </row>
    <row r="81" spans="1:9">
      <c r="A81" s="556" t="s">
        <v>35</v>
      </c>
      <c r="B81" s="559">
        <v>2500</v>
      </c>
      <c r="C81" s="555"/>
      <c r="D81" s="559">
        <v>2500</v>
      </c>
      <c r="E81" s="555"/>
      <c r="F81" s="559">
        <v>2500</v>
      </c>
      <c r="G81" s="555"/>
      <c r="H81" s="559">
        <v>2500</v>
      </c>
      <c r="I81" s="555"/>
    </row>
    <row r="82" spans="1:9">
      <c r="A82" s="556" t="s">
        <v>36</v>
      </c>
      <c r="B82" s="559">
        <v>19000</v>
      </c>
      <c r="C82" s="555"/>
      <c r="D82" s="559">
        <v>20000</v>
      </c>
      <c r="E82" s="555"/>
      <c r="F82" s="559">
        <v>20000</v>
      </c>
      <c r="G82" s="555"/>
      <c r="H82" s="559">
        <v>21000</v>
      </c>
      <c r="I82" s="555"/>
    </row>
    <row r="83" spans="1:9">
      <c r="A83" s="556" t="s">
        <v>37</v>
      </c>
      <c r="B83" s="559">
        <v>30000</v>
      </c>
      <c r="C83" s="555"/>
      <c r="D83" s="559">
        <v>30000</v>
      </c>
      <c r="E83" s="555"/>
      <c r="F83" s="559">
        <v>30000</v>
      </c>
      <c r="G83" s="555"/>
      <c r="H83" s="559">
        <v>29000</v>
      </c>
      <c r="I83" s="555"/>
    </row>
    <row r="84" spans="1:9">
      <c r="A84" s="556" t="s">
        <v>38</v>
      </c>
      <c r="B84" s="559">
        <v>11000</v>
      </c>
      <c r="C84" s="555"/>
      <c r="D84" s="559">
        <v>11000</v>
      </c>
      <c r="E84" s="555"/>
      <c r="F84" s="559">
        <v>12000</v>
      </c>
      <c r="G84" s="555"/>
      <c r="H84" s="559">
        <v>12000</v>
      </c>
      <c r="I84" s="555"/>
    </row>
    <row r="85" spans="1:9">
      <c r="A85" s="556" t="s">
        <v>39</v>
      </c>
      <c r="B85" s="559">
        <v>3000</v>
      </c>
      <c r="C85" s="555"/>
      <c r="D85" s="559">
        <v>3000</v>
      </c>
      <c r="E85" s="555"/>
      <c r="F85" s="559">
        <v>3000</v>
      </c>
      <c r="G85" s="555"/>
      <c r="H85" s="559">
        <v>3000</v>
      </c>
      <c r="I85" s="555"/>
    </row>
    <row r="86" spans="1:9">
      <c r="A86" s="556" t="s">
        <v>40</v>
      </c>
      <c r="B86" s="559">
        <v>13000</v>
      </c>
      <c r="C86" s="555"/>
      <c r="D86" s="559">
        <v>15000</v>
      </c>
      <c r="E86" s="555"/>
      <c r="F86" s="559">
        <v>14000</v>
      </c>
      <c r="G86" s="555"/>
      <c r="H86" s="559">
        <v>14000</v>
      </c>
      <c r="I86" s="555"/>
    </row>
    <row r="87" spans="1:9">
      <c r="A87" s="556" t="s">
        <v>41</v>
      </c>
      <c r="B87" s="559">
        <v>34000</v>
      </c>
      <c r="C87" s="555"/>
      <c r="D87" s="559">
        <v>36000</v>
      </c>
      <c r="E87" s="555"/>
      <c r="F87" s="559">
        <v>35000</v>
      </c>
      <c r="G87" s="555"/>
      <c r="H87" s="559">
        <v>36000</v>
      </c>
      <c r="I87" s="555"/>
    </row>
    <row r="88" spans="1:9">
      <c r="A88" s="556" t="s">
        <v>42</v>
      </c>
      <c r="B88" s="559">
        <v>15000</v>
      </c>
      <c r="C88" s="555"/>
      <c r="D88" s="559">
        <v>16000</v>
      </c>
      <c r="E88" s="555"/>
      <c r="F88" s="559">
        <v>17000</v>
      </c>
      <c r="G88" s="555"/>
      <c r="H88" s="559">
        <v>16000</v>
      </c>
      <c r="I88" s="555"/>
    </row>
    <row r="89" spans="1:9">
      <c r="A89" s="556" t="s">
        <v>43</v>
      </c>
      <c r="B89" s="559">
        <v>8000</v>
      </c>
      <c r="C89" s="555"/>
      <c r="D89" s="559">
        <v>10000</v>
      </c>
      <c r="E89" s="555"/>
      <c r="F89" s="559">
        <v>9000</v>
      </c>
      <c r="G89" s="555"/>
      <c r="H89" s="559">
        <v>9000</v>
      </c>
      <c r="I89" s="555"/>
    </row>
    <row r="90" spans="1:9">
      <c r="A90" s="556" t="s">
        <v>44</v>
      </c>
      <c r="B90" s="559">
        <v>22000</v>
      </c>
      <c r="C90" s="555"/>
      <c r="D90" s="559">
        <v>24000</v>
      </c>
      <c r="E90" s="555"/>
      <c r="F90" s="559">
        <v>23000</v>
      </c>
      <c r="G90" s="555"/>
      <c r="H90" s="559">
        <v>21000</v>
      </c>
      <c r="I90" s="555"/>
    </row>
    <row r="91" spans="1:9">
      <c r="A91" s="556" t="s">
        <v>279</v>
      </c>
      <c r="B91" s="559">
        <v>9063000</v>
      </c>
      <c r="C91" s="555"/>
      <c r="D91" s="559">
        <v>9312000</v>
      </c>
      <c r="E91" s="555"/>
      <c r="F91" s="559">
        <v>9545000</v>
      </c>
      <c r="G91" s="555"/>
      <c r="H91" s="559">
        <v>9482000</v>
      </c>
      <c r="I91" s="555"/>
    </row>
    <row r="92" spans="1:9">
      <c r="A92" s="556" t="s">
        <v>45</v>
      </c>
      <c r="B92" s="559">
        <v>701000</v>
      </c>
      <c r="C92" s="555"/>
      <c r="D92" s="559">
        <v>746000</v>
      </c>
      <c r="E92" s="555"/>
      <c r="F92" s="559">
        <v>731000</v>
      </c>
      <c r="G92" s="555"/>
      <c r="H92" s="559">
        <v>737000</v>
      </c>
      <c r="I92" s="555"/>
    </row>
    <row r="93" spans="1:9">
      <c r="A93" s="556" t="s">
        <v>47</v>
      </c>
      <c r="B93" s="559">
        <v>252000</v>
      </c>
      <c r="C93" s="555"/>
      <c r="D93" s="559">
        <v>271000</v>
      </c>
      <c r="E93" s="555"/>
      <c r="F93" s="559">
        <v>266000</v>
      </c>
      <c r="G93" s="555"/>
      <c r="H93" s="559">
        <v>263000</v>
      </c>
      <c r="I93" s="555"/>
    </row>
    <row r="95" spans="1:9" ht="15.5">
      <c r="A95" s="554" t="s">
        <v>284</v>
      </c>
    </row>
    <row r="96" spans="1:9">
      <c r="A96" s="555" t="s">
        <v>777</v>
      </c>
    </row>
    <row r="98" spans="1:9">
      <c r="A98" s="556" t="s">
        <v>213</v>
      </c>
      <c r="B98" s="556" t="s">
        <v>778</v>
      </c>
    </row>
    <row r="99" spans="1:9">
      <c r="A99" s="556" t="s">
        <v>281</v>
      </c>
      <c r="B99" s="556" t="s">
        <v>735</v>
      </c>
    </row>
    <row r="100" spans="1:9">
      <c r="A100" s="556" t="s">
        <v>147</v>
      </c>
      <c r="B100" s="556" t="s">
        <v>779</v>
      </c>
    </row>
    <row r="102" spans="1:9">
      <c r="A102" s="557" t="s">
        <v>5</v>
      </c>
      <c r="B102" s="608">
        <v>2020</v>
      </c>
      <c r="C102" s="608" t="s">
        <v>736</v>
      </c>
      <c r="D102" s="608">
        <v>2021</v>
      </c>
      <c r="E102" s="608" t="s">
        <v>736</v>
      </c>
      <c r="F102" s="608">
        <v>2022</v>
      </c>
      <c r="G102" s="608" t="s">
        <v>736</v>
      </c>
      <c r="H102" s="608">
        <v>2023</v>
      </c>
      <c r="I102" s="608" t="s">
        <v>736</v>
      </c>
    </row>
    <row r="103" spans="1:9">
      <c r="B103" s="558" t="s">
        <v>71</v>
      </c>
      <c r="C103" s="558" t="s">
        <v>736</v>
      </c>
      <c r="D103" s="558" t="s">
        <v>71</v>
      </c>
      <c r="E103" s="558" t="s">
        <v>736</v>
      </c>
      <c r="F103" s="558" t="s">
        <v>71</v>
      </c>
      <c r="G103" s="558" t="s">
        <v>736</v>
      </c>
      <c r="H103" s="558" t="s">
        <v>71</v>
      </c>
      <c r="I103" s="558" t="s">
        <v>736</v>
      </c>
    </row>
    <row r="104" spans="1:9">
      <c r="A104" s="556" t="s">
        <v>14</v>
      </c>
      <c r="B104" s="560">
        <v>25.6</v>
      </c>
      <c r="C104" s="555"/>
      <c r="D104" s="560">
        <v>26.6</v>
      </c>
      <c r="E104" s="555"/>
      <c r="F104" s="560">
        <v>25.9</v>
      </c>
      <c r="G104" s="555"/>
      <c r="H104" s="560">
        <v>25.8</v>
      </c>
      <c r="I104" s="555"/>
    </row>
    <row r="105" spans="1:9">
      <c r="A105" s="556" t="s">
        <v>15</v>
      </c>
      <c r="B105" s="560">
        <v>24.8</v>
      </c>
      <c r="C105" s="555"/>
      <c r="D105" s="560">
        <v>26.2</v>
      </c>
      <c r="E105" s="555"/>
      <c r="F105" s="560">
        <v>25.5</v>
      </c>
      <c r="G105" s="555"/>
      <c r="H105" s="560">
        <v>26</v>
      </c>
      <c r="I105" s="555"/>
    </row>
    <row r="106" spans="1:9">
      <c r="A106" s="556" t="s">
        <v>16</v>
      </c>
      <c r="B106" s="560">
        <v>26.5</v>
      </c>
      <c r="C106" s="555"/>
      <c r="D106" s="560">
        <v>25</v>
      </c>
      <c r="E106" s="555"/>
      <c r="F106" s="560">
        <v>27</v>
      </c>
      <c r="G106" s="555"/>
      <c r="H106" s="560">
        <v>27</v>
      </c>
      <c r="I106" s="555"/>
    </row>
    <row r="107" spans="1:9">
      <c r="A107" s="556" t="s">
        <v>17</v>
      </c>
      <c r="B107" s="560">
        <v>32.4</v>
      </c>
      <c r="C107" s="555"/>
      <c r="D107" s="560">
        <v>32.4</v>
      </c>
      <c r="E107" s="555"/>
      <c r="F107" s="560">
        <v>35.1</v>
      </c>
      <c r="G107" s="555"/>
      <c r="H107" s="560">
        <v>33.299999999999997</v>
      </c>
      <c r="I107" s="555"/>
    </row>
    <row r="108" spans="1:9">
      <c r="A108" s="556" t="s">
        <v>189</v>
      </c>
      <c r="B108" s="560">
        <v>29.1</v>
      </c>
      <c r="C108" s="555"/>
      <c r="D108" s="560">
        <v>29.5</v>
      </c>
      <c r="E108" s="555"/>
      <c r="F108" s="560">
        <v>25.9</v>
      </c>
      <c r="G108" s="555"/>
      <c r="H108" s="560">
        <v>25.9</v>
      </c>
      <c r="I108" s="555"/>
    </row>
    <row r="109" spans="1:9">
      <c r="A109" s="556" t="s">
        <v>18</v>
      </c>
      <c r="B109" s="560">
        <v>25</v>
      </c>
      <c r="C109" s="555"/>
      <c r="D109" s="560">
        <v>26.7</v>
      </c>
      <c r="E109" s="555"/>
      <c r="F109" s="560">
        <v>28.6</v>
      </c>
      <c r="G109" s="555"/>
      <c r="H109" s="560">
        <v>28.6</v>
      </c>
      <c r="I109" s="555"/>
    </row>
    <row r="110" spans="1:9">
      <c r="A110" s="556" t="s">
        <v>19</v>
      </c>
      <c r="B110" s="560">
        <v>28.6</v>
      </c>
      <c r="C110" s="555"/>
      <c r="D110" s="560">
        <v>27.6</v>
      </c>
      <c r="E110" s="555"/>
      <c r="F110" s="560">
        <v>28.8</v>
      </c>
      <c r="G110" s="555"/>
      <c r="H110" s="560">
        <v>30</v>
      </c>
      <c r="I110" s="555"/>
    </row>
    <row r="111" spans="1:9">
      <c r="A111" s="556" t="s">
        <v>20</v>
      </c>
      <c r="B111" s="560">
        <v>29.7</v>
      </c>
      <c r="C111" s="555"/>
      <c r="D111" s="560">
        <v>28.9</v>
      </c>
      <c r="E111" s="555"/>
      <c r="F111" s="560">
        <v>28.9</v>
      </c>
      <c r="G111" s="555"/>
      <c r="H111" s="560">
        <v>27.8</v>
      </c>
      <c r="I111" s="555"/>
    </row>
    <row r="112" spans="1:9">
      <c r="A112" s="556" t="s">
        <v>21</v>
      </c>
      <c r="B112" s="560">
        <v>28.2</v>
      </c>
      <c r="C112" s="555"/>
      <c r="D112" s="560">
        <v>29.3</v>
      </c>
      <c r="E112" s="555"/>
      <c r="F112" s="560">
        <v>29.3</v>
      </c>
      <c r="G112" s="555"/>
      <c r="H112" s="560">
        <v>29.3</v>
      </c>
      <c r="I112" s="555"/>
    </row>
    <row r="113" spans="1:9">
      <c r="A113" s="556" t="s">
        <v>22</v>
      </c>
      <c r="B113" s="560">
        <v>29.2</v>
      </c>
      <c r="C113" s="555"/>
      <c r="D113" s="560">
        <v>26.9</v>
      </c>
      <c r="E113" s="555"/>
      <c r="F113" s="560">
        <v>26.9</v>
      </c>
      <c r="G113" s="555"/>
      <c r="H113" s="560">
        <v>26.9</v>
      </c>
      <c r="I113" s="555"/>
    </row>
    <row r="114" spans="1:9">
      <c r="A114" s="556" t="s">
        <v>23</v>
      </c>
      <c r="B114" s="560">
        <v>29</v>
      </c>
      <c r="C114" s="555"/>
      <c r="D114" s="560">
        <v>30.3</v>
      </c>
      <c r="E114" s="555"/>
      <c r="F114" s="560">
        <v>29.4</v>
      </c>
      <c r="G114" s="555"/>
      <c r="H114" s="560">
        <v>27.3</v>
      </c>
      <c r="I114" s="555"/>
    </row>
    <row r="115" spans="1:9">
      <c r="A115" s="556" t="s">
        <v>24</v>
      </c>
      <c r="B115" s="560">
        <v>28.6</v>
      </c>
      <c r="C115" s="555"/>
      <c r="D115" s="560">
        <v>31.8</v>
      </c>
      <c r="E115" s="555"/>
      <c r="F115" s="560">
        <v>33.299999999999997</v>
      </c>
      <c r="G115" s="555"/>
      <c r="H115" s="560">
        <v>33.299999999999997</v>
      </c>
      <c r="I115" s="555"/>
    </row>
    <row r="116" spans="1:9">
      <c r="A116" s="556" t="s">
        <v>25</v>
      </c>
      <c r="B116" s="560">
        <v>25.4</v>
      </c>
      <c r="C116" s="555"/>
      <c r="D116" s="560">
        <v>25.4</v>
      </c>
      <c r="E116" s="555"/>
      <c r="F116" s="560">
        <v>24.2</v>
      </c>
      <c r="G116" s="555"/>
      <c r="H116" s="560">
        <v>27.8</v>
      </c>
      <c r="I116" s="555"/>
    </row>
    <row r="117" spans="1:9">
      <c r="A117" s="556" t="s">
        <v>26</v>
      </c>
      <c r="B117" s="560">
        <v>26.6</v>
      </c>
      <c r="C117" s="555"/>
      <c r="D117" s="560">
        <v>27</v>
      </c>
      <c r="E117" s="555"/>
      <c r="F117" s="560">
        <v>27.4</v>
      </c>
      <c r="G117" s="555"/>
      <c r="H117" s="560">
        <v>26.9</v>
      </c>
      <c r="I117" s="555"/>
    </row>
    <row r="118" spans="1:9">
      <c r="A118" s="556" t="s">
        <v>27</v>
      </c>
      <c r="B118" s="560">
        <v>31</v>
      </c>
      <c r="C118" s="555"/>
      <c r="D118" s="560">
        <v>32.4</v>
      </c>
      <c r="E118" s="555"/>
      <c r="F118" s="560">
        <v>31</v>
      </c>
      <c r="G118" s="555"/>
      <c r="H118" s="560">
        <v>29.9</v>
      </c>
      <c r="I118" s="555"/>
    </row>
    <row r="119" spans="1:9">
      <c r="A119" s="556" t="s">
        <v>28</v>
      </c>
      <c r="B119" s="560">
        <v>30.8</v>
      </c>
      <c r="C119" s="555"/>
      <c r="D119" s="560">
        <v>31.2</v>
      </c>
      <c r="E119" s="555"/>
      <c r="F119" s="560">
        <v>32.5</v>
      </c>
      <c r="G119" s="555"/>
      <c r="H119" s="560">
        <v>31.6</v>
      </c>
      <c r="I119" s="555"/>
    </row>
    <row r="120" spans="1:9">
      <c r="A120" s="556" t="s">
        <v>29</v>
      </c>
      <c r="B120" s="560">
        <v>26.9</v>
      </c>
      <c r="C120" s="555"/>
      <c r="D120" s="560">
        <v>30.8</v>
      </c>
      <c r="E120" s="555"/>
      <c r="F120" s="560">
        <v>28</v>
      </c>
      <c r="G120" s="555"/>
      <c r="H120" s="560">
        <v>29.2</v>
      </c>
      <c r="I120" s="555"/>
    </row>
    <row r="121" spans="1:9">
      <c r="A121" s="556" t="s">
        <v>30</v>
      </c>
      <c r="B121" s="560">
        <v>29</v>
      </c>
      <c r="C121" s="555"/>
      <c r="D121" s="560">
        <v>30.3</v>
      </c>
      <c r="E121" s="555"/>
      <c r="F121" s="560">
        <v>30.3</v>
      </c>
      <c r="G121" s="555"/>
      <c r="H121" s="560">
        <v>30.3</v>
      </c>
      <c r="I121" s="555"/>
    </row>
    <row r="122" spans="1:9">
      <c r="A122" s="556" t="s">
        <v>31</v>
      </c>
      <c r="B122" s="560">
        <v>25.7</v>
      </c>
      <c r="C122" s="555"/>
      <c r="D122" s="560">
        <v>27.8</v>
      </c>
      <c r="E122" s="555"/>
      <c r="F122" s="560">
        <v>27</v>
      </c>
      <c r="G122" s="555"/>
      <c r="H122" s="560">
        <v>24.3</v>
      </c>
      <c r="I122" s="555"/>
    </row>
    <row r="123" spans="1:9">
      <c r="A123" s="556" t="s">
        <v>32</v>
      </c>
      <c r="B123" s="560">
        <v>22.7</v>
      </c>
      <c r="C123" s="555"/>
      <c r="D123" s="560">
        <v>20.8</v>
      </c>
      <c r="E123" s="555"/>
      <c r="F123" s="560">
        <v>25</v>
      </c>
      <c r="G123" s="555"/>
      <c r="H123" s="560">
        <v>25</v>
      </c>
      <c r="I123" s="555"/>
    </row>
    <row r="124" spans="1:9">
      <c r="A124" s="556" t="s">
        <v>33</v>
      </c>
      <c r="B124" s="560">
        <v>30.8</v>
      </c>
      <c r="C124" s="555"/>
      <c r="D124" s="560">
        <v>34.1</v>
      </c>
      <c r="E124" s="555"/>
      <c r="F124" s="560">
        <v>33.299999999999997</v>
      </c>
      <c r="G124" s="555"/>
      <c r="H124" s="560">
        <v>38.6</v>
      </c>
      <c r="I124" s="555"/>
    </row>
    <row r="125" spans="1:9">
      <c r="A125" s="556" t="s">
        <v>34</v>
      </c>
      <c r="B125" s="560">
        <v>25.4</v>
      </c>
      <c r="C125" s="555"/>
      <c r="D125" s="560">
        <v>26.9</v>
      </c>
      <c r="E125" s="555"/>
      <c r="F125" s="560">
        <v>27.7</v>
      </c>
      <c r="G125" s="555"/>
      <c r="H125" s="560">
        <v>26.7</v>
      </c>
      <c r="I125" s="555"/>
    </row>
    <row r="126" spans="1:9">
      <c r="A126" s="556" t="s">
        <v>35</v>
      </c>
      <c r="B126" s="560">
        <v>22.7</v>
      </c>
      <c r="C126" s="555"/>
      <c r="D126" s="560">
        <v>20.8</v>
      </c>
      <c r="E126" s="555"/>
      <c r="F126" s="560">
        <v>22.7</v>
      </c>
      <c r="G126" s="555"/>
      <c r="H126" s="560">
        <v>20.8</v>
      </c>
      <c r="I126" s="555"/>
    </row>
    <row r="127" spans="1:9">
      <c r="A127" s="556" t="s">
        <v>36</v>
      </c>
      <c r="B127" s="560">
        <v>31.1</v>
      </c>
      <c r="C127" s="555"/>
      <c r="D127" s="560">
        <v>31.2</v>
      </c>
      <c r="E127" s="555"/>
      <c r="F127" s="560">
        <v>31.2</v>
      </c>
      <c r="G127" s="555"/>
      <c r="H127" s="560">
        <v>31.8</v>
      </c>
      <c r="I127" s="555"/>
    </row>
    <row r="128" spans="1:9">
      <c r="A128" s="556" t="s">
        <v>37</v>
      </c>
      <c r="B128" s="560">
        <v>35.700000000000003</v>
      </c>
      <c r="C128" s="555"/>
      <c r="D128" s="560">
        <v>36.1</v>
      </c>
      <c r="E128" s="555"/>
      <c r="F128" s="560">
        <v>35.700000000000003</v>
      </c>
      <c r="G128" s="555"/>
      <c r="H128" s="560">
        <v>34.5</v>
      </c>
      <c r="I128" s="555"/>
    </row>
    <row r="129" spans="1:9">
      <c r="A129" s="556" t="s">
        <v>38</v>
      </c>
      <c r="B129" s="560">
        <v>26.2</v>
      </c>
      <c r="C129" s="555"/>
      <c r="D129" s="560">
        <v>26.2</v>
      </c>
      <c r="E129" s="555"/>
      <c r="F129" s="560">
        <v>27.9</v>
      </c>
      <c r="G129" s="555"/>
      <c r="H129" s="560">
        <v>27.3</v>
      </c>
      <c r="I129" s="555"/>
    </row>
    <row r="130" spans="1:9">
      <c r="A130" s="556" t="s">
        <v>39</v>
      </c>
      <c r="B130" s="560">
        <v>21.4</v>
      </c>
      <c r="C130" s="555"/>
      <c r="D130" s="560">
        <v>20</v>
      </c>
      <c r="E130" s="555"/>
      <c r="F130" s="560">
        <v>21.4</v>
      </c>
      <c r="G130" s="555"/>
      <c r="H130" s="560">
        <v>21.4</v>
      </c>
      <c r="I130" s="555"/>
    </row>
    <row r="131" spans="1:9">
      <c r="A131" s="556" t="s">
        <v>40</v>
      </c>
      <c r="B131" s="560">
        <v>29.5</v>
      </c>
      <c r="C131" s="555"/>
      <c r="D131" s="560">
        <v>32.6</v>
      </c>
      <c r="E131" s="555"/>
      <c r="F131" s="560">
        <v>30.4</v>
      </c>
      <c r="G131" s="555"/>
      <c r="H131" s="560">
        <v>30.4</v>
      </c>
      <c r="I131" s="555"/>
    </row>
    <row r="132" spans="1:9">
      <c r="A132" s="556" t="s">
        <v>41</v>
      </c>
      <c r="B132" s="560">
        <v>29.1</v>
      </c>
      <c r="C132" s="555"/>
      <c r="D132" s="560">
        <v>30.3</v>
      </c>
      <c r="E132" s="555"/>
      <c r="F132" s="560">
        <v>30.2</v>
      </c>
      <c r="G132" s="555"/>
      <c r="H132" s="560">
        <v>30.5</v>
      </c>
      <c r="I132" s="555"/>
    </row>
    <row r="133" spans="1:9">
      <c r="A133" s="556" t="s">
        <v>42</v>
      </c>
      <c r="B133" s="560">
        <v>32.6</v>
      </c>
      <c r="C133" s="555"/>
      <c r="D133" s="560">
        <v>34.799999999999997</v>
      </c>
      <c r="E133" s="555"/>
      <c r="F133" s="560">
        <v>36.200000000000003</v>
      </c>
      <c r="G133" s="555"/>
      <c r="H133" s="560">
        <v>34</v>
      </c>
      <c r="I133" s="555"/>
    </row>
    <row r="134" spans="1:9">
      <c r="A134" s="556" t="s">
        <v>43</v>
      </c>
      <c r="B134" s="560">
        <v>25</v>
      </c>
      <c r="C134" s="555"/>
      <c r="D134" s="560">
        <v>30.3</v>
      </c>
      <c r="E134" s="555"/>
      <c r="F134" s="560">
        <v>28.1</v>
      </c>
      <c r="G134" s="555"/>
      <c r="H134" s="560">
        <v>27.3</v>
      </c>
      <c r="I134" s="555"/>
    </row>
    <row r="135" spans="1:9">
      <c r="A135" s="556" t="s">
        <v>44</v>
      </c>
      <c r="B135" s="560">
        <v>29.3</v>
      </c>
      <c r="C135" s="555"/>
      <c r="D135" s="560">
        <v>31.2</v>
      </c>
      <c r="E135" s="555"/>
      <c r="F135" s="560">
        <v>30.3</v>
      </c>
      <c r="G135" s="555"/>
      <c r="H135" s="560">
        <v>27.6</v>
      </c>
      <c r="I135" s="555"/>
    </row>
    <row r="136" spans="1:9">
      <c r="A136" s="556" t="s">
        <v>279</v>
      </c>
      <c r="B136" s="560">
        <v>30.7</v>
      </c>
      <c r="C136" s="555"/>
      <c r="D136" s="560">
        <v>30.7</v>
      </c>
      <c r="E136" s="555"/>
      <c r="F136" s="560">
        <v>30.9</v>
      </c>
      <c r="G136" s="555"/>
      <c r="H136" s="560">
        <v>30.2</v>
      </c>
      <c r="I136" s="555"/>
    </row>
    <row r="137" spans="1:9">
      <c r="A137" s="556" t="s">
        <v>45</v>
      </c>
      <c r="B137" s="560">
        <v>28.7</v>
      </c>
      <c r="C137" s="555"/>
      <c r="D137" s="560">
        <v>29.6</v>
      </c>
      <c r="E137" s="555"/>
      <c r="F137" s="560">
        <v>29</v>
      </c>
      <c r="G137" s="555"/>
      <c r="H137" s="560">
        <v>28.8</v>
      </c>
      <c r="I137" s="555"/>
    </row>
    <row r="138" spans="1:9">
      <c r="A138" s="556" t="s">
        <v>47</v>
      </c>
      <c r="B138" s="560">
        <v>29.8</v>
      </c>
      <c r="C138" s="555"/>
      <c r="D138" s="560">
        <v>31.3</v>
      </c>
      <c r="E138" s="555"/>
      <c r="F138" s="560">
        <v>30.5</v>
      </c>
      <c r="G138" s="555"/>
      <c r="H138" s="560">
        <v>30</v>
      </c>
      <c r="I138" s="555"/>
    </row>
  </sheetData>
  <mergeCells count="8">
    <mergeCell ref="B57:C57"/>
    <mergeCell ref="D57:E57"/>
    <mergeCell ref="F57:G57"/>
    <mergeCell ref="H57:I57"/>
    <mergeCell ref="B102:C102"/>
    <mergeCell ref="D102:E102"/>
    <mergeCell ref="F102:G102"/>
    <mergeCell ref="H102:I102"/>
  </mergeCells>
  <conditionalFormatting sqref="A1:XFD1048576">
    <cfRule type="expression" dxfId="46"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autoPageBreaks="0"/>
  </sheetPr>
  <dimension ref="A1:S148"/>
  <sheetViews>
    <sheetView topLeftCell="A14" zoomScale="90" zoomScaleNormal="90" workbookViewId="0">
      <selection activeCell="N19" sqref="N19"/>
    </sheetView>
  </sheetViews>
  <sheetFormatPr defaultColWidth="8.7265625" defaultRowHeight="14.5"/>
  <cols>
    <col min="1" max="1" width="25" style="196" customWidth="1" collapsed="1"/>
    <col min="2" max="17" width="14" style="196" customWidth="1" collapsed="1"/>
    <col min="18" max="16384" width="8.7265625" style="196"/>
  </cols>
  <sheetData>
    <row r="1" spans="1:17" ht="15.5">
      <c r="A1" s="195" t="s">
        <v>0</v>
      </c>
    </row>
    <row r="2" spans="1:17">
      <c r="A2" s="197" t="s">
        <v>170</v>
      </c>
    </row>
    <row r="4" spans="1:17">
      <c r="A4" s="198" t="s">
        <v>1</v>
      </c>
      <c r="B4" s="198" t="s">
        <v>2</v>
      </c>
    </row>
    <row r="5" spans="1:17">
      <c r="A5" s="198" t="s">
        <v>3</v>
      </c>
      <c r="B5" s="198" t="s">
        <v>172</v>
      </c>
    </row>
    <row r="7" spans="1:17" ht="22" customHeight="1">
      <c r="A7" s="12" t="s">
        <v>5</v>
      </c>
      <c r="B7" s="607" t="s">
        <v>525</v>
      </c>
      <c r="C7" s="604"/>
      <c r="D7" s="604"/>
      <c r="E7" s="604"/>
      <c r="F7" s="607" t="s">
        <v>598</v>
      </c>
      <c r="G7" s="604"/>
      <c r="H7" s="604"/>
      <c r="I7" s="604"/>
      <c r="J7" s="607" t="s">
        <v>705</v>
      </c>
      <c r="K7" s="604"/>
      <c r="L7" s="604"/>
      <c r="M7" s="604"/>
      <c r="N7" s="607" t="s">
        <v>754</v>
      </c>
      <c r="O7" s="604"/>
      <c r="P7" s="604"/>
      <c r="Q7" s="604"/>
    </row>
    <row r="8" spans="1:17" ht="26.15" customHeight="1">
      <c r="B8" s="246" t="s">
        <v>6</v>
      </c>
      <c r="C8" s="246" t="s">
        <v>7</v>
      </c>
      <c r="D8" s="246" t="s">
        <v>8</v>
      </c>
      <c r="E8" s="246" t="s">
        <v>9</v>
      </c>
      <c r="F8" s="246" t="s">
        <v>6</v>
      </c>
      <c r="G8" s="246" t="s">
        <v>7</v>
      </c>
      <c r="H8" s="246" t="s">
        <v>8</v>
      </c>
      <c r="I8" s="246" t="s">
        <v>9</v>
      </c>
      <c r="J8" s="246" t="s">
        <v>6</v>
      </c>
      <c r="K8" s="246" t="s">
        <v>7</v>
      </c>
      <c r="L8" s="246" t="s">
        <v>8</v>
      </c>
      <c r="M8" s="246" t="s">
        <v>9</v>
      </c>
      <c r="N8" s="246" t="s">
        <v>6</v>
      </c>
      <c r="O8" s="246" t="s">
        <v>7</v>
      </c>
      <c r="P8" s="246" t="s">
        <v>8</v>
      </c>
      <c r="Q8" s="246" t="s">
        <v>9</v>
      </c>
    </row>
    <row r="9" spans="1:17">
      <c r="A9" s="198" t="s">
        <v>14</v>
      </c>
      <c r="B9" s="200"/>
      <c r="C9" s="200"/>
      <c r="D9" s="384">
        <f t="shared" ref="D9:D40" si="0">D60-D110</f>
        <v>-2.2000000000000028</v>
      </c>
      <c r="E9" s="241"/>
      <c r="F9" s="200"/>
      <c r="G9" s="200"/>
      <c r="H9" s="384">
        <f t="shared" ref="H9:H40" si="1">H60-H110</f>
        <v>1.6000000000000085</v>
      </c>
      <c r="I9" s="241"/>
      <c r="J9" s="200"/>
      <c r="K9" s="200"/>
      <c r="L9" s="384">
        <f t="shared" ref="L9:L40" si="2">L60-L110</f>
        <v>1.4000000000000057</v>
      </c>
      <c r="M9" s="241"/>
      <c r="N9" s="200"/>
      <c r="O9" s="200"/>
      <c r="P9" s="384">
        <f t="shared" ref="P9:P40" si="3">P60-P110</f>
        <v>4</v>
      </c>
      <c r="Q9" s="241"/>
    </row>
    <row r="10" spans="1:17">
      <c r="A10" s="198" t="s">
        <v>15</v>
      </c>
      <c r="B10" s="200"/>
      <c r="C10" s="200"/>
      <c r="D10" s="384">
        <f t="shared" si="0"/>
        <v>7.1000000000000085</v>
      </c>
      <c r="E10" s="241"/>
      <c r="F10" s="200"/>
      <c r="G10" s="200"/>
      <c r="H10" s="384">
        <f t="shared" si="1"/>
        <v>10.299999999999997</v>
      </c>
      <c r="I10" s="241"/>
      <c r="J10" s="200"/>
      <c r="K10" s="200"/>
      <c r="L10" s="384">
        <f t="shared" si="2"/>
        <v>7.6999999999999886</v>
      </c>
      <c r="M10" s="241"/>
      <c r="N10" s="200"/>
      <c r="O10" s="200"/>
      <c r="P10" s="384">
        <f t="shared" si="3"/>
        <v>0.79999999999999716</v>
      </c>
      <c r="Q10" s="241"/>
    </row>
    <row r="11" spans="1:17">
      <c r="A11" s="198" t="s">
        <v>16</v>
      </c>
      <c r="B11" s="200"/>
      <c r="C11" s="200"/>
      <c r="D11" s="384">
        <f t="shared" si="0"/>
        <v>8.1000000000000085</v>
      </c>
      <c r="E11" s="241"/>
      <c r="F11" s="200"/>
      <c r="G11" s="200"/>
      <c r="H11" s="384">
        <f t="shared" si="1"/>
        <v>8.0999999999999943</v>
      </c>
      <c r="I11" s="241"/>
      <c r="J11" s="200"/>
      <c r="K11" s="200"/>
      <c r="L11" s="384">
        <f t="shared" si="2"/>
        <v>5.6999999999999886</v>
      </c>
      <c r="M11" s="241"/>
      <c r="N11" s="200"/>
      <c r="O11" s="200"/>
      <c r="P11" s="384">
        <f t="shared" si="3"/>
        <v>1.5</v>
      </c>
      <c r="Q11" s="241"/>
    </row>
    <row r="12" spans="1:17">
      <c r="A12" s="198" t="s">
        <v>17</v>
      </c>
      <c r="B12" s="200"/>
      <c r="C12" s="200"/>
      <c r="D12" s="384">
        <f t="shared" si="0"/>
        <v>5.2000000000000028</v>
      </c>
      <c r="E12" s="241"/>
      <c r="F12" s="200"/>
      <c r="G12" s="200"/>
      <c r="H12" s="384">
        <f t="shared" si="1"/>
        <v>3.9000000000000057</v>
      </c>
      <c r="I12" s="241"/>
      <c r="J12" s="200"/>
      <c r="K12" s="200"/>
      <c r="L12" s="384">
        <f t="shared" si="2"/>
        <v>-4.9000000000000057</v>
      </c>
      <c r="M12" s="241"/>
      <c r="N12" s="200"/>
      <c r="O12" s="200"/>
      <c r="P12" s="384">
        <f t="shared" si="3"/>
        <v>-1.4000000000000057</v>
      </c>
      <c r="Q12" s="241"/>
    </row>
    <row r="13" spans="1:17">
      <c r="A13" s="198" t="s">
        <v>189</v>
      </c>
      <c r="B13" s="200"/>
      <c r="C13" s="200"/>
      <c r="D13" s="384">
        <f t="shared" si="0"/>
        <v>1.5</v>
      </c>
      <c r="E13" s="241"/>
      <c r="F13" s="200"/>
      <c r="G13" s="200"/>
      <c r="H13" s="384">
        <f t="shared" si="1"/>
        <v>4.9000000000000057</v>
      </c>
      <c r="I13" s="241"/>
      <c r="J13" s="200"/>
      <c r="K13" s="200"/>
      <c r="L13" s="384">
        <f t="shared" si="2"/>
        <v>-2.4000000000000057</v>
      </c>
      <c r="M13" s="241"/>
      <c r="N13" s="200"/>
      <c r="O13" s="200"/>
      <c r="P13" s="384">
        <f t="shared" si="3"/>
        <v>3.2000000000000028</v>
      </c>
      <c r="Q13" s="241"/>
    </row>
    <row r="14" spans="1:17">
      <c r="A14" s="198" t="s">
        <v>18</v>
      </c>
      <c r="B14" s="200"/>
      <c r="C14" s="200"/>
      <c r="D14" s="384">
        <f t="shared" si="0"/>
        <v>-0.79999999999999716</v>
      </c>
      <c r="E14" s="241"/>
      <c r="F14" s="200"/>
      <c r="G14" s="200"/>
      <c r="H14" s="384">
        <f t="shared" si="1"/>
        <v>-6.7000000000000028</v>
      </c>
      <c r="I14" s="241"/>
      <c r="J14" s="200"/>
      <c r="K14" s="200"/>
      <c r="L14" s="384">
        <f t="shared" si="2"/>
        <v>3.0999999999999943</v>
      </c>
      <c r="M14" s="241"/>
      <c r="N14" s="200"/>
      <c r="O14" s="200"/>
      <c r="P14" s="384">
        <f t="shared" si="3"/>
        <v>-3.7000000000000028</v>
      </c>
      <c r="Q14" s="241"/>
    </row>
    <row r="15" spans="1:17">
      <c r="A15" s="198" t="s">
        <v>19</v>
      </c>
      <c r="B15" s="200"/>
      <c r="C15" s="200"/>
      <c r="D15" s="384">
        <f t="shared" si="0"/>
        <v>8.2000000000000028</v>
      </c>
      <c r="E15" s="241"/>
      <c r="F15" s="200"/>
      <c r="G15" s="200"/>
      <c r="H15" s="384">
        <f t="shared" si="1"/>
        <v>3.0999999999999943</v>
      </c>
      <c r="I15" s="241"/>
      <c r="J15" s="200"/>
      <c r="K15" s="200"/>
      <c r="L15" s="384">
        <f t="shared" si="2"/>
        <v>5.1000000000000085</v>
      </c>
      <c r="M15" s="241"/>
      <c r="N15" s="200"/>
      <c r="O15" s="200"/>
      <c r="P15" s="384">
        <f t="shared" si="3"/>
        <v>-5.1000000000000085</v>
      </c>
      <c r="Q15" s="241"/>
    </row>
    <row r="16" spans="1:17">
      <c r="A16" s="198" t="s">
        <v>20</v>
      </c>
      <c r="B16" s="200"/>
      <c r="C16" s="200"/>
      <c r="D16" s="384">
        <f t="shared" si="0"/>
        <v>4.6000000000000085</v>
      </c>
      <c r="E16" s="241"/>
      <c r="F16" s="200"/>
      <c r="G16" s="200"/>
      <c r="H16" s="384">
        <f t="shared" si="1"/>
        <v>3.7000000000000028</v>
      </c>
      <c r="I16" s="241"/>
      <c r="J16" s="200"/>
      <c r="K16" s="200"/>
      <c r="L16" s="384">
        <f t="shared" si="2"/>
        <v>-2</v>
      </c>
      <c r="M16" s="241"/>
      <c r="N16" s="200"/>
      <c r="O16" s="200"/>
      <c r="P16" s="384">
        <f t="shared" si="3"/>
        <v>4.2000000000000028</v>
      </c>
      <c r="Q16" s="241"/>
    </row>
    <row r="17" spans="1:17">
      <c r="A17" s="198" t="s">
        <v>21</v>
      </c>
      <c r="B17" s="200"/>
      <c r="C17" s="200"/>
      <c r="D17" s="384">
        <f t="shared" si="0"/>
        <v>2.7000000000000028</v>
      </c>
      <c r="E17" s="241"/>
      <c r="F17" s="200"/>
      <c r="G17" s="200"/>
      <c r="H17" s="384">
        <f t="shared" si="1"/>
        <v>0.59999999999999432</v>
      </c>
      <c r="I17" s="241"/>
      <c r="J17" s="200"/>
      <c r="K17" s="200"/>
      <c r="L17" s="384">
        <f t="shared" si="2"/>
        <v>4.5</v>
      </c>
      <c r="M17" s="241"/>
      <c r="N17" s="200"/>
      <c r="O17" s="200"/>
      <c r="P17" s="384">
        <f t="shared" si="3"/>
        <v>6.4000000000000057</v>
      </c>
      <c r="Q17" s="241"/>
    </row>
    <row r="18" spans="1:17">
      <c r="A18" s="198" t="s">
        <v>22</v>
      </c>
      <c r="B18" s="200"/>
      <c r="C18" s="200"/>
      <c r="D18" s="384">
        <f t="shared" si="0"/>
        <v>2.7999999999999972</v>
      </c>
      <c r="E18" s="241"/>
      <c r="F18" s="200"/>
      <c r="G18" s="200"/>
      <c r="H18" s="384">
        <f t="shared" si="1"/>
        <v>6.4000000000000057</v>
      </c>
      <c r="I18" s="241"/>
      <c r="J18" s="200"/>
      <c r="K18" s="200"/>
      <c r="L18" s="384">
        <f t="shared" si="2"/>
        <v>6.9000000000000057</v>
      </c>
      <c r="M18" s="241"/>
      <c r="N18" s="200"/>
      <c r="O18" s="200"/>
      <c r="P18" s="384">
        <f t="shared" si="3"/>
        <v>1.2999999999999972</v>
      </c>
      <c r="Q18" s="241"/>
    </row>
    <row r="19" spans="1:17">
      <c r="A19" s="198" t="s">
        <v>23</v>
      </c>
      <c r="B19" s="200"/>
      <c r="C19" s="200"/>
      <c r="D19" s="384">
        <f t="shared" si="0"/>
        <v>11.5</v>
      </c>
      <c r="E19" s="241"/>
      <c r="F19" s="200"/>
      <c r="G19" s="200"/>
      <c r="H19" s="384">
        <f t="shared" si="1"/>
        <v>-0.5</v>
      </c>
      <c r="I19" s="241"/>
      <c r="J19" s="200"/>
      <c r="K19" s="200"/>
      <c r="L19" s="384">
        <f t="shared" si="2"/>
        <v>-3.1999999999999886</v>
      </c>
      <c r="M19" s="241"/>
      <c r="N19" s="200"/>
      <c r="O19" s="200"/>
      <c r="P19" s="384">
        <f t="shared" si="3"/>
        <v>-1.8000000000000114</v>
      </c>
      <c r="Q19" s="241"/>
    </row>
    <row r="20" spans="1:17">
      <c r="A20" s="198" t="s">
        <v>24</v>
      </c>
      <c r="B20" s="200"/>
      <c r="C20" s="200"/>
      <c r="D20" s="384">
        <f t="shared" si="0"/>
        <v>3</v>
      </c>
      <c r="E20" s="241"/>
      <c r="F20" s="200"/>
      <c r="G20" s="200"/>
      <c r="H20" s="384">
        <f t="shared" si="1"/>
        <v>6.2999999999999972</v>
      </c>
      <c r="I20" s="241"/>
      <c r="J20" s="200"/>
      <c r="K20" s="200"/>
      <c r="L20" s="384">
        <f t="shared" si="2"/>
        <v>-4.3000000000000114</v>
      </c>
      <c r="M20" s="241"/>
      <c r="N20" s="200"/>
      <c r="O20" s="200"/>
      <c r="P20" s="384">
        <f t="shared" si="3"/>
        <v>-5.5</v>
      </c>
      <c r="Q20" s="241"/>
    </row>
    <row r="21" spans="1:17">
      <c r="A21" s="198" t="s">
        <v>25</v>
      </c>
      <c r="B21" s="200"/>
      <c r="C21" s="200"/>
      <c r="D21" s="384">
        <f t="shared" si="0"/>
        <v>1.3999999999999915</v>
      </c>
      <c r="E21" s="241"/>
      <c r="F21" s="200"/>
      <c r="G21" s="200"/>
      <c r="H21" s="384">
        <f t="shared" si="1"/>
        <v>10.5</v>
      </c>
      <c r="I21" s="241"/>
      <c r="J21" s="200"/>
      <c r="K21" s="200"/>
      <c r="L21" s="384">
        <f t="shared" si="2"/>
        <v>12</v>
      </c>
      <c r="M21" s="241"/>
      <c r="N21" s="200"/>
      <c r="O21" s="200"/>
      <c r="P21" s="384">
        <f t="shared" si="3"/>
        <v>9.1000000000000085</v>
      </c>
      <c r="Q21" s="241"/>
    </row>
    <row r="22" spans="1:17">
      <c r="A22" s="198" t="s">
        <v>26</v>
      </c>
      <c r="B22" s="200"/>
      <c r="C22" s="200"/>
      <c r="D22" s="384">
        <f t="shared" si="0"/>
        <v>3.5999999999999943</v>
      </c>
      <c r="E22" s="241"/>
      <c r="F22" s="200"/>
      <c r="G22" s="200"/>
      <c r="H22" s="384">
        <f t="shared" si="1"/>
        <v>1.3999999999999915</v>
      </c>
      <c r="I22" s="241"/>
      <c r="J22" s="200"/>
      <c r="K22" s="200"/>
      <c r="L22" s="384">
        <f t="shared" si="2"/>
        <v>6</v>
      </c>
      <c r="M22" s="241"/>
      <c r="N22" s="200"/>
      <c r="O22" s="200"/>
      <c r="P22" s="384">
        <f t="shared" si="3"/>
        <v>4.7999999999999972</v>
      </c>
      <c r="Q22" s="241"/>
    </row>
    <row r="23" spans="1:17">
      <c r="A23" s="198" t="s">
        <v>27</v>
      </c>
      <c r="B23" s="200"/>
      <c r="C23" s="200"/>
      <c r="D23" s="384">
        <f t="shared" si="0"/>
        <v>9.0999999999999943</v>
      </c>
      <c r="E23" s="241"/>
      <c r="F23" s="200"/>
      <c r="G23" s="200"/>
      <c r="H23" s="384">
        <f t="shared" si="1"/>
        <v>14.499999999999993</v>
      </c>
      <c r="I23" s="241"/>
      <c r="J23" s="200"/>
      <c r="K23" s="200"/>
      <c r="L23" s="384">
        <f t="shared" si="2"/>
        <v>6.7999999999999972</v>
      </c>
      <c r="M23" s="241"/>
      <c r="N23" s="200"/>
      <c r="O23" s="200"/>
      <c r="P23" s="384">
        <f t="shared" si="3"/>
        <v>1.7999999999999972</v>
      </c>
      <c r="Q23" s="241"/>
    </row>
    <row r="24" spans="1:17">
      <c r="A24" s="198" t="s">
        <v>28</v>
      </c>
      <c r="B24" s="200"/>
      <c r="C24" s="200"/>
      <c r="D24" s="384">
        <f t="shared" si="0"/>
        <v>4.7000000000000028</v>
      </c>
      <c r="E24" s="241"/>
      <c r="F24" s="200"/>
      <c r="G24" s="200"/>
      <c r="H24" s="384">
        <f t="shared" si="1"/>
        <v>5.7999999999999972</v>
      </c>
      <c r="I24" s="241"/>
      <c r="J24" s="200"/>
      <c r="K24" s="200"/>
      <c r="L24" s="384">
        <f t="shared" si="2"/>
        <v>6.1999999999999886</v>
      </c>
      <c r="M24" s="241"/>
      <c r="N24" s="200"/>
      <c r="O24" s="200"/>
      <c r="P24" s="384">
        <f t="shared" si="3"/>
        <v>-0.19999999999998863</v>
      </c>
      <c r="Q24" s="241"/>
    </row>
    <row r="25" spans="1:17">
      <c r="A25" s="198" t="s">
        <v>29</v>
      </c>
      <c r="B25" s="200"/>
      <c r="C25" s="200"/>
      <c r="D25" s="384">
        <f t="shared" si="0"/>
        <v>1.5999999999999943</v>
      </c>
      <c r="E25" s="241"/>
      <c r="F25" s="200"/>
      <c r="G25" s="200"/>
      <c r="H25" s="384">
        <f t="shared" si="1"/>
        <v>-7.8999999999999915</v>
      </c>
      <c r="I25" s="241"/>
      <c r="J25" s="200"/>
      <c r="K25" s="200"/>
      <c r="L25" s="384">
        <f t="shared" si="2"/>
        <v>-3.1000000000000085</v>
      </c>
      <c r="M25" s="241"/>
      <c r="N25" s="200"/>
      <c r="O25" s="200"/>
      <c r="P25" s="384">
        <f t="shared" si="3"/>
        <v>-2.8999999999999915</v>
      </c>
      <c r="Q25" s="241"/>
    </row>
    <row r="26" spans="1:17">
      <c r="A26" s="198" t="s">
        <v>30</v>
      </c>
      <c r="B26" s="200"/>
      <c r="C26" s="200"/>
      <c r="D26" s="384">
        <f t="shared" si="0"/>
        <v>3.6999999999999886</v>
      </c>
      <c r="E26" s="241"/>
      <c r="F26" s="200"/>
      <c r="G26" s="200"/>
      <c r="H26" s="384">
        <f t="shared" si="1"/>
        <v>4.1000000000000085</v>
      </c>
      <c r="I26" s="241"/>
      <c r="J26" s="200"/>
      <c r="K26" s="200"/>
      <c r="L26" s="384">
        <f t="shared" si="2"/>
        <v>0.5</v>
      </c>
      <c r="M26" s="241"/>
      <c r="N26" s="200"/>
      <c r="O26" s="200"/>
      <c r="P26" s="384">
        <f t="shared" si="3"/>
        <v>14.900000000000006</v>
      </c>
      <c r="Q26" s="241"/>
    </row>
    <row r="27" spans="1:17">
      <c r="A27" s="198" t="s">
        <v>31</v>
      </c>
      <c r="B27" s="200"/>
      <c r="C27" s="200"/>
      <c r="D27" s="384">
        <f t="shared" si="0"/>
        <v>8.6000000000000085</v>
      </c>
      <c r="E27" s="241"/>
      <c r="F27" s="200"/>
      <c r="G27" s="200"/>
      <c r="H27" s="384">
        <f t="shared" si="1"/>
        <v>7.9000000000000057</v>
      </c>
      <c r="I27" s="241"/>
      <c r="J27" s="200"/>
      <c r="K27" s="200"/>
      <c r="L27" s="384">
        <f t="shared" si="2"/>
        <v>13.700000000000003</v>
      </c>
      <c r="M27" s="241"/>
      <c r="N27" s="200"/>
      <c r="O27" s="200"/>
      <c r="P27" s="384">
        <f t="shared" si="3"/>
        <v>13</v>
      </c>
      <c r="Q27" s="241"/>
    </row>
    <row r="28" spans="1:17">
      <c r="A28" s="198" t="s">
        <v>32</v>
      </c>
      <c r="B28" s="200"/>
      <c r="C28" s="200"/>
      <c r="D28" s="384">
        <f t="shared" si="0"/>
        <v>-1.5999999999999943</v>
      </c>
      <c r="E28" s="241"/>
      <c r="F28" s="200"/>
      <c r="G28" s="200"/>
      <c r="H28" s="384">
        <f t="shared" si="1"/>
        <v>-2.6000000000000085</v>
      </c>
      <c r="I28" s="241"/>
      <c r="J28" s="200"/>
      <c r="K28" s="200"/>
      <c r="L28" s="384">
        <f t="shared" si="2"/>
        <v>2</v>
      </c>
      <c r="M28" s="241"/>
      <c r="N28" s="200"/>
      <c r="O28" s="200"/>
      <c r="P28" s="384">
        <f t="shared" si="3"/>
        <v>-3.2999999999999972</v>
      </c>
      <c r="Q28" s="241"/>
    </row>
    <row r="29" spans="1:17">
      <c r="A29" s="198" t="s">
        <v>33</v>
      </c>
      <c r="B29" s="200"/>
      <c r="C29" s="200"/>
      <c r="D29" s="384">
        <f t="shared" si="0"/>
        <v>9.1999999999999957</v>
      </c>
      <c r="E29" s="241"/>
      <c r="F29" s="200"/>
      <c r="G29" s="200"/>
      <c r="H29" s="384">
        <f t="shared" si="1"/>
        <v>0.69999999999998863</v>
      </c>
      <c r="I29" s="241"/>
      <c r="J29" s="200"/>
      <c r="K29" s="200"/>
      <c r="L29" s="384">
        <f t="shared" si="2"/>
        <v>3.5</v>
      </c>
      <c r="M29" s="241"/>
      <c r="N29" s="200"/>
      <c r="O29" s="200"/>
      <c r="P29" s="384">
        <f t="shared" si="3"/>
        <v>3.5</v>
      </c>
      <c r="Q29" s="241"/>
    </row>
    <row r="30" spans="1:17">
      <c r="A30" s="198" t="s">
        <v>34</v>
      </c>
      <c r="B30" s="200"/>
      <c r="C30" s="200"/>
      <c r="D30" s="384">
        <f t="shared" si="0"/>
        <v>5.3000000000000114</v>
      </c>
      <c r="E30" s="241"/>
      <c r="F30" s="200"/>
      <c r="G30" s="200"/>
      <c r="H30" s="384">
        <f t="shared" si="1"/>
        <v>0.80000000000001137</v>
      </c>
      <c r="I30" s="241"/>
      <c r="J30" s="200"/>
      <c r="K30" s="200"/>
      <c r="L30" s="384">
        <f t="shared" si="2"/>
        <v>8.1000000000000014</v>
      </c>
      <c r="M30" s="241"/>
      <c r="N30" s="200"/>
      <c r="O30" s="200"/>
      <c r="P30" s="384">
        <f t="shared" si="3"/>
        <v>16.5</v>
      </c>
      <c r="Q30" s="241"/>
    </row>
    <row r="31" spans="1:17">
      <c r="A31" s="198" t="s">
        <v>35</v>
      </c>
      <c r="B31" s="200"/>
      <c r="C31" s="200"/>
      <c r="D31" s="384">
        <f t="shared" si="0"/>
        <v>-2.0999999999999943</v>
      </c>
      <c r="E31" s="241"/>
      <c r="F31" s="200"/>
      <c r="G31" s="200"/>
      <c r="H31" s="384">
        <f t="shared" si="1"/>
        <v>-31.4</v>
      </c>
      <c r="I31" s="241"/>
      <c r="J31" s="200"/>
      <c r="K31" s="200"/>
      <c r="L31" s="384">
        <f t="shared" si="2"/>
        <v>-2.1999999999999886</v>
      </c>
      <c r="M31" s="241"/>
      <c r="N31" s="200"/>
      <c r="O31" s="200"/>
      <c r="P31" s="384">
        <f t="shared" si="3"/>
        <v>-5.7000000000000028</v>
      </c>
      <c r="Q31" s="241"/>
    </row>
    <row r="32" spans="1:17">
      <c r="A32" s="198" t="s">
        <v>36</v>
      </c>
      <c r="B32" s="200"/>
      <c r="C32" s="200"/>
      <c r="D32" s="384">
        <f t="shared" si="0"/>
        <v>13.5</v>
      </c>
      <c r="E32" s="241"/>
      <c r="F32" s="200"/>
      <c r="G32" s="200"/>
      <c r="H32" s="384">
        <f t="shared" si="1"/>
        <v>8.2000000000000028</v>
      </c>
      <c r="I32" s="241"/>
      <c r="J32" s="200"/>
      <c r="K32" s="200"/>
      <c r="L32" s="384">
        <f t="shared" si="2"/>
        <v>6</v>
      </c>
      <c r="M32" s="241"/>
      <c r="N32" s="200"/>
      <c r="O32" s="200"/>
      <c r="P32" s="384">
        <f t="shared" si="3"/>
        <v>9.1999999999999886</v>
      </c>
      <c r="Q32" s="241"/>
    </row>
    <row r="33" spans="1:17">
      <c r="A33" s="198" t="s">
        <v>37</v>
      </c>
      <c r="B33" s="200"/>
      <c r="C33" s="200"/>
      <c r="D33" s="384">
        <f t="shared" si="0"/>
        <v>3.2000000000000028</v>
      </c>
      <c r="E33" s="241"/>
      <c r="F33" s="200"/>
      <c r="G33" s="200"/>
      <c r="H33" s="384">
        <f t="shared" si="1"/>
        <v>-5.7000000000000028</v>
      </c>
      <c r="I33" s="241"/>
      <c r="J33" s="200"/>
      <c r="K33" s="200"/>
      <c r="L33" s="384">
        <f t="shared" si="2"/>
        <v>-7.7000000000000028</v>
      </c>
      <c r="M33" s="241"/>
      <c r="N33" s="200"/>
      <c r="O33" s="200"/>
      <c r="P33" s="384">
        <f t="shared" si="3"/>
        <v>7.5999999999999943</v>
      </c>
      <c r="Q33" s="241"/>
    </row>
    <row r="34" spans="1:17">
      <c r="A34" s="198" t="s">
        <v>38</v>
      </c>
      <c r="B34" s="200"/>
      <c r="C34" s="200"/>
      <c r="D34" s="384">
        <f t="shared" si="0"/>
        <v>6.7000000000000028</v>
      </c>
      <c r="E34" s="241"/>
      <c r="F34" s="200"/>
      <c r="G34" s="200"/>
      <c r="H34" s="384">
        <f t="shared" si="1"/>
        <v>-1.4000000000000057</v>
      </c>
      <c r="I34" s="241"/>
      <c r="J34" s="200"/>
      <c r="K34" s="200"/>
      <c r="L34" s="384">
        <f t="shared" si="2"/>
        <v>-1.2999999999999972</v>
      </c>
      <c r="M34" s="241"/>
      <c r="N34" s="200"/>
      <c r="O34" s="200"/>
      <c r="P34" s="384">
        <f t="shared" si="3"/>
        <v>3.5</v>
      </c>
      <c r="Q34" s="241"/>
    </row>
    <row r="35" spans="1:17">
      <c r="A35" s="198" t="s">
        <v>39</v>
      </c>
      <c r="B35" s="200"/>
      <c r="C35" s="200"/>
      <c r="D35" s="384">
        <f t="shared" si="0"/>
        <v>8.7000000000000028</v>
      </c>
      <c r="E35" s="241"/>
      <c r="F35" s="200"/>
      <c r="G35" s="200"/>
      <c r="H35" s="384">
        <f t="shared" si="1"/>
        <v>-3.2000000000000028</v>
      </c>
      <c r="I35" s="241"/>
      <c r="J35" s="200"/>
      <c r="K35" s="200"/>
      <c r="L35" s="384">
        <f t="shared" si="2"/>
        <v>-2.8999999999999915</v>
      </c>
      <c r="M35" s="241"/>
      <c r="N35" s="200"/>
      <c r="O35" s="200"/>
      <c r="P35" s="384">
        <f t="shared" si="3"/>
        <v>5.7000000000000028</v>
      </c>
      <c r="Q35" s="241"/>
    </row>
    <row r="36" spans="1:17">
      <c r="A36" s="198" t="s">
        <v>40</v>
      </c>
      <c r="B36" s="200"/>
      <c r="C36" s="200"/>
      <c r="D36" s="384">
        <f t="shared" si="0"/>
        <v>-3.1000000000000085</v>
      </c>
      <c r="E36" s="241"/>
      <c r="F36" s="200"/>
      <c r="G36" s="200"/>
      <c r="H36" s="384">
        <f t="shared" si="1"/>
        <v>-3.1000000000000085</v>
      </c>
      <c r="I36" s="241"/>
      <c r="J36" s="200"/>
      <c r="K36" s="200"/>
      <c r="L36" s="384">
        <f t="shared" si="2"/>
        <v>-4.5999999999999943</v>
      </c>
      <c r="M36" s="241"/>
      <c r="N36" s="200"/>
      <c r="O36" s="200"/>
      <c r="P36" s="384">
        <f t="shared" si="3"/>
        <v>-7.7999999999999972</v>
      </c>
      <c r="Q36" s="241"/>
    </row>
    <row r="37" spans="1:17">
      <c r="A37" s="198" t="s">
        <v>41</v>
      </c>
      <c r="B37" s="200"/>
      <c r="C37" s="200"/>
      <c r="D37" s="384">
        <f t="shared" si="0"/>
        <v>5.5999999999999943</v>
      </c>
      <c r="E37" s="241"/>
      <c r="F37" s="200"/>
      <c r="G37" s="200"/>
      <c r="H37" s="384">
        <f t="shared" si="1"/>
        <v>9.6000000000000085</v>
      </c>
      <c r="I37" s="241"/>
      <c r="J37" s="200"/>
      <c r="K37" s="200"/>
      <c r="L37" s="384">
        <f t="shared" si="2"/>
        <v>7.2999999999999972</v>
      </c>
      <c r="M37" s="241"/>
      <c r="N37" s="200"/>
      <c r="O37" s="200"/>
      <c r="P37" s="384">
        <f t="shared" si="3"/>
        <v>10.599999999999994</v>
      </c>
      <c r="Q37" s="241"/>
    </row>
    <row r="38" spans="1:17">
      <c r="A38" s="198" t="s">
        <v>42</v>
      </c>
      <c r="B38" s="200"/>
      <c r="C38" s="200"/>
      <c r="D38" s="384">
        <f t="shared" si="0"/>
        <v>-1.3999999999999915</v>
      </c>
      <c r="E38" s="241"/>
      <c r="F38" s="200"/>
      <c r="G38" s="200"/>
      <c r="H38" s="384">
        <f t="shared" si="1"/>
        <v>3.2000000000000028</v>
      </c>
      <c r="I38" s="241"/>
      <c r="J38" s="200"/>
      <c r="K38" s="200"/>
      <c r="L38" s="384">
        <f t="shared" si="2"/>
        <v>2.4000000000000057</v>
      </c>
      <c r="M38" s="241"/>
      <c r="N38" s="200"/>
      <c r="O38" s="200"/>
      <c r="P38" s="384">
        <f t="shared" si="3"/>
        <v>-2.2999999999999972</v>
      </c>
      <c r="Q38" s="241"/>
    </row>
    <row r="39" spans="1:17">
      <c r="A39" s="198" t="s">
        <v>43</v>
      </c>
      <c r="B39" s="200"/>
      <c r="C39" s="200"/>
      <c r="D39" s="384">
        <f t="shared" si="0"/>
        <v>3.3000000000000114</v>
      </c>
      <c r="E39" s="241"/>
      <c r="F39" s="200"/>
      <c r="G39" s="200"/>
      <c r="H39" s="384">
        <f t="shared" si="1"/>
        <v>7.0999999999999943</v>
      </c>
      <c r="I39" s="241"/>
      <c r="J39" s="200"/>
      <c r="K39" s="200"/>
      <c r="L39" s="384">
        <f t="shared" si="2"/>
        <v>2</v>
      </c>
      <c r="M39" s="241"/>
      <c r="N39" s="200"/>
      <c r="O39" s="200"/>
      <c r="P39" s="384">
        <f t="shared" si="3"/>
        <v>-1.2000000000000028</v>
      </c>
      <c r="Q39" s="241"/>
    </row>
    <row r="40" spans="1:17">
      <c r="A40" s="198" t="s">
        <v>44</v>
      </c>
      <c r="B40" s="200"/>
      <c r="C40" s="200"/>
      <c r="D40" s="384">
        <f t="shared" si="0"/>
        <v>2.1999999999999886</v>
      </c>
      <c r="E40" s="241"/>
      <c r="F40" s="200"/>
      <c r="G40" s="200"/>
      <c r="H40" s="384">
        <f t="shared" si="1"/>
        <v>7.1999999999999886</v>
      </c>
      <c r="I40" s="241"/>
      <c r="J40" s="200"/>
      <c r="K40" s="200"/>
      <c r="L40" s="384">
        <f t="shared" si="2"/>
        <v>3.2000000000000028</v>
      </c>
      <c r="M40" s="241"/>
      <c r="N40" s="200"/>
      <c r="O40" s="200"/>
      <c r="P40" s="384">
        <f t="shared" si="3"/>
        <v>12.300000000000011</v>
      </c>
      <c r="Q40" s="241"/>
    </row>
    <row r="41" spans="1:17">
      <c r="A41" s="198"/>
      <c r="B41" s="200"/>
      <c r="C41" s="200"/>
      <c r="D41" s="241"/>
      <c r="E41" s="241"/>
      <c r="F41" s="200"/>
      <c r="G41" s="200"/>
      <c r="H41" s="241"/>
      <c r="I41" s="241"/>
      <c r="J41" s="200"/>
      <c r="K41" s="200"/>
      <c r="L41" s="241"/>
      <c r="M41" s="241"/>
      <c r="N41" s="200"/>
      <c r="O41" s="200"/>
      <c r="P41" s="241"/>
      <c r="Q41" s="241"/>
    </row>
    <row r="42" spans="1:17">
      <c r="A42" s="198" t="s">
        <v>45</v>
      </c>
      <c r="B42" s="200"/>
      <c r="C42" s="200"/>
      <c r="D42" s="384">
        <f>D92-D142</f>
        <v>4.7000000000000028</v>
      </c>
      <c r="E42" s="241"/>
      <c r="F42" s="200"/>
      <c r="G42" s="200"/>
      <c r="H42" s="384">
        <f>H92-H142</f>
        <v>5.0999999999999943</v>
      </c>
      <c r="I42" s="241"/>
      <c r="J42" s="200"/>
      <c r="K42" s="200"/>
      <c r="L42" s="384">
        <f>L92-L142</f>
        <v>3.5</v>
      </c>
      <c r="M42" s="241"/>
      <c r="N42" s="200"/>
      <c r="O42" s="200"/>
      <c r="P42" s="384">
        <f>P92-P142</f>
        <v>4.2000000000000028</v>
      </c>
      <c r="Q42" s="241"/>
    </row>
    <row r="43" spans="1:17">
      <c r="A43" s="198" t="s">
        <v>46</v>
      </c>
      <c r="B43" s="200"/>
      <c r="C43" s="200"/>
      <c r="D43" s="384">
        <f>D93-D143</f>
        <v>6.7999999999999972</v>
      </c>
      <c r="E43" s="241"/>
      <c r="F43" s="200"/>
      <c r="G43" s="200"/>
      <c r="H43" s="384">
        <f>H93-H143</f>
        <v>6.5</v>
      </c>
      <c r="I43" s="241"/>
      <c r="J43" s="200"/>
      <c r="K43" s="200"/>
      <c r="L43" s="384">
        <f>L93-L143</f>
        <v>6.5999999999999943</v>
      </c>
      <c r="M43" s="241"/>
      <c r="N43" s="200"/>
      <c r="O43" s="200"/>
      <c r="P43" s="384">
        <f>P93-P143</f>
        <v>7.0999999999999943</v>
      </c>
      <c r="Q43" s="241"/>
    </row>
    <row r="44" spans="1:17">
      <c r="A44" s="198" t="s">
        <v>543</v>
      </c>
      <c r="B44" s="200"/>
      <c r="C44" s="200"/>
      <c r="D44" s="384">
        <f>D95-D145</f>
        <v>6.3821280848937221</v>
      </c>
      <c r="E44" s="241"/>
      <c r="F44" s="200"/>
      <c r="G44" s="200"/>
      <c r="H44" s="384">
        <f>H95-H145</f>
        <v>4.5433531534089724</v>
      </c>
      <c r="I44" s="241"/>
      <c r="J44" s="200"/>
      <c r="K44" s="200"/>
      <c r="L44" s="384">
        <f>L95-L145</f>
        <v>4.0508382995461716</v>
      </c>
      <c r="M44" s="241"/>
      <c r="N44" s="200"/>
      <c r="O44" s="200"/>
      <c r="P44" s="384">
        <f>P95-P145</f>
        <v>-0.12615304343896128</v>
      </c>
      <c r="Q44" s="241"/>
    </row>
    <row r="45" spans="1:17">
      <c r="A45" s="198" t="s">
        <v>544</v>
      </c>
      <c r="B45" s="200"/>
      <c r="C45" s="200"/>
      <c r="D45" s="384">
        <f>D96-D146</f>
        <v>5.4157284165831783</v>
      </c>
      <c r="E45" s="241"/>
      <c r="F45" s="200"/>
      <c r="G45" s="200"/>
      <c r="H45" s="384">
        <f>H96-H146</f>
        <v>1.9381527363964324</v>
      </c>
      <c r="I45" s="241"/>
      <c r="J45" s="200"/>
      <c r="K45" s="200"/>
      <c r="L45" s="384">
        <f>L96-L146</f>
        <v>4.2169266387596167</v>
      </c>
      <c r="M45" s="241"/>
      <c r="N45" s="200"/>
      <c r="O45" s="200"/>
      <c r="P45" s="384">
        <f>P96-P146</f>
        <v>3.7318318257988921</v>
      </c>
      <c r="Q45" s="241"/>
    </row>
    <row r="46" spans="1:17">
      <c r="A46" s="198" t="s">
        <v>545</v>
      </c>
      <c r="B46" s="200"/>
      <c r="C46" s="200"/>
      <c r="D46" s="384">
        <f>D97-D147</f>
        <v>3.8920475109066359</v>
      </c>
      <c r="E46" s="241"/>
      <c r="F46" s="200"/>
      <c r="G46" s="200"/>
      <c r="H46" s="384">
        <f>H97-H147</f>
        <v>3.8537557426507902</v>
      </c>
      <c r="I46" s="241"/>
      <c r="J46" s="200"/>
      <c r="K46" s="200"/>
      <c r="L46" s="384">
        <f>L97-L147</f>
        <v>1.5827137016951838</v>
      </c>
      <c r="M46" s="241"/>
      <c r="N46" s="200"/>
      <c r="O46" s="200"/>
      <c r="P46" s="384">
        <f>P97-P147</f>
        <v>6.9383331368345722</v>
      </c>
      <c r="Q46" s="241"/>
    </row>
    <row r="47" spans="1:17">
      <c r="A47" s="198" t="s">
        <v>546</v>
      </c>
      <c r="B47" s="200"/>
      <c r="C47" s="200"/>
      <c r="D47" s="384">
        <f>D98-D148</f>
        <v>4.2414295310819483</v>
      </c>
      <c r="E47" s="241"/>
      <c r="F47" s="200"/>
      <c r="G47" s="200"/>
      <c r="H47" s="384">
        <f>H98-H148</f>
        <v>7.5994151083672961</v>
      </c>
      <c r="I47" s="241"/>
      <c r="J47" s="200"/>
      <c r="K47" s="200"/>
      <c r="L47" s="384">
        <f>L98-L148</f>
        <v>3.7571025563756848</v>
      </c>
      <c r="M47" s="241"/>
      <c r="N47" s="200"/>
      <c r="O47" s="200"/>
      <c r="P47" s="384">
        <f>P98-P148</f>
        <v>4.9117021445472773</v>
      </c>
      <c r="Q47" s="241"/>
    </row>
    <row r="48" spans="1:17">
      <c r="A48" s="198" t="s">
        <v>47</v>
      </c>
      <c r="B48" s="200"/>
      <c r="C48" s="200"/>
      <c r="D48" s="384">
        <f>D94-D144</f>
        <v>6</v>
      </c>
      <c r="E48" s="241"/>
      <c r="F48" s="200"/>
      <c r="G48" s="200"/>
      <c r="H48" s="384">
        <f>H94-H144</f>
        <v>7.2000000000000028</v>
      </c>
      <c r="I48" s="241"/>
      <c r="J48" s="200"/>
      <c r="K48" s="200"/>
      <c r="L48" s="384">
        <f>L94-L144</f>
        <v>4.5</v>
      </c>
      <c r="M48" s="241"/>
      <c r="N48" s="200"/>
      <c r="O48" s="200"/>
      <c r="P48" s="384">
        <f>P94-P144</f>
        <v>5.8000000000000114</v>
      </c>
      <c r="Q48" s="241"/>
    </row>
    <row r="52" spans="1:19" ht="15.5">
      <c r="A52" s="1" t="s">
        <v>0</v>
      </c>
      <c r="B52"/>
      <c r="C52"/>
      <c r="D52"/>
      <c r="E52"/>
      <c r="F52"/>
      <c r="G52"/>
      <c r="H52"/>
      <c r="I52"/>
      <c r="J52"/>
      <c r="K52"/>
      <c r="L52"/>
      <c r="M52"/>
      <c r="N52"/>
      <c r="O52"/>
      <c r="P52"/>
      <c r="Q52"/>
    </row>
    <row r="53" spans="1:19">
      <c r="A53" s="2" t="s">
        <v>611</v>
      </c>
      <c r="B53"/>
      <c r="C53"/>
      <c r="D53"/>
      <c r="E53"/>
      <c r="F53"/>
      <c r="G53"/>
      <c r="H53"/>
      <c r="I53"/>
      <c r="J53"/>
      <c r="K53"/>
      <c r="L53"/>
      <c r="M53"/>
      <c r="N53"/>
      <c r="O53"/>
      <c r="P53"/>
      <c r="Q53"/>
    </row>
    <row r="54" spans="1:19">
      <c r="A54"/>
      <c r="B54"/>
      <c r="C54"/>
      <c r="D54"/>
      <c r="E54"/>
      <c r="F54"/>
      <c r="G54"/>
      <c r="H54"/>
      <c r="I54"/>
      <c r="J54"/>
      <c r="K54"/>
      <c r="L54"/>
      <c r="M54"/>
      <c r="N54"/>
      <c r="O54"/>
      <c r="P54"/>
      <c r="Q54"/>
    </row>
    <row r="55" spans="1:19">
      <c r="A55" s="242" t="s">
        <v>1</v>
      </c>
      <c r="B55" s="242" t="s">
        <v>2</v>
      </c>
      <c r="C55"/>
      <c r="D55"/>
      <c r="E55"/>
      <c r="F55"/>
      <c r="G55"/>
      <c r="H55"/>
      <c r="I55"/>
      <c r="J55"/>
      <c r="K55"/>
      <c r="L55"/>
      <c r="M55"/>
      <c r="N55"/>
      <c r="O55"/>
      <c r="P55"/>
      <c r="Q55"/>
    </row>
    <row r="56" spans="1:19">
      <c r="A56" s="242" t="s">
        <v>3</v>
      </c>
      <c r="B56" s="242" t="s">
        <v>171</v>
      </c>
      <c r="C56"/>
      <c r="D56"/>
      <c r="E56"/>
      <c r="F56"/>
      <c r="G56"/>
      <c r="H56"/>
      <c r="I56"/>
      <c r="J56"/>
      <c r="K56"/>
      <c r="L56"/>
      <c r="M56"/>
      <c r="N56"/>
      <c r="O56"/>
      <c r="P56"/>
      <c r="Q56"/>
    </row>
    <row r="57" spans="1:19">
      <c r="A57"/>
      <c r="B57"/>
      <c r="C57"/>
      <c r="D57"/>
      <c r="E57"/>
      <c r="F57"/>
      <c r="G57"/>
      <c r="H57"/>
      <c r="I57"/>
      <c r="J57"/>
      <c r="K57"/>
      <c r="L57"/>
      <c r="M57"/>
      <c r="N57"/>
      <c r="O57"/>
      <c r="P57"/>
      <c r="Q57"/>
    </row>
    <row r="58" spans="1:19" ht="22" customHeight="1">
      <c r="A58" s="12" t="s">
        <v>5</v>
      </c>
      <c r="B58" s="607" t="s">
        <v>525</v>
      </c>
      <c r="C58" s="604"/>
      <c r="D58" s="604"/>
      <c r="E58" s="604"/>
      <c r="F58" s="607" t="s">
        <v>598</v>
      </c>
      <c r="G58" s="604"/>
      <c r="H58" s="604"/>
      <c r="I58" s="604"/>
      <c r="J58" s="607" t="s">
        <v>705</v>
      </c>
      <c r="K58" s="604"/>
      <c r="L58" s="604"/>
      <c r="M58" s="604"/>
      <c r="N58" s="607" t="s">
        <v>754</v>
      </c>
      <c r="O58" s="604"/>
      <c r="P58" s="604"/>
      <c r="Q58" s="604"/>
    </row>
    <row r="59" spans="1:19" ht="26.15" customHeight="1">
      <c r="A59"/>
      <c r="B59" s="454" t="s">
        <v>6</v>
      </c>
      <c r="C59" s="454" t="s">
        <v>7</v>
      </c>
      <c r="D59" s="454" t="s">
        <v>8</v>
      </c>
      <c r="E59" s="454" t="s">
        <v>9</v>
      </c>
      <c r="F59" s="454" t="s">
        <v>6</v>
      </c>
      <c r="G59" s="454" t="s">
        <v>7</v>
      </c>
      <c r="H59" s="454" t="s">
        <v>8</v>
      </c>
      <c r="I59" s="454" t="s">
        <v>9</v>
      </c>
      <c r="J59" s="454" t="s">
        <v>6</v>
      </c>
      <c r="K59" s="454" t="s">
        <v>7</v>
      </c>
      <c r="L59" s="454" t="s">
        <v>8</v>
      </c>
      <c r="M59" s="454" t="s">
        <v>9</v>
      </c>
      <c r="N59" s="454" t="s">
        <v>6</v>
      </c>
      <c r="O59" s="454" t="s">
        <v>7</v>
      </c>
      <c r="P59" s="454" t="s">
        <v>8</v>
      </c>
      <c r="Q59" s="454" t="s">
        <v>9</v>
      </c>
    </row>
    <row r="60" spans="1:19">
      <c r="A60" s="242" t="s">
        <v>14</v>
      </c>
      <c r="B60" s="435">
        <v>58600</v>
      </c>
      <c r="C60" s="435">
        <v>83000</v>
      </c>
      <c r="D60" s="436">
        <v>70.599999999999994</v>
      </c>
      <c r="E60" s="436">
        <v>6.1</v>
      </c>
      <c r="F60" s="435">
        <v>65700</v>
      </c>
      <c r="G60" s="435">
        <v>84600</v>
      </c>
      <c r="H60" s="436">
        <v>77.7</v>
      </c>
      <c r="I60" s="436">
        <v>5.4</v>
      </c>
      <c r="J60" s="435">
        <v>59600</v>
      </c>
      <c r="K60" s="435">
        <v>82900</v>
      </c>
      <c r="L60" s="436">
        <v>71.900000000000006</v>
      </c>
      <c r="M60" s="436">
        <v>6.4</v>
      </c>
      <c r="N60" s="435">
        <v>59900</v>
      </c>
      <c r="O60" s="435">
        <v>78100</v>
      </c>
      <c r="P60" s="436">
        <v>76.8</v>
      </c>
      <c r="Q60" s="436">
        <v>6.9</v>
      </c>
      <c r="S60" s="242"/>
    </row>
    <row r="61" spans="1:19">
      <c r="A61" s="242" t="s">
        <v>15</v>
      </c>
      <c r="B61" s="435">
        <v>67300</v>
      </c>
      <c r="C61" s="435">
        <v>80900</v>
      </c>
      <c r="D61" s="436">
        <v>83.2</v>
      </c>
      <c r="E61" s="436">
        <v>4.9000000000000004</v>
      </c>
      <c r="F61" s="435">
        <v>67100</v>
      </c>
      <c r="G61" s="435">
        <v>84800</v>
      </c>
      <c r="H61" s="436">
        <v>79.099999999999994</v>
      </c>
      <c r="I61" s="436">
        <v>5.4</v>
      </c>
      <c r="J61" s="435">
        <v>66600</v>
      </c>
      <c r="K61" s="435">
        <v>81200</v>
      </c>
      <c r="L61" s="436">
        <v>82.1</v>
      </c>
      <c r="M61" s="436">
        <v>5.6</v>
      </c>
      <c r="N61" s="435">
        <v>73600</v>
      </c>
      <c r="O61" s="435">
        <v>87100</v>
      </c>
      <c r="P61" s="436">
        <v>84.5</v>
      </c>
      <c r="Q61" s="436">
        <v>6.2</v>
      </c>
      <c r="S61" s="242"/>
    </row>
    <row r="62" spans="1:19">
      <c r="A62" s="242" t="s">
        <v>16</v>
      </c>
      <c r="B62" s="435">
        <v>26100</v>
      </c>
      <c r="C62" s="435">
        <v>34200</v>
      </c>
      <c r="D62" s="436">
        <v>76.400000000000006</v>
      </c>
      <c r="E62" s="436">
        <v>5</v>
      </c>
      <c r="F62" s="435">
        <v>26300</v>
      </c>
      <c r="G62" s="435">
        <v>33500</v>
      </c>
      <c r="H62" s="436">
        <v>78.5</v>
      </c>
      <c r="I62" s="436">
        <v>5.8</v>
      </c>
      <c r="J62" s="435">
        <v>25100</v>
      </c>
      <c r="K62" s="435">
        <v>32300</v>
      </c>
      <c r="L62" s="436">
        <v>77.599999999999994</v>
      </c>
      <c r="M62" s="436">
        <v>6.1</v>
      </c>
      <c r="N62" s="435">
        <v>23500</v>
      </c>
      <c r="O62" s="435">
        <v>32400</v>
      </c>
      <c r="P62" s="436">
        <v>72.400000000000006</v>
      </c>
      <c r="Q62" s="436">
        <v>8.6999999999999993</v>
      </c>
      <c r="S62" s="242"/>
    </row>
    <row r="63" spans="1:19">
      <c r="A63" s="242" t="s">
        <v>17</v>
      </c>
      <c r="B63" s="435">
        <v>18200</v>
      </c>
      <c r="C63" s="435">
        <v>23200</v>
      </c>
      <c r="D63" s="436">
        <v>78.3</v>
      </c>
      <c r="E63" s="436">
        <v>5.3</v>
      </c>
      <c r="F63" s="435">
        <v>17900</v>
      </c>
      <c r="G63" s="435">
        <v>23400</v>
      </c>
      <c r="H63" s="436">
        <v>76.5</v>
      </c>
      <c r="I63" s="436">
        <v>6.4</v>
      </c>
      <c r="J63" s="435">
        <v>17700</v>
      </c>
      <c r="K63" s="435">
        <v>24500</v>
      </c>
      <c r="L63" s="436">
        <v>72.3</v>
      </c>
      <c r="M63" s="436">
        <v>7.6</v>
      </c>
      <c r="N63" s="435">
        <v>16800</v>
      </c>
      <c r="O63" s="435">
        <v>25100</v>
      </c>
      <c r="P63" s="436">
        <v>67.099999999999994</v>
      </c>
      <c r="Q63" s="436">
        <v>10.199999999999999</v>
      </c>
      <c r="S63" s="242"/>
    </row>
    <row r="64" spans="1:19">
      <c r="A64" s="198" t="s">
        <v>189</v>
      </c>
      <c r="B64" s="435">
        <v>132700</v>
      </c>
      <c r="C64" s="435">
        <v>177100</v>
      </c>
      <c r="D64" s="436">
        <v>74.900000000000006</v>
      </c>
      <c r="E64" s="436">
        <v>4.9000000000000004</v>
      </c>
      <c r="F64" s="435">
        <v>145100</v>
      </c>
      <c r="G64" s="435">
        <v>179300</v>
      </c>
      <c r="H64" s="436">
        <v>80.900000000000006</v>
      </c>
      <c r="I64" s="436">
        <v>4.5999999999999996</v>
      </c>
      <c r="J64" s="435">
        <v>137300</v>
      </c>
      <c r="K64" s="435">
        <v>175900</v>
      </c>
      <c r="L64" s="436">
        <v>78</v>
      </c>
      <c r="M64" s="436">
        <v>5.3</v>
      </c>
      <c r="N64" s="435">
        <v>146300</v>
      </c>
      <c r="O64" s="435">
        <v>174600</v>
      </c>
      <c r="P64" s="436">
        <v>83.8</v>
      </c>
      <c r="Q64" s="436">
        <v>5.2</v>
      </c>
      <c r="S64" s="242"/>
    </row>
    <row r="65" spans="1:19">
      <c r="A65" s="242" t="s">
        <v>18</v>
      </c>
      <c r="B65" s="435">
        <v>11200</v>
      </c>
      <c r="C65" s="435">
        <v>15400</v>
      </c>
      <c r="D65" s="436">
        <v>72.400000000000006</v>
      </c>
      <c r="E65" s="436">
        <v>8.4</v>
      </c>
      <c r="F65" s="435">
        <v>10300</v>
      </c>
      <c r="G65" s="435">
        <v>14900</v>
      </c>
      <c r="H65" s="436">
        <v>68.7</v>
      </c>
      <c r="I65" s="436">
        <v>10.5</v>
      </c>
      <c r="J65" s="435">
        <v>10200</v>
      </c>
      <c r="K65" s="435">
        <v>14900</v>
      </c>
      <c r="L65" s="436">
        <v>68.8</v>
      </c>
      <c r="M65" s="436">
        <v>8.6999999999999993</v>
      </c>
      <c r="N65" s="435">
        <v>8800</v>
      </c>
      <c r="O65" s="435">
        <v>13600</v>
      </c>
      <c r="P65" s="436">
        <v>65.2</v>
      </c>
      <c r="Q65" s="436">
        <v>10.1</v>
      </c>
      <c r="S65" s="242"/>
    </row>
    <row r="66" spans="1:19">
      <c r="A66" s="242" t="s">
        <v>19</v>
      </c>
      <c r="B66" s="435">
        <v>26900</v>
      </c>
      <c r="C66" s="435">
        <v>37000</v>
      </c>
      <c r="D66" s="436">
        <v>72.7</v>
      </c>
      <c r="E66" s="436">
        <v>6.6</v>
      </c>
      <c r="F66" s="435">
        <v>29400</v>
      </c>
      <c r="G66" s="435">
        <v>40500</v>
      </c>
      <c r="H66" s="436">
        <v>72.5</v>
      </c>
      <c r="I66" s="436">
        <v>6.2</v>
      </c>
      <c r="J66" s="435">
        <v>28600</v>
      </c>
      <c r="K66" s="435">
        <v>40900</v>
      </c>
      <c r="L66" s="436">
        <v>69.900000000000006</v>
      </c>
      <c r="M66" s="436">
        <v>6.7</v>
      </c>
      <c r="N66" s="435">
        <v>26400</v>
      </c>
      <c r="O66" s="435">
        <v>40500</v>
      </c>
      <c r="P66" s="436">
        <v>65.099999999999994</v>
      </c>
      <c r="Q66" s="436">
        <v>10.1</v>
      </c>
      <c r="S66" s="242"/>
    </row>
    <row r="67" spans="1:19">
      <c r="A67" s="242" t="s">
        <v>20</v>
      </c>
      <c r="B67" s="435">
        <v>33400</v>
      </c>
      <c r="C67" s="435">
        <v>45000</v>
      </c>
      <c r="D67" s="436">
        <v>74.2</v>
      </c>
      <c r="E67" s="436">
        <v>5.4</v>
      </c>
      <c r="F67" s="435">
        <v>34800</v>
      </c>
      <c r="G67" s="435">
        <v>47700</v>
      </c>
      <c r="H67" s="436">
        <v>72.8</v>
      </c>
      <c r="I67" s="436">
        <v>6.2</v>
      </c>
      <c r="J67" s="435">
        <v>32200</v>
      </c>
      <c r="K67" s="435">
        <v>47500</v>
      </c>
      <c r="L67" s="436">
        <v>67.8</v>
      </c>
      <c r="M67" s="436">
        <v>6.6</v>
      </c>
      <c r="N67" s="435">
        <v>33500</v>
      </c>
      <c r="O67" s="435">
        <v>51000</v>
      </c>
      <c r="P67" s="436">
        <v>65.7</v>
      </c>
      <c r="Q67" s="436">
        <v>7.4</v>
      </c>
      <c r="S67" s="242"/>
    </row>
    <row r="68" spans="1:19">
      <c r="A68" s="242" t="s">
        <v>21</v>
      </c>
      <c r="B68" s="435">
        <v>26300</v>
      </c>
      <c r="C68" s="435">
        <v>35300</v>
      </c>
      <c r="D68" s="436">
        <v>74.400000000000006</v>
      </c>
      <c r="E68" s="436">
        <v>5.9</v>
      </c>
      <c r="F68" s="435">
        <v>26400</v>
      </c>
      <c r="G68" s="435">
        <v>35000</v>
      </c>
      <c r="H68" s="436">
        <v>75.599999999999994</v>
      </c>
      <c r="I68" s="436">
        <v>6.2</v>
      </c>
      <c r="J68" s="435">
        <v>25900</v>
      </c>
      <c r="K68" s="435">
        <v>35100</v>
      </c>
      <c r="L68" s="436">
        <v>73.7</v>
      </c>
      <c r="M68" s="436">
        <v>6.5</v>
      </c>
      <c r="N68" s="435">
        <v>27000</v>
      </c>
      <c r="O68" s="435">
        <v>36200</v>
      </c>
      <c r="P68" s="436">
        <v>74.400000000000006</v>
      </c>
      <c r="Q68" s="436">
        <v>8</v>
      </c>
      <c r="S68" s="242"/>
    </row>
    <row r="69" spans="1:19">
      <c r="A69" s="242" t="s">
        <v>22</v>
      </c>
      <c r="B69" s="435">
        <v>24100</v>
      </c>
      <c r="C69" s="435">
        <v>31100</v>
      </c>
      <c r="D69" s="436">
        <v>77.3</v>
      </c>
      <c r="E69" s="436">
        <v>4.7</v>
      </c>
      <c r="F69" s="435">
        <v>24000</v>
      </c>
      <c r="G69" s="435">
        <v>31700</v>
      </c>
      <c r="H69" s="436">
        <v>75.7</v>
      </c>
      <c r="I69" s="436">
        <v>5.4</v>
      </c>
      <c r="J69" s="435">
        <v>25500</v>
      </c>
      <c r="K69" s="435">
        <v>31900</v>
      </c>
      <c r="L69" s="436">
        <v>79.7</v>
      </c>
      <c r="M69" s="436">
        <v>5.0999999999999996</v>
      </c>
      <c r="N69" s="435">
        <v>22800</v>
      </c>
      <c r="O69" s="435">
        <v>30700</v>
      </c>
      <c r="P69" s="436">
        <v>74.2</v>
      </c>
      <c r="Q69" s="436">
        <v>6.7</v>
      </c>
      <c r="S69" s="242"/>
    </row>
    <row r="70" spans="1:19">
      <c r="A70" s="242" t="s">
        <v>23</v>
      </c>
      <c r="B70" s="435">
        <v>25100</v>
      </c>
      <c r="C70" s="435">
        <v>30900</v>
      </c>
      <c r="D70" s="436">
        <v>81.2</v>
      </c>
      <c r="E70" s="436">
        <v>5.5</v>
      </c>
      <c r="F70" s="435">
        <v>24200</v>
      </c>
      <c r="G70" s="435">
        <v>30600</v>
      </c>
      <c r="H70" s="436">
        <v>79.2</v>
      </c>
      <c r="I70" s="436">
        <v>6.7</v>
      </c>
      <c r="J70" s="435">
        <v>20300</v>
      </c>
      <c r="K70" s="435">
        <v>27200</v>
      </c>
      <c r="L70" s="436">
        <v>74.400000000000006</v>
      </c>
      <c r="M70" s="436">
        <v>7.6</v>
      </c>
      <c r="N70" s="435">
        <v>21000</v>
      </c>
      <c r="O70" s="435">
        <v>27100</v>
      </c>
      <c r="P70" s="436">
        <v>77.599999999999994</v>
      </c>
      <c r="Q70" s="436">
        <v>8.8000000000000007</v>
      </c>
      <c r="S70" s="242"/>
    </row>
    <row r="71" spans="1:19">
      <c r="A71" s="242" t="s">
        <v>24</v>
      </c>
      <c r="B71" s="435">
        <v>22100</v>
      </c>
      <c r="C71" s="435">
        <v>29400</v>
      </c>
      <c r="D71" s="436">
        <v>75.099999999999994</v>
      </c>
      <c r="E71" s="436">
        <v>5.8</v>
      </c>
      <c r="F71" s="435">
        <v>21600</v>
      </c>
      <c r="G71" s="435">
        <v>29700</v>
      </c>
      <c r="H71" s="436">
        <v>72.8</v>
      </c>
      <c r="I71" s="436">
        <v>6.3</v>
      </c>
      <c r="J71" s="435">
        <v>20500</v>
      </c>
      <c r="K71" s="435">
        <v>27500</v>
      </c>
      <c r="L71" s="436">
        <v>74.599999999999994</v>
      </c>
      <c r="M71" s="436">
        <v>7.2</v>
      </c>
      <c r="N71" s="435">
        <v>20400</v>
      </c>
      <c r="O71" s="435">
        <v>27300</v>
      </c>
      <c r="P71" s="436">
        <v>74.7</v>
      </c>
      <c r="Q71" s="436">
        <v>8.6</v>
      </c>
      <c r="S71" s="242"/>
    </row>
    <row r="72" spans="1:19">
      <c r="A72" s="242" t="s">
        <v>25</v>
      </c>
      <c r="B72" s="435">
        <v>38900</v>
      </c>
      <c r="C72" s="435">
        <v>51400</v>
      </c>
      <c r="D72" s="436">
        <v>75.8</v>
      </c>
      <c r="E72" s="436">
        <v>5.9</v>
      </c>
      <c r="F72" s="435">
        <v>39800</v>
      </c>
      <c r="G72" s="435">
        <v>48400</v>
      </c>
      <c r="H72" s="436">
        <v>82.2</v>
      </c>
      <c r="I72" s="436">
        <v>5.7</v>
      </c>
      <c r="J72" s="435">
        <v>39700</v>
      </c>
      <c r="K72" s="435">
        <v>48300</v>
      </c>
      <c r="L72" s="436">
        <v>82.3</v>
      </c>
      <c r="M72" s="436">
        <v>5.6</v>
      </c>
      <c r="N72" s="435">
        <v>38300</v>
      </c>
      <c r="O72" s="435">
        <v>49500</v>
      </c>
      <c r="P72" s="436">
        <v>77.400000000000006</v>
      </c>
      <c r="Q72" s="436">
        <v>6.8</v>
      </c>
      <c r="S72" s="242"/>
    </row>
    <row r="73" spans="1:19">
      <c r="A73" s="242" t="s">
        <v>26</v>
      </c>
      <c r="B73" s="435">
        <v>81400</v>
      </c>
      <c r="C73" s="435">
        <v>112600</v>
      </c>
      <c r="D73" s="436">
        <v>72.3</v>
      </c>
      <c r="E73" s="436">
        <v>5.2</v>
      </c>
      <c r="F73" s="435">
        <v>79000</v>
      </c>
      <c r="G73" s="435">
        <v>114200</v>
      </c>
      <c r="H73" s="436">
        <v>69.099999999999994</v>
      </c>
      <c r="I73" s="436">
        <v>5.6</v>
      </c>
      <c r="J73" s="435">
        <v>91500</v>
      </c>
      <c r="K73" s="435">
        <v>117900</v>
      </c>
      <c r="L73" s="436">
        <v>77.599999999999994</v>
      </c>
      <c r="M73" s="436">
        <v>5.0999999999999996</v>
      </c>
      <c r="N73" s="435">
        <v>84300</v>
      </c>
      <c r="O73" s="435">
        <v>108100</v>
      </c>
      <c r="P73" s="436">
        <v>78</v>
      </c>
      <c r="Q73" s="436">
        <v>5.3</v>
      </c>
      <c r="S73" s="242"/>
    </row>
    <row r="74" spans="1:19">
      <c r="A74" s="242" t="s">
        <v>27</v>
      </c>
      <c r="B74" s="435">
        <v>156400</v>
      </c>
      <c r="C74" s="435">
        <v>210000</v>
      </c>
      <c r="D74" s="436">
        <v>74.5</v>
      </c>
      <c r="E74" s="436">
        <v>5</v>
      </c>
      <c r="F74" s="435">
        <v>154500</v>
      </c>
      <c r="G74" s="435">
        <v>199100</v>
      </c>
      <c r="H74" s="436">
        <v>77.599999999999994</v>
      </c>
      <c r="I74" s="436">
        <v>4.8</v>
      </c>
      <c r="J74" s="435">
        <v>155000</v>
      </c>
      <c r="K74" s="435">
        <v>204800</v>
      </c>
      <c r="L74" s="436">
        <v>75.7</v>
      </c>
      <c r="M74" s="436">
        <v>5.0999999999999996</v>
      </c>
      <c r="N74" s="435">
        <v>152800</v>
      </c>
      <c r="O74" s="435">
        <v>211900</v>
      </c>
      <c r="P74" s="436">
        <v>72.099999999999994</v>
      </c>
      <c r="Q74" s="436">
        <v>6.5</v>
      </c>
      <c r="S74" s="242"/>
    </row>
    <row r="75" spans="1:19">
      <c r="A75" s="242" t="s">
        <v>28</v>
      </c>
      <c r="B75" s="435">
        <v>56400</v>
      </c>
      <c r="C75" s="435">
        <v>70300</v>
      </c>
      <c r="D75" s="436">
        <v>80.2</v>
      </c>
      <c r="E75" s="436">
        <v>6.3</v>
      </c>
      <c r="F75" s="435">
        <v>52000</v>
      </c>
      <c r="G75" s="435">
        <v>69600</v>
      </c>
      <c r="H75" s="436">
        <v>74.7</v>
      </c>
      <c r="I75" s="436">
        <v>8.1999999999999993</v>
      </c>
      <c r="J75" s="435">
        <v>52300</v>
      </c>
      <c r="K75" s="435">
        <v>70100</v>
      </c>
      <c r="L75" s="436">
        <v>74.599999999999994</v>
      </c>
      <c r="M75" s="436">
        <v>8.3000000000000007</v>
      </c>
      <c r="N75" s="435">
        <v>56400</v>
      </c>
      <c r="O75" s="435">
        <v>74400</v>
      </c>
      <c r="P75" s="436">
        <v>75.900000000000006</v>
      </c>
      <c r="Q75" s="436">
        <v>9.3000000000000007</v>
      </c>
      <c r="S75" s="242"/>
    </row>
    <row r="76" spans="1:19">
      <c r="A76" s="242" t="s">
        <v>29</v>
      </c>
      <c r="B76" s="435">
        <v>16100</v>
      </c>
      <c r="C76" s="435">
        <v>23400</v>
      </c>
      <c r="D76" s="436">
        <v>69</v>
      </c>
      <c r="E76" s="436">
        <v>6.3</v>
      </c>
      <c r="F76" s="435">
        <v>15700</v>
      </c>
      <c r="G76" s="435">
        <v>22100</v>
      </c>
      <c r="H76" s="436">
        <v>70.900000000000006</v>
      </c>
      <c r="I76" s="436">
        <v>7</v>
      </c>
      <c r="J76" s="435">
        <v>16000</v>
      </c>
      <c r="K76" s="435">
        <v>21400</v>
      </c>
      <c r="L76" s="436">
        <v>74.599999999999994</v>
      </c>
      <c r="M76" s="436">
        <v>7.4</v>
      </c>
      <c r="N76" s="435">
        <v>15500</v>
      </c>
      <c r="O76" s="435">
        <v>23200</v>
      </c>
      <c r="P76" s="436">
        <v>66.900000000000006</v>
      </c>
      <c r="Q76" s="436">
        <v>9.9</v>
      </c>
      <c r="S76" s="242"/>
    </row>
    <row r="77" spans="1:19">
      <c r="A77" s="242" t="s">
        <v>30</v>
      </c>
      <c r="B77" s="435">
        <v>20300</v>
      </c>
      <c r="C77" s="435">
        <v>25600</v>
      </c>
      <c r="D77" s="436">
        <v>79.099999999999994</v>
      </c>
      <c r="E77" s="436">
        <v>6.4</v>
      </c>
      <c r="F77" s="435">
        <v>24300</v>
      </c>
      <c r="G77" s="435">
        <v>29400</v>
      </c>
      <c r="H77" s="436">
        <v>82.9</v>
      </c>
      <c r="I77" s="436">
        <v>6.1</v>
      </c>
      <c r="J77" s="435">
        <v>21400</v>
      </c>
      <c r="K77" s="435">
        <v>26900</v>
      </c>
      <c r="L77" s="436">
        <v>79.7</v>
      </c>
      <c r="M77" s="436">
        <v>7.5</v>
      </c>
      <c r="N77" s="435">
        <v>24500</v>
      </c>
      <c r="O77" s="435">
        <v>26200</v>
      </c>
      <c r="P77" s="436">
        <v>93.4</v>
      </c>
      <c r="Q77" s="436">
        <v>5.7</v>
      </c>
      <c r="S77" s="242"/>
    </row>
    <row r="78" spans="1:19">
      <c r="A78" s="242" t="s">
        <v>31</v>
      </c>
      <c r="B78" s="435">
        <v>23700</v>
      </c>
      <c r="C78" s="435">
        <v>29900</v>
      </c>
      <c r="D78" s="436">
        <v>79.400000000000006</v>
      </c>
      <c r="E78" s="436">
        <v>5.6</v>
      </c>
      <c r="F78" s="435">
        <v>21500</v>
      </c>
      <c r="G78" s="435">
        <v>27900</v>
      </c>
      <c r="H78" s="436">
        <v>77</v>
      </c>
      <c r="I78" s="436">
        <v>6.4</v>
      </c>
      <c r="J78" s="435">
        <v>24900</v>
      </c>
      <c r="K78" s="435">
        <v>29900</v>
      </c>
      <c r="L78" s="436">
        <v>83.5</v>
      </c>
      <c r="M78" s="436">
        <v>5.7</v>
      </c>
      <c r="N78" s="435">
        <v>22300</v>
      </c>
      <c r="O78" s="435">
        <v>28300</v>
      </c>
      <c r="P78" s="436">
        <v>78.8</v>
      </c>
      <c r="Q78" s="436">
        <v>7.7</v>
      </c>
      <c r="S78" s="242"/>
    </row>
    <row r="79" spans="1:19">
      <c r="A79" s="242" t="s">
        <v>32</v>
      </c>
      <c r="B79" s="435">
        <v>6300</v>
      </c>
      <c r="C79" s="435">
        <v>7800</v>
      </c>
      <c r="D79" s="436">
        <v>80.2</v>
      </c>
      <c r="E79" s="436">
        <v>6.9</v>
      </c>
      <c r="F79" s="435">
        <v>6200</v>
      </c>
      <c r="G79" s="435">
        <v>7800</v>
      </c>
      <c r="H79" s="436">
        <v>79.3</v>
      </c>
      <c r="I79" s="436">
        <v>8.8000000000000007</v>
      </c>
      <c r="J79" s="435">
        <v>6800</v>
      </c>
      <c r="K79" s="435">
        <v>8000</v>
      </c>
      <c r="L79" s="436">
        <v>85</v>
      </c>
      <c r="M79" s="436">
        <v>8.8000000000000007</v>
      </c>
      <c r="N79" s="435">
        <v>6900</v>
      </c>
      <c r="O79" s="435">
        <v>9000</v>
      </c>
      <c r="P79" s="436">
        <v>76.400000000000006</v>
      </c>
      <c r="Q79" s="436">
        <v>12.8</v>
      </c>
      <c r="S79" s="242"/>
    </row>
    <row r="80" spans="1:19">
      <c r="A80" s="242" t="s">
        <v>33</v>
      </c>
      <c r="B80" s="435">
        <v>26700</v>
      </c>
      <c r="C80" s="435">
        <v>36800</v>
      </c>
      <c r="D80" s="436">
        <v>72.599999999999994</v>
      </c>
      <c r="E80" s="436">
        <v>6.6</v>
      </c>
      <c r="F80" s="435">
        <v>24800</v>
      </c>
      <c r="G80" s="435">
        <v>38200</v>
      </c>
      <c r="H80" s="436">
        <v>65.099999999999994</v>
      </c>
      <c r="I80" s="436">
        <v>6.8</v>
      </c>
      <c r="J80" s="435">
        <v>28300</v>
      </c>
      <c r="K80" s="435">
        <v>37500</v>
      </c>
      <c r="L80" s="436">
        <v>75.400000000000006</v>
      </c>
      <c r="M80" s="436">
        <v>6.3</v>
      </c>
      <c r="N80" s="435">
        <v>28100</v>
      </c>
      <c r="O80" s="435">
        <v>38900</v>
      </c>
      <c r="P80" s="436">
        <v>72.2</v>
      </c>
      <c r="Q80" s="436">
        <v>8.1999999999999993</v>
      </c>
      <c r="S80" s="242"/>
    </row>
    <row r="81" spans="1:19">
      <c r="A81" s="242" t="s">
        <v>34</v>
      </c>
      <c r="B81" s="435">
        <v>77600</v>
      </c>
      <c r="C81" s="435">
        <v>107100</v>
      </c>
      <c r="D81" s="436">
        <v>72.400000000000006</v>
      </c>
      <c r="E81" s="436">
        <v>5.9</v>
      </c>
      <c r="F81" s="435">
        <v>71200</v>
      </c>
      <c r="G81" s="435">
        <v>103300</v>
      </c>
      <c r="H81" s="436">
        <v>68.900000000000006</v>
      </c>
      <c r="I81" s="436">
        <v>6.5</v>
      </c>
      <c r="J81" s="435">
        <v>79700</v>
      </c>
      <c r="K81" s="435">
        <v>110700</v>
      </c>
      <c r="L81" s="436">
        <v>72</v>
      </c>
      <c r="M81" s="436">
        <v>6.6</v>
      </c>
      <c r="N81" s="435">
        <v>88500</v>
      </c>
      <c r="O81" s="435">
        <v>112700</v>
      </c>
      <c r="P81" s="436">
        <v>78.5</v>
      </c>
      <c r="Q81" s="436">
        <v>6.9</v>
      </c>
      <c r="S81" s="242"/>
    </row>
    <row r="82" spans="1:19">
      <c r="A82" s="242" t="s">
        <v>35</v>
      </c>
      <c r="B82" s="435">
        <v>6000</v>
      </c>
      <c r="C82" s="435">
        <v>7300</v>
      </c>
      <c r="D82" s="436">
        <v>82.4</v>
      </c>
      <c r="E82" s="436">
        <v>12.4</v>
      </c>
      <c r="F82" s="435">
        <v>4000</v>
      </c>
      <c r="G82" s="435">
        <v>6900</v>
      </c>
      <c r="H82" s="436">
        <v>58.4</v>
      </c>
      <c r="I82" s="436">
        <v>22.2</v>
      </c>
      <c r="J82" s="435">
        <v>5400</v>
      </c>
      <c r="K82" s="435">
        <v>6300</v>
      </c>
      <c r="L82" s="436">
        <v>86.4</v>
      </c>
      <c r="M82" s="436">
        <v>17.3</v>
      </c>
      <c r="N82" s="435">
        <v>6000</v>
      </c>
      <c r="O82" s="435">
        <v>7000</v>
      </c>
      <c r="P82" s="436">
        <v>85.7</v>
      </c>
      <c r="Q82" s="436">
        <v>19.8</v>
      </c>
      <c r="S82" s="242"/>
    </row>
    <row r="83" spans="1:19">
      <c r="A83" s="242" t="s">
        <v>36</v>
      </c>
      <c r="B83" s="435">
        <v>33300</v>
      </c>
      <c r="C83" s="435">
        <v>40200</v>
      </c>
      <c r="D83" s="436">
        <v>83</v>
      </c>
      <c r="E83" s="436">
        <v>4.9000000000000004</v>
      </c>
      <c r="F83" s="435">
        <v>33700</v>
      </c>
      <c r="G83" s="435">
        <v>40900</v>
      </c>
      <c r="H83" s="436">
        <v>82.5</v>
      </c>
      <c r="I83" s="436">
        <v>5.0999999999999996</v>
      </c>
      <c r="J83" s="435">
        <v>34800</v>
      </c>
      <c r="K83" s="435">
        <v>43900</v>
      </c>
      <c r="L83" s="436">
        <v>79.099999999999994</v>
      </c>
      <c r="M83" s="436">
        <v>5.8</v>
      </c>
      <c r="N83" s="435">
        <v>36300</v>
      </c>
      <c r="O83" s="435">
        <v>44400</v>
      </c>
      <c r="P83" s="436">
        <v>81.599999999999994</v>
      </c>
      <c r="Q83" s="436">
        <v>6.6</v>
      </c>
      <c r="S83" s="242"/>
    </row>
    <row r="84" spans="1:19">
      <c r="A84" s="242" t="s">
        <v>37</v>
      </c>
      <c r="B84" s="435">
        <v>42200</v>
      </c>
      <c r="C84" s="435">
        <v>53500</v>
      </c>
      <c r="D84" s="436">
        <v>78.7</v>
      </c>
      <c r="E84" s="436">
        <v>5.7</v>
      </c>
      <c r="F84" s="435">
        <v>38700</v>
      </c>
      <c r="G84" s="435">
        <v>53700</v>
      </c>
      <c r="H84" s="436">
        <v>72.099999999999994</v>
      </c>
      <c r="I84" s="436">
        <v>6.4</v>
      </c>
      <c r="J84" s="435">
        <v>37000</v>
      </c>
      <c r="K84" s="435">
        <v>54900</v>
      </c>
      <c r="L84" s="436">
        <v>67.3</v>
      </c>
      <c r="M84" s="436">
        <v>7.4</v>
      </c>
      <c r="N84" s="435">
        <v>39600</v>
      </c>
      <c r="O84" s="435">
        <v>48800</v>
      </c>
      <c r="P84" s="436">
        <v>81.099999999999994</v>
      </c>
      <c r="Q84" s="436">
        <v>7.1</v>
      </c>
      <c r="S84" s="242"/>
    </row>
    <row r="85" spans="1:19">
      <c r="A85" s="242" t="s">
        <v>38</v>
      </c>
      <c r="B85" s="435">
        <v>27400</v>
      </c>
      <c r="C85" s="435">
        <v>33200</v>
      </c>
      <c r="D85" s="436">
        <v>82.7</v>
      </c>
      <c r="E85" s="436">
        <v>5.4</v>
      </c>
      <c r="F85" s="435">
        <v>21400</v>
      </c>
      <c r="G85" s="435">
        <v>31600</v>
      </c>
      <c r="H85" s="436">
        <v>67.599999999999994</v>
      </c>
      <c r="I85" s="436">
        <v>7.1</v>
      </c>
      <c r="J85" s="435">
        <v>25400</v>
      </c>
      <c r="K85" s="435">
        <v>32300</v>
      </c>
      <c r="L85" s="436">
        <v>78.7</v>
      </c>
      <c r="M85" s="436">
        <v>6.2</v>
      </c>
      <c r="N85" s="435">
        <v>24200</v>
      </c>
      <c r="O85" s="435">
        <v>31600</v>
      </c>
      <c r="P85" s="436">
        <v>76.599999999999994</v>
      </c>
      <c r="Q85" s="436">
        <v>8.1</v>
      </c>
      <c r="S85" s="242"/>
    </row>
    <row r="86" spans="1:19">
      <c r="A86" s="242" t="s">
        <v>39</v>
      </c>
      <c r="B86" s="435">
        <v>5600</v>
      </c>
      <c r="C86" s="435">
        <v>7100</v>
      </c>
      <c r="D86" s="436">
        <v>79</v>
      </c>
      <c r="E86" s="436">
        <v>16.3</v>
      </c>
      <c r="F86" s="435">
        <v>4300</v>
      </c>
      <c r="G86" s="435">
        <v>5900</v>
      </c>
      <c r="H86" s="436">
        <v>71.8</v>
      </c>
      <c r="I86" s="436">
        <v>23.6</v>
      </c>
      <c r="J86" s="435">
        <v>5300</v>
      </c>
      <c r="K86" s="435">
        <v>7100</v>
      </c>
      <c r="L86" s="436">
        <v>74.7</v>
      </c>
      <c r="M86" s="436">
        <v>21.3</v>
      </c>
      <c r="N86" s="435">
        <v>6200</v>
      </c>
      <c r="O86" s="435">
        <v>7100</v>
      </c>
      <c r="P86" s="436">
        <v>87.2</v>
      </c>
      <c r="Q86" s="436">
        <v>18.2</v>
      </c>
      <c r="S86" s="242"/>
    </row>
    <row r="87" spans="1:19">
      <c r="A87" s="242" t="s">
        <v>40</v>
      </c>
      <c r="B87" s="435">
        <v>22300</v>
      </c>
      <c r="C87" s="435">
        <v>31900</v>
      </c>
      <c r="D87" s="436">
        <v>70.099999999999994</v>
      </c>
      <c r="E87" s="436">
        <v>6.4</v>
      </c>
      <c r="F87" s="435">
        <v>22800</v>
      </c>
      <c r="G87" s="435">
        <v>34100</v>
      </c>
      <c r="H87" s="436">
        <v>66.8</v>
      </c>
      <c r="I87" s="436">
        <v>7</v>
      </c>
      <c r="J87" s="435">
        <v>19900</v>
      </c>
      <c r="K87" s="435">
        <v>30700</v>
      </c>
      <c r="L87" s="436">
        <v>65</v>
      </c>
      <c r="M87" s="436">
        <v>7.7</v>
      </c>
      <c r="N87" s="435">
        <v>19200</v>
      </c>
      <c r="O87" s="435">
        <v>31400</v>
      </c>
      <c r="P87" s="436">
        <v>61.2</v>
      </c>
      <c r="Q87" s="436">
        <v>9.5</v>
      </c>
      <c r="S87" s="242"/>
    </row>
    <row r="88" spans="1:19">
      <c r="A88" s="242" t="s">
        <v>41</v>
      </c>
      <c r="B88" s="435">
        <v>74300</v>
      </c>
      <c r="C88" s="435">
        <v>93100</v>
      </c>
      <c r="D88" s="436">
        <v>79.8</v>
      </c>
      <c r="E88" s="436">
        <v>5.0999999999999996</v>
      </c>
      <c r="F88" s="435">
        <v>77900</v>
      </c>
      <c r="G88" s="435">
        <v>94200</v>
      </c>
      <c r="H88" s="436">
        <v>82.7</v>
      </c>
      <c r="I88" s="436">
        <v>5.0999999999999996</v>
      </c>
      <c r="J88" s="435">
        <v>78500</v>
      </c>
      <c r="K88" s="435">
        <v>93800</v>
      </c>
      <c r="L88" s="436">
        <v>83.6</v>
      </c>
      <c r="M88" s="436">
        <v>5</v>
      </c>
      <c r="N88" s="435">
        <v>80000</v>
      </c>
      <c r="O88" s="435">
        <v>96800</v>
      </c>
      <c r="P88" s="436">
        <v>82.6</v>
      </c>
      <c r="Q88" s="436">
        <v>6.2</v>
      </c>
      <c r="S88" s="242"/>
    </row>
    <row r="89" spans="1:19">
      <c r="A89" s="242" t="s">
        <v>42</v>
      </c>
      <c r="B89" s="435">
        <v>22700</v>
      </c>
      <c r="C89" s="435">
        <v>30700</v>
      </c>
      <c r="D89" s="436">
        <v>73.900000000000006</v>
      </c>
      <c r="E89" s="436">
        <v>5.8</v>
      </c>
      <c r="F89" s="435">
        <v>21900</v>
      </c>
      <c r="G89" s="435">
        <v>29100</v>
      </c>
      <c r="H89" s="436">
        <v>75</v>
      </c>
      <c r="I89" s="436">
        <v>6.6</v>
      </c>
      <c r="J89" s="435">
        <v>22000</v>
      </c>
      <c r="K89" s="435">
        <v>28300</v>
      </c>
      <c r="L89" s="436">
        <v>77.7</v>
      </c>
      <c r="M89" s="436">
        <v>5.7</v>
      </c>
      <c r="N89" s="435">
        <v>23700</v>
      </c>
      <c r="O89" s="435">
        <v>30300</v>
      </c>
      <c r="P89" s="436">
        <v>78.3</v>
      </c>
      <c r="Q89" s="436">
        <v>6.2</v>
      </c>
      <c r="S89" s="242"/>
    </row>
    <row r="90" spans="1:19">
      <c r="A90" s="242" t="s">
        <v>43</v>
      </c>
      <c r="B90" s="435">
        <v>20700</v>
      </c>
      <c r="C90" s="435">
        <v>27900</v>
      </c>
      <c r="D90" s="436">
        <v>74.400000000000006</v>
      </c>
      <c r="E90" s="436">
        <v>5.4</v>
      </c>
      <c r="F90" s="435">
        <v>19500</v>
      </c>
      <c r="G90" s="435">
        <v>26300</v>
      </c>
      <c r="H90" s="436">
        <v>74.099999999999994</v>
      </c>
      <c r="I90" s="436">
        <v>6.1</v>
      </c>
      <c r="J90" s="435">
        <v>21500</v>
      </c>
      <c r="K90" s="435">
        <v>28000</v>
      </c>
      <c r="L90" s="436">
        <v>76.8</v>
      </c>
      <c r="M90" s="436">
        <v>6</v>
      </c>
      <c r="N90" s="435">
        <v>19700</v>
      </c>
      <c r="O90" s="435">
        <v>27600</v>
      </c>
      <c r="P90" s="436">
        <v>71.3</v>
      </c>
      <c r="Q90" s="436">
        <v>7.1</v>
      </c>
      <c r="S90" s="242"/>
    </row>
    <row r="91" spans="1:19">
      <c r="A91" s="242" t="s">
        <v>44</v>
      </c>
      <c r="B91" s="435">
        <v>42400</v>
      </c>
      <c r="C91" s="435">
        <v>56100</v>
      </c>
      <c r="D91" s="436">
        <v>75.599999999999994</v>
      </c>
      <c r="E91" s="436">
        <v>5.9</v>
      </c>
      <c r="F91" s="435">
        <v>43400</v>
      </c>
      <c r="G91" s="435">
        <v>55900</v>
      </c>
      <c r="H91" s="436">
        <v>77.599999999999994</v>
      </c>
      <c r="I91" s="436">
        <v>6.4</v>
      </c>
      <c r="J91" s="435">
        <v>45300</v>
      </c>
      <c r="K91" s="435">
        <v>57600</v>
      </c>
      <c r="L91" s="436">
        <v>78.5</v>
      </c>
      <c r="M91" s="436">
        <v>5.8</v>
      </c>
      <c r="N91" s="435">
        <v>44800</v>
      </c>
      <c r="O91" s="435">
        <v>55400</v>
      </c>
      <c r="P91" s="436">
        <v>80.900000000000006</v>
      </c>
      <c r="Q91" s="436">
        <v>6.7</v>
      </c>
    </row>
    <row r="92" spans="1:19">
      <c r="A92" s="242" t="s">
        <v>45</v>
      </c>
      <c r="B92" s="435">
        <v>1272800</v>
      </c>
      <c r="C92" s="435">
        <v>1678500</v>
      </c>
      <c r="D92" s="436">
        <v>75.8</v>
      </c>
      <c r="E92" s="436">
        <v>1</v>
      </c>
      <c r="F92" s="435">
        <v>1269300</v>
      </c>
      <c r="G92" s="435">
        <v>1674400</v>
      </c>
      <c r="H92" s="436">
        <v>75.8</v>
      </c>
      <c r="I92" s="436">
        <v>1.1000000000000001</v>
      </c>
      <c r="J92" s="435">
        <v>1280100</v>
      </c>
      <c r="K92" s="435">
        <v>1680200</v>
      </c>
      <c r="L92" s="436">
        <v>76.2</v>
      </c>
      <c r="M92" s="436">
        <v>1.2</v>
      </c>
      <c r="N92" s="435">
        <v>1297200</v>
      </c>
      <c r="O92" s="435">
        <v>1686500</v>
      </c>
      <c r="P92" s="436">
        <v>76.900000000000006</v>
      </c>
      <c r="Q92" s="436">
        <v>1.3</v>
      </c>
    </row>
    <row r="93" spans="1:19">
      <c r="A93" s="242" t="s">
        <v>46</v>
      </c>
      <c r="B93" s="435">
        <v>16168500</v>
      </c>
      <c r="C93" s="435">
        <v>20589500</v>
      </c>
      <c r="D93" s="436">
        <v>78.5</v>
      </c>
      <c r="E93" s="436">
        <v>0.3</v>
      </c>
      <c r="F93" s="435">
        <v>16072800</v>
      </c>
      <c r="G93" s="435">
        <v>20597600</v>
      </c>
      <c r="H93" s="436">
        <v>78</v>
      </c>
      <c r="I93" s="436">
        <v>0.3</v>
      </c>
      <c r="J93" s="435">
        <v>16293200</v>
      </c>
      <c r="K93" s="435">
        <v>20669400</v>
      </c>
      <c r="L93" s="436">
        <v>78.8</v>
      </c>
      <c r="M93" s="436">
        <v>0.4</v>
      </c>
      <c r="N93" s="435">
        <v>16451700</v>
      </c>
      <c r="O93" s="435">
        <v>20750900</v>
      </c>
      <c r="P93" s="436">
        <v>79.3</v>
      </c>
      <c r="Q93" s="436">
        <v>0.4</v>
      </c>
    </row>
    <row r="94" spans="1:19">
      <c r="A94" s="242" t="s">
        <v>47</v>
      </c>
      <c r="B94" s="435">
        <v>433500</v>
      </c>
      <c r="C94" s="435">
        <v>575600</v>
      </c>
      <c r="D94" s="436">
        <v>75.3</v>
      </c>
      <c r="E94" s="436">
        <v>1.9</v>
      </c>
      <c r="F94" s="435">
        <v>423200</v>
      </c>
      <c r="G94" s="435">
        <v>560100</v>
      </c>
      <c r="H94" s="436">
        <v>75.5</v>
      </c>
      <c r="I94" s="436">
        <v>2</v>
      </c>
      <c r="J94" s="435">
        <v>433600</v>
      </c>
      <c r="K94" s="435">
        <v>573100</v>
      </c>
      <c r="L94" s="436">
        <v>75.7</v>
      </c>
      <c r="M94" s="436">
        <v>2.2000000000000002</v>
      </c>
      <c r="N94" s="435">
        <v>439200</v>
      </c>
      <c r="O94" s="435">
        <v>579000</v>
      </c>
      <c r="P94" s="436">
        <v>75.900000000000006</v>
      </c>
      <c r="Q94" s="436">
        <v>2.5</v>
      </c>
    </row>
    <row r="95" spans="1:19">
      <c r="A95" s="198" t="s">
        <v>543</v>
      </c>
      <c r="B95" s="385">
        <f>SUM(SUMIFS(B$60:B$91,$A$60:$A$91,{"Na h-Eileanan Siar","Argyll and Bute","Shetland Islands","Highland","Orkney Islands","Scottish Borders","Dumfries and Galloway","Aberdeenshire"}))</f>
        <v>214100</v>
      </c>
      <c r="C95" s="385">
        <f>SUM(SUMIFS(C$60:C$91,$A$60:$A$91,{"Na h-Eileanan Siar","Argyll and Bute","Shetland Islands","Highland","Orkney Islands","Scottish Borders","Dumfries and Galloway","Aberdeenshire"}))</f>
        <v>266800</v>
      </c>
      <c r="D95" s="386">
        <f>SUM(B95/C95)*100</f>
        <v>80.247376311844079</v>
      </c>
      <c r="E95" s="241"/>
      <c r="F95" s="385">
        <f>SUM(SUMIFS(F$60:F$91,$A$60:$A$91,{"Na h-Eileanan Siar","Argyll and Bute","Shetland Islands","Highland","Orkney Islands","Scottish Borders","Dumfries and Galloway","Aberdeenshire"}))</f>
        <v>202300</v>
      </c>
      <c r="G95" s="385">
        <f>SUM(SUMIFS(G$60:G$91,$A$60:$A$91,{"Na h-Eileanan Siar","Argyll and Bute","Shetland Islands","Highland","Orkney Islands","Scottish Borders","Dumfries and Galloway","Aberdeenshire"}))</f>
        <v>270500</v>
      </c>
      <c r="H95" s="386">
        <f t="shared" ref="H95:H98" si="4">SUM(F95/G95)*100</f>
        <v>74.787430683918672</v>
      </c>
      <c r="I95" s="241"/>
      <c r="J95" s="385">
        <f>SUM(SUMIFS(J$60:J$91,$A$60:$A$91,{"Na h-Eileanan Siar","Argyll and Bute","Shetland Islands","Highland","Orkney Islands","Scottish Borders","Dumfries and Galloway","Aberdeenshire"}))</f>
        <v>208100</v>
      </c>
      <c r="K95" s="385">
        <f>SUM(SUMIFS(K$60:K$91,$A$60:$A$91,{"Na h-Eileanan Siar","Argyll and Bute","Shetland Islands","Highland","Orkney Islands","Scottish Borders","Dumfries and Galloway","Aberdeenshire"}))</f>
        <v>270400</v>
      </c>
      <c r="L95" s="386">
        <f t="shared" ref="L95:L98" si="5">SUM(J95/K95)*100</f>
        <v>76.960059171597635</v>
      </c>
      <c r="M95" s="241"/>
      <c r="N95" s="385">
        <f>SUM(SUMIFS(N$60:N$91,$A$60:$A$91,{"Na h-Eileanan Siar","Argyll and Bute","Shetland Islands","Highland","Orkney Islands","Scottish Borders","Dumfries and Galloway","Aberdeenshire"}))</f>
        <v>216500</v>
      </c>
      <c r="O95" s="385">
        <f>SUM(SUMIFS(O$60:O$91,$A$60:$A$91,{"Na h-Eileanan Siar","Argyll and Bute","Shetland Islands","Highland","Orkney Islands","Scottish Borders","Dumfries and Galloway","Aberdeenshire"}))</f>
        <v>281800</v>
      </c>
      <c r="P95" s="386">
        <f t="shared" ref="P95:P98" si="6">SUM(N95/O95)*100</f>
        <v>76.827537260468418</v>
      </c>
      <c r="Q95" s="241"/>
    </row>
    <row r="96" spans="1:19">
      <c r="A96" s="198" t="s">
        <v>544</v>
      </c>
      <c r="B96" s="385">
        <f>SUM(SUMIFS(B$60:B$91,$A$60:$A$91,{"Perth and Kinross","Stirling","Moray","South Ayrshire","East Ayrshire","East Lothian","North Ayrshire","Fife"}))</f>
        <v>261500</v>
      </c>
      <c r="C96" s="385">
        <f>SUM(SUMIFS(C$60:C$91,$A$60:$A$91,{"Perth and Kinross","Stirling","Moray","South Ayrshire","East Ayrshire","East Lothian","North Ayrshire","Fife"}))</f>
        <v>348300</v>
      </c>
      <c r="D96" s="386">
        <f t="shared" ref="D96:D98" si="7">SUM(B96/C96)*100</f>
        <v>75.078954923916157</v>
      </c>
      <c r="E96" s="241"/>
      <c r="F96" s="385">
        <f>SUM(SUMIFS(F$60:F$91,$A$60:$A$91,{"Perth and Kinross","Stirling","Moray","South Ayrshire","East Ayrshire","East Lothian","North Ayrshire","Fife"}))</f>
        <v>254300</v>
      </c>
      <c r="G96" s="385">
        <f>SUM(SUMIFS(G$60:G$91,$A$60:$A$91,{"Perth and Kinross","Stirling","Moray","South Ayrshire","East Ayrshire","East Lothian","North Ayrshire","Fife"}))</f>
        <v>350000</v>
      </c>
      <c r="H96" s="386">
        <f t="shared" si="4"/>
        <v>72.657142857142858</v>
      </c>
      <c r="I96" s="241"/>
      <c r="J96" s="385">
        <f>SUM(SUMIFS(J$60:J$91,$A$60:$A$91,{"Perth and Kinross","Stirling","Moray","South Ayrshire","East Ayrshire","East Lothian","North Ayrshire","Fife"}))</f>
        <v>267600</v>
      </c>
      <c r="K96" s="385">
        <f>SUM(SUMIFS(K$60:K$91,$A$60:$A$91,{"Perth and Kinross","Stirling","Moray","South Ayrshire","East Ayrshire","East Lothian","North Ayrshire","Fife"}))</f>
        <v>350500</v>
      </c>
      <c r="L96" s="386">
        <f t="shared" si="5"/>
        <v>76.348074179743222</v>
      </c>
      <c r="M96" s="241"/>
      <c r="N96" s="385">
        <f>SUM(SUMIFS(N$60:N$91,$A$60:$A$91,{"Perth and Kinross","Stirling","Moray","South Ayrshire","East Ayrshire","East Lothian","North Ayrshire","Fife"}))</f>
        <v>261900</v>
      </c>
      <c r="O96" s="385">
        <f>SUM(SUMIFS(O$60:O$91,$A$60:$A$91,{"Perth and Kinross","Stirling","Moray","South Ayrshire","East Ayrshire","East Lothian","North Ayrshire","Fife"}))</f>
        <v>344700</v>
      </c>
      <c r="P96" s="386">
        <f t="shared" si="6"/>
        <v>75.979112271540473</v>
      </c>
      <c r="Q96" s="241"/>
    </row>
    <row r="97" spans="1:17">
      <c r="A97" s="198" t="s">
        <v>545</v>
      </c>
      <c r="B97" s="385">
        <f>SUM(SUMIFS(B$60:B$91,$A$60:$A$91,{"Angus","Clackmannanshire","Midlothian","South Lanarkshire","Inverclyde","Renfrewshire","West Lothian","East Renfrewshire"}))</f>
        <v>254700</v>
      </c>
      <c r="C97" s="385">
        <f>SUM(SUMIFS(C$60:C$91,$A$60:$A$91,{"Angus","Clackmannanshire","Midlothian","South Lanarkshire","Inverclyde","Renfrewshire","West Lothian","East Renfrewshire"}))</f>
        <v>330700</v>
      </c>
      <c r="D97" s="386">
        <f t="shared" si="7"/>
        <v>77.018445721197466</v>
      </c>
      <c r="E97" s="241"/>
      <c r="F97" s="385">
        <f>SUM(SUMIFS(F$60:F$91,$A$60:$A$91,{"Angus","Clackmannanshire","Midlothian","South Lanarkshire","Inverclyde","Renfrewshire","West Lothian","East Renfrewshire"}))</f>
        <v>258200</v>
      </c>
      <c r="G97" s="385">
        <f>SUM(SUMIFS(G$60:G$91,$A$60:$A$91,{"Angus","Clackmannanshire","Midlothian","South Lanarkshire","Inverclyde","Renfrewshire","West Lothian","East Renfrewshire"}))</f>
        <v>333400</v>
      </c>
      <c r="H97" s="386">
        <f t="shared" si="4"/>
        <v>77.444511097780449</v>
      </c>
      <c r="I97" s="241"/>
      <c r="J97" s="385">
        <f>SUM(SUMIFS(J$60:J$91,$A$60:$A$91,{"Angus","Clackmannanshire","Midlothian","South Lanarkshire","Inverclyde","Renfrewshire","West Lothian","East Renfrewshire"}))</f>
        <v>254000</v>
      </c>
      <c r="K97" s="385">
        <f>SUM(SUMIFS(K$60:K$91,$A$60:$A$91,{"Angus","Clackmannanshire","Midlothian","South Lanarkshire","Inverclyde","Renfrewshire","West Lothian","East Renfrewshire"}))</f>
        <v>329300</v>
      </c>
      <c r="L97" s="386">
        <f t="shared" si="5"/>
        <v>77.133313088369277</v>
      </c>
      <c r="M97" s="241"/>
      <c r="N97" s="385">
        <f>SUM(SUMIFS(N$60:N$91,$A$60:$A$91,{"Angus","Clackmannanshire","Midlothian","South Lanarkshire","Inverclyde","Renfrewshire","West Lothian","East Renfrewshire"}))</f>
        <v>257100</v>
      </c>
      <c r="O97" s="385">
        <f>SUM(SUMIFS(O$60:O$91,$A$60:$A$91,{"Angus","Clackmannanshire","Midlothian","South Lanarkshire","Inverclyde","Renfrewshire","West Lothian","East Renfrewshire"}))</f>
        <v>323700</v>
      </c>
      <c r="P97" s="386">
        <f t="shared" si="6"/>
        <v>79.425393883225198</v>
      </c>
      <c r="Q97" s="241"/>
    </row>
    <row r="98" spans="1:17">
      <c r="A98" s="198" t="s">
        <v>546</v>
      </c>
      <c r="B98" s="385">
        <f>SUM(SUMIFS(B$60:B$91,$A$60:$A$91,{"North Lanarkshire","Falkirk","East Dunbartonshire","Aberdeen City","Edinburgh, City of","West Dunbartonshire","Dundee City","Glasgow City"}))</f>
        <v>542400</v>
      </c>
      <c r="C98" s="385">
        <f>SUM(SUMIFS(C$60:C$91,$A$60:$A$91,{"North Lanarkshire","Falkirk","East Dunbartonshire","Aberdeen City","Edinburgh, City of","West Dunbartonshire","Dundee City","Glasgow City"}))</f>
        <v>732600</v>
      </c>
      <c r="D98" s="386">
        <f t="shared" si="7"/>
        <v>74.037674037674037</v>
      </c>
      <c r="E98" s="241"/>
      <c r="F98" s="385">
        <f>SUM(SUMIFS(F$60:F$91,$A$60:$A$91,{"North Lanarkshire","Falkirk","East Dunbartonshire","Aberdeen City","Edinburgh, City of","West Dunbartonshire","Dundee City","Glasgow City"}))</f>
        <v>554600</v>
      </c>
      <c r="G98" s="385">
        <f>SUM(SUMIFS(G$60:G$91,$A$60:$A$91,{"North Lanarkshire","Falkirk","East Dunbartonshire","Aberdeen City","Edinburgh, City of","West Dunbartonshire","Dundee City","Glasgow City"}))</f>
        <v>720400</v>
      </c>
      <c r="H98" s="386">
        <f t="shared" si="4"/>
        <v>76.985008328706272</v>
      </c>
      <c r="I98" s="241"/>
      <c r="J98" s="385">
        <f>SUM(SUMIFS(J$60:J$91,$A$60:$A$91,{"North Lanarkshire","Falkirk","East Dunbartonshire","Aberdeen City","Edinburgh, City of","West Dunbartonshire","Dundee City","Glasgow City"}))</f>
        <v>550500</v>
      </c>
      <c r="K98" s="385">
        <f>SUM(SUMIFS(K$60:K$91,$A$60:$A$91,{"North Lanarkshire","Falkirk","East Dunbartonshire","Aberdeen City","Edinburgh, City of","West Dunbartonshire","Dundee City","Glasgow City"}))</f>
        <v>730000</v>
      </c>
      <c r="L98" s="386">
        <f t="shared" si="5"/>
        <v>75.410958904109592</v>
      </c>
      <c r="M98" s="241"/>
      <c r="N98" s="385">
        <f>SUM(SUMIFS(N$60:N$91,$A$60:$A$91,{"North Lanarkshire","Falkirk","East Dunbartonshire","Aberdeen City","Edinburgh, City of","West Dunbartonshire","Dundee City","Glasgow City"}))</f>
        <v>561800</v>
      </c>
      <c r="O98" s="385">
        <f>SUM(SUMIFS(O$60:O$91,$A$60:$A$91,{"North Lanarkshire","Falkirk","East Dunbartonshire","Aberdeen City","Edinburgh, City of","West Dunbartonshire","Dundee City","Glasgow City"}))</f>
        <v>736100</v>
      </c>
      <c r="P98" s="386">
        <f t="shared" si="6"/>
        <v>76.32115201738894</v>
      </c>
      <c r="Q98" s="241"/>
    </row>
    <row r="102" spans="1:17" ht="15.5">
      <c r="A102" s="1" t="s">
        <v>0</v>
      </c>
      <c r="B102"/>
      <c r="C102"/>
      <c r="D102"/>
      <c r="E102"/>
      <c r="F102"/>
      <c r="G102"/>
      <c r="H102"/>
      <c r="I102"/>
      <c r="J102"/>
      <c r="K102"/>
      <c r="L102"/>
      <c r="M102"/>
      <c r="N102"/>
      <c r="O102"/>
      <c r="P102"/>
      <c r="Q102"/>
    </row>
    <row r="103" spans="1:17">
      <c r="A103" s="2" t="s">
        <v>611</v>
      </c>
      <c r="B103"/>
      <c r="C103"/>
      <c r="D103"/>
      <c r="E103"/>
      <c r="F103"/>
      <c r="G103"/>
      <c r="H103"/>
      <c r="I103"/>
      <c r="J103"/>
      <c r="K103"/>
      <c r="L103"/>
      <c r="M103"/>
      <c r="N103"/>
      <c r="O103"/>
      <c r="P103"/>
      <c r="Q103"/>
    </row>
    <row r="104" spans="1:17">
      <c r="A104"/>
      <c r="B104"/>
      <c r="C104"/>
      <c r="D104"/>
      <c r="E104"/>
      <c r="F104"/>
      <c r="G104"/>
      <c r="H104"/>
      <c r="I104"/>
      <c r="J104"/>
      <c r="K104"/>
      <c r="L104"/>
      <c r="M104"/>
      <c r="N104"/>
      <c r="O104"/>
      <c r="P104"/>
      <c r="Q104"/>
    </row>
    <row r="105" spans="1:17">
      <c r="A105" s="242" t="s">
        <v>1</v>
      </c>
      <c r="B105" s="242" t="s">
        <v>2</v>
      </c>
      <c r="C105"/>
      <c r="D105"/>
      <c r="E105"/>
      <c r="F105"/>
      <c r="G105"/>
      <c r="H105"/>
      <c r="I105"/>
      <c r="J105"/>
      <c r="K105"/>
      <c r="L105"/>
      <c r="M105"/>
      <c r="N105"/>
      <c r="O105"/>
      <c r="P105"/>
      <c r="Q105"/>
    </row>
    <row r="106" spans="1:17">
      <c r="A106" s="242" t="s">
        <v>3</v>
      </c>
      <c r="B106" s="242" t="s">
        <v>169</v>
      </c>
      <c r="C106"/>
      <c r="D106"/>
      <c r="E106"/>
      <c r="F106"/>
      <c r="G106"/>
      <c r="H106"/>
      <c r="I106"/>
      <c r="J106"/>
      <c r="K106"/>
      <c r="L106"/>
      <c r="M106"/>
      <c r="N106"/>
      <c r="O106"/>
      <c r="P106"/>
      <c r="Q106"/>
    </row>
    <row r="107" spans="1:17">
      <c r="A107"/>
      <c r="B107"/>
      <c r="C107"/>
      <c r="D107"/>
      <c r="E107"/>
      <c r="F107"/>
      <c r="G107"/>
      <c r="H107"/>
      <c r="I107"/>
      <c r="J107"/>
      <c r="K107"/>
      <c r="L107"/>
      <c r="M107"/>
      <c r="N107"/>
      <c r="O107"/>
      <c r="P107"/>
      <c r="Q107"/>
    </row>
    <row r="108" spans="1:17" ht="22" customHeight="1">
      <c r="A108" s="12" t="s">
        <v>5</v>
      </c>
      <c r="B108" s="607" t="s">
        <v>525</v>
      </c>
      <c r="C108" s="604"/>
      <c r="D108" s="604"/>
      <c r="E108" s="604"/>
      <c r="F108" s="607" t="s">
        <v>598</v>
      </c>
      <c r="G108" s="604"/>
      <c r="H108" s="604"/>
      <c r="I108" s="604"/>
      <c r="J108" s="607" t="s">
        <v>705</v>
      </c>
      <c r="K108" s="604"/>
      <c r="L108" s="604"/>
      <c r="M108" s="604"/>
      <c r="N108" s="607" t="s">
        <v>754</v>
      </c>
      <c r="O108" s="604"/>
      <c r="P108" s="604"/>
      <c r="Q108" s="604"/>
    </row>
    <row r="109" spans="1:17" ht="26.15" customHeight="1">
      <c r="A109"/>
      <c r="B109" s="454" t="s">
        <v>6</v>
      </c>
      <c r="C109" s="454" t="s">
        <v>7</v>
      </c>
      <c r="D109" s="454" t="s">
        <v>8</v>
      </c>
      <c r="E109" s="454" t="s">
        <v>9</v>
      </c>
      <c r="F109" s="454" t="s">
        <v>6</v>
      </c>
      <c r="G109" s="454" t="s">
        <v>7</v>
      </c>
      <c r="H109" s="454" t="s">
        <v>8</v>
      </c>
      <c r="I109" s="454" t="s">
        <v>9</v>
      </c>
      <c r="J109" s="454" t="s">
        <v>6</v>
      </c>
      <c r="K109" s="454" t="s">
        <v>7</v>
      </c>
      <c r="L109" s="454" t="s">
        <v>8</v>
      </c>
      <c r="M109" s="454" t="s">
        <v>9</v>
      </c>
      <c r="N109" s="454" t="s">
        <v>6</v>
      </c>
      <c r="O109" s="454" t="s">
        <v>7</v>
      </c>
      <c r="P109" s="454" t="s">
        <v>8</v>
      </c>
      <c r="Q109" s="454" t="s">
        <v>9</v>
      </c>
    </row>
    <row r="110" spans="1:17">
      <c r="A110" s="242" t="s">
        <v>14</v>
      </c>
      <c r="B110" s="435">
        <v>53800</v>
      </c>
      <c r="C110" s="435">
        <v>73900</v>
      </c>
      <c r="D110" s="436">
        <v>72.8</v>
      </c>
      <c r="E110" s="436">
        <v>6.1</v>
      </c>
      <c r="F110" s="435">
        <v>53200</v>
      </c>
      <c r="G110" s="435">
        <v>70000</v>
      </c>
      <c r="H110" s="436">
        <v>76.099999999999994</v>
      </c>
      <c r="I110" s="436">
        <v>5.9</v>
      </c>
      <c r="J110" s="435">
        <v>53100</v>
      </c>
      <c r="K110" s="435">
        <v>75400</v>
      </c>
      <c r="L110" s="436">
        <v>70.5</v>
      </c>
      <c r="M110" s="436">
        <v>6.6</v>
      </c>
      <c r="N110" s="435">
        <v>58000</v>
      </c>
      <c r="O110" s="435">
        <v>79800</v>
      </c>
      <c r="P110" s="436">
        <v>72.8</v>
      </c>
      <c r="Q110" s="436">
        <v>7</v>
      </c>
    </row>
    <row r="111" spans="1:17">
      <c r="A111" s="242" t="s">
        <v>15</v>
      </c>
      <c r="B111" s="435">
        <v>63800</v>
      </c>
      <c r="C111" s="435">
        <v>83800</v>
      </c>
      <c r="D111" s="436">
        <v>76.099999999999994</v>
      </c>
      <c r="E111" s="436">
        <v>5.2</v>
      </c>
      <c r="F111" s="435">
        <v>55800</v>
      </c>
      <c r="G111" s="435">
        <v>81000</v>
      </c>
      <c r="H111" s="436">
        <v>68.8</v>
      </c>
      <c r="I111" s="436">
        <v>5.9</v>
      </c>
      <c r="J111" s="435">
        <v>64600</v>
      </c>
      <c r="K111" s="435">
        <v>86800</v>
      </c>
      <c r="L111" s="436">
        <v>74.400000000000006</v>
      </c>
      <c r="M111" s="436">
        <v>5.9</v>
      </c>
      <c r="N111" s="435">
        <v>69900</v>
      </c>
      <c r="O111" s="435">
        <v>83500</v>
      </c>
      <c r="P111" s="436">
        <v>83.7</v>
      </c>
      <c r="Q111" s="436">
        <v>6.4</v>
      </c>
    </row>
    <row r="112" spans="1:17">
      <c r="A112" s="242" t="s">
        <v>16</v>
      </c>
      <c r="B112" s="435">
        <v>23700</v>
      </c>
      <c r="C112" s="435">
        <v>34600</v>
      </c>
      <c r="D112" s="436">
        <v>68.3</v>
      </c>
      <c r="E112" s="436">
        <v>5.3</v>
      </c>
      <c r="F112" s="435">
        <v>25500</v>
      </c>
      <c r="G112" s="435">
        <v>36200</v>
      </c>
      <c r="H112" s="436">
        <v>70.400000000000006</v>
      </c>
      <c r="I112" s="436">
        <v>5.9</v>
      </c>
      <c r="J112" s="435">
        <v>26600</v>
      </c>
      <c r="K112" s="435">
        <v>36900</v>
      </c>
      <c r="L112" s="436">
        <v>71.900000000000006</v>
      </c>
      <c r="M112" s="436">
        <v>5.9</v>
      </c>
      <c r="N112" s="435">
        <v>26500</v>
      </c>
      <c r="O112" s="435">
        <v>37400</v>
      </c>
      <c r="P112" s="436">
        <v>70.900000000000006</v>
      </c>
      <c r="Q112" s="436">
        <v>7.9</v>
      </c>
    </row>
    <row r="113" spans="1:17">
      <c r="A113" s="242" t="s">
        <v>17</v>
      </c>
      <c r="B113" s="435">
        <v>18500</v>
      </c>
      <c r="C113" s="435">
        <v>25300</v>
      </c>
      <c r="D113" s="436">
        <v>73.099999999999994</v>
      </c>
      <c r="E113" s="436">
        <v>5.3</v>
      </c>
      <c r="F113" s="435">
        <v>18000</v>
      </c>
      <c r="G113" s="435">
        <v>24800</v>
      </c>
      <c r="H113" s="436">
        <v>72.599999999999994</v>
      </c>
      <c r="I113" s="436">
        <v>6.1</v>
      </c>
      <c r="J113" s="435">
        <v>18800</v>
      </c>
      <c r="K113" s="435">
        <v>24300</v>
      </c>
      <c r="L113" s="436">
        <v>77.2</v>
      </c>
      <c r="M113" s="436">
        <v>6.6</v>
      </c>
      <c r="N113" s="435">
        <v>16300</v>
      </c>
      <c r="O113" s="435">
        <v>23800</v>
      </c>
      <c r="P113" s="436">
        <v>68.5</v>
      </c>
      <c r="Q113" s="436">
        <v>9.4</v>
      </c>
    </row>
    <row r="114" spans="1:17">
      <c r="A114" s="198" t="s">
        <v>189</v>
      </c>
      <c r="B114" s="435">
        <v>132900</v>
      </c>
      <c r="C114" s="435">
        <v>181200</v>
      </c>
      <c r="D114" s="436">
        <v>73.400000000000006</v>
      </c>
      <c r="E114" s="436">
        <v>4.8</v>
      </c>
      <c r="F114" s="435">
        <v>131500</v>
      </c>
      <c r="G114" s="435">
        <v>173200</v>
      </c>
      <c r="H114" s="436">
        <v>76</v>
      </c>
      <c r="I114" s="436">
        <v>4.8</v>
      </c>
      <c r="J114" s="435">
        <v>146100</v>
      </c>
      <c r="K114" s="435">
        <v>181800</v>
      </c>
      <c r="L114" s="436">
        <v>80.400000000000006</v>
      </c>
      <c r="M114" s="436">
        <v>4.8</v>
      </c>
      <c r="N114" s="435">
        <v>146600</v>
      </c>
      <c r="O114" s="435">
        <v>181900</v>
      </c>
      <c r="P114" s="436">
        <v>80.599999999999994</v>
      </c>
      <c r="Q114" s="436">
        <v>5.3</v>
      </c>
    </row>
    <row r="115" spans="1:17">
      <c r="A115" s="242" t="s">
        <v>18</v>
      </c>
      <c r="B115" s="435">
        <v>11700</v>
      </c>
      <c r="C115" s="435">
        <v>16000</v>
      </c>
      <c r="D115" s="436">
        <v>73.2</v>
      </c>
      <c r="E115" s="436">
        <v>7.5</v>
      </c>
      <c r="F115" s="435">
        <v>12200</v>
      </c>
      <c r="G115" s="435">
        <v>16200</v>
      </c>
      <c r="H115" s="436">
        <v>75.400000000000006</v>
      </c>
      <c r="I115" s="436">
        <v>8.9</v>
      </c>
      <c r="J115" s="435">
        <v>11100</v>
      </c>
      <c r="K115" s="435">
        <v>16900</v>
      </c>
      <c r="L115" s="436">
        <v>65.7</v>
      </c>
      <c r="M115" s="436">
        <v>7.8</v>
      </c>
      <c r="N115" s="435">
        <v>12800</v>
      </c>
      <c r="O115" s="435">
        <v>18600</v>
      </c>
      <c r="P115" s="436">
        <v>68.900000000000006</v>
      </c>
      <c r="Q115" s="436">
        <v>8.8000000000000007</v>
      </c>
    </row>
    <row r="116" spans="1:17">
      <c r="A116" s="242" t="s">
        <v>19</v>
      </c>
      <c r="B116" s="435">
        <v>30900</v>
      </c>
      <c r="C116" s="435">
        <v>47800</v>
      </c>
      <c r="D116" s="436">
        <v>64.5</v>
      </c>
      <c r="E116" s="436">
        <v>6</v>
      </c>
      <c r="F116" s="435">
        <v>30400</v>
      </c>
      <c r="G116" s="435">
        <v>43900</v>
      </c>
      <c r="H116" s="436">
        <v>69.400000000000006</v>
      </c>
      <c r="I116" s="436">
        <v>6</v>
      </c>
      <c r="J116" s="435">
        <v>28300</v>
      </c>
      <c r="K116" s="435">
        <v>43700</v>
      </c>
      <c r="L116" s="436">
        <v>64.8</v>
      </c>
      <c r="M116" s="436">
        <v>6.6</v>
      </c>
      <c r="N116" s="435">
        <v>31300</v>
      </c>
      <c r="O116" s="435">
        <v>44700</v>
      </c>
      <c r="P116" s="436">
        <v>70.2</v>
      </c>
      <c r="Q116" s="436">
        <v>8.8000000000000007</v>
      </c>
    </row>
    <row r="117" spans="1:17">
      <c r="A117" s="242" t="s">
        <v>20</v>
      </c>
      <c r="B117" s="435">
        <v>33900</v>
      </c>
      <c r="C117" s="435">
        <v>48700</v>
      </c>
      <c r="D117" s="436">
        <v>69.599999999999994</v>
      </c>
      <c r="E117" s="436">
        <v>5.4</v>
      </c>
      <c r="F117" s="435">
        <v>32400</v>
      </c>
      <c r="G117" s="435">
        <v>46900</v>
      </c>
      <c r="H117" s="436">
        <v>69.099999999999994</v>
      </c>
      <c r="I117" s="436">
        <v>6.2</v>
      </c>
      <c r="J117" s="435">
        <v>33100</v>
      </c>
      <c r="K117" s="435">
        <v>47400</v>
      </c>
      <c r="L117" s="436">
        <v>69.8</v>
      </c>
      <c r="M117" s="436">
        <v>6.2</v>
      </c>
      <c r="N117" s="435">
        <v>27600</v>
      </c>
      <c r="O117" s="435">
        <v>44900</v>
      </c>
      <c r="P117" s="436">
        <v>61.5</v>
      </c>
      <c r="Q117" s="436">
        <v>7.9</v>
      </c>
    </row>
    <row r="118" spans="1:17">
      <c r="A118" s="242" t="s">
        <v>21</v>
      </c>
      <c r="B118" s="435">
        <v>26600</v>
      </c>
      <c r="C118" s="435">
        <v>37100</v>
      </c>
      <c r="D118" s="436">
        <v>71.7</v>
      </c>
      <c r="E118" s="436">
        <v>5.8</v>
      </c>
      <c r="F118" s="435">
        <v>29100</v>
      </c>
      <c r="G118" s="435">
        <v>38800</v>
      </c>
      <c r="H118" s="436">
        <v>75</v>
      </c>
      <c r="I118" s="436">
        <v>5.9</v>
      </c>
      <c r="J118" s="435">
        <v>27100</v>
      </c>
      <c r="K118" s="435">
        <v>39100</v>
      </c>
      <c r="L118" s="436">
        <v>69.2</v>
      </c>
      <c r="M118" s="436">
        <v>6.1</v>
      </c>
      <c r="N118" s="435">
        <v>25500</v>
      </c>
      <c r="O118" s="435">
        <v>37500</v>
      </c>
      <c r="P118" s="436">
        <v>68</v>
      </c>
      <c r="Q118" s="436">
        <v>8.1</v>
      </c>
    </row>
    <row r="119" spans="1:17">
      <c r="A119" s="242" t="s">
        <v>22</v>
      </c>
      <c r="B119" s="435">
        <v>24800</v>
      </c>
      <c r="C119" s="435">
        <v>33200</v>
      </c>
      <c r="D119" s="436">
        <v>74.5</v>
      </c>
      <c r="E119" s="436">
        <v>4.5</v>
      </c>
      <c r="F119" s="435">
        <v>22900</v>
      </c>
      <c r="G119" s="435">
        <v>33000</v>
      </c>
      <c r="H119" s="436">
        <v>69.3</v>
      </c>
      <c r="I119" s="436">
        <v>5.5</v>
      </c>
      <c r="J119" s="435">
        <v>23500</v>
      </c>
      <c r="K119" s="435">
        <v>32200</v>
      </c>
      <c r="L119" s="436">
        <v>72.8</v>
      </c>
      <c r="M119" s="436">
        <v>5.4</v>
      </c>
      <c r="N119" s="435">
        <v>23800</v>
      </c>
      <c r="O119" s="435">
        <v>32600</v>
      </c>
      <c r="P119" s="436">
        <v>72.900000000000006</v>
      </c>
      <c r="Q119" s="436">
        <v>6.6</v>
      </c>
    </row>
    <row r="120" spans="1:17">
      <c r="A120" s="242" t="s">
        <v>23</v>
      </c>
      <c r="B120" s="435">
        <v>23000</v>
      </c>
      <c r="C120" s="435">
        <v>33000</v>
      </c>
      <c r="D120" s="436">
        <v>69.7</v>
      </c>
      <c r="E120" s="436">
        <v>6.1</v>
      </c>
      <c r="F120" s="435">
        <v>27300</v>
      </c>
      <c r="G120" s="435">
        <v>34300</v>
      </c>
      <c r="H120" s="436">
        <v>79.7</v>
      </c>
      <c r="I120" s="436">
        <v>6.1</v>
      </c>
      <c r="J120" s="435">
        <v>29000</v>
      </c>
      <c r="K120" s="435">
        <v>37400</v>
      </c>
      <c r="L120" s="436">
        <v>77.599999999999994</v>
      </c>
      <c r="M120" s="436">
        <v>6</v>
      </c>
      <c r="N120" s="435">
        <v>30700</v>
      </c>
      <c r="O120" s="435">
        <v>38700</v>
      </c>
      <c r="P120" s="436">
        <v>79.400000000000006</v>
      </c>
      <c r="Q120" s="436">
        <v>6.8</v>
      </c>
    </row>
    <row r="121" spans="1:17">
      <c r="A121" s="242" t="s">
        <v>24</v>
      </c>
      <c r="B121" s="435">
        <v>20300</v>
      </c>
      <c r="C121" s="435">
        <v>28200</v>
      </c>
      <c r="D121" s="436">
        <v>72.099999999999994</v>
      </c>
      <c r="E121" s="436">
        <v>5.8</v>
      </c>
      <c r="F121" s="435">
        <v>17800</v>
      </c>
      <c r="G121" s="435">
        <v>26800</v>
      </c>
      <c r="H121" s="436">
        <v>66.5</v>
      </c>
      <c r="I121" s="436">
        <v>6.7</v>
      </c>
      <c r="J121" s="435">
        <v>23100</v>
      </c>
      <c r="K121" s="435">
        <v>29200</v>
      </c>
      <c r="L121" s="436">
        <v>78.900000000000006</v>
      </c>
      <c r="M121" s="436">
        <v>6.3</v>
      </c>
      <c r="N121" s="435">
        <v>22700</v>
      </c>
      <c r="O121" s="435">
        <v>28300</v>
      </c>
      <c r="P121" s="436">
        <v>80.2</v>
      </c>
      <c r="Q121" s="436">
        <v>7.6</v>
      </c>
    </row>
    <row r="122" spans="1:17">
      <c r="A122" s="242" t="s">
        <v>25</v>
      </c>
      <c r="B122" s="435">
        <v>37300</v>
      </c>
      <c r="C122" s="435">
        <v>50200</v>
      </c>
      <c r="D122" s="436">
        <v>74.400000000000006</v>
      </c>
      <c r="E122" s="436">
        <v>5.8</v>
      </c>
      <c r="F122" s="435">
        <v>37700</v>
      </c>
      <c r="G122" s="435">
        <v>52600</v>
      </c>
      <c r="H122" s="436">
        <v>71.7</v>
      </c>
      <c r="I122" s="436">
        <v>6.4</v>
      </c>
      <c r="J122" s="435">
        <v>37600</v>
      </c>
      <c r="K122" s="435">
        <v>53500</v>
      </c>
      <c r="L122" s="436">
        <v>70.3</v>
      </c>
      <c r="M122" s="436">
        <v>6.3</v>
      </c>
      <c r="N122" s="435">
        <v>34700</v>
      </c>
      <c r="O122" s="435">
        <v>50700</v>
      </c>
      <c r="P122" s="436">
        <v>68.3</v>
      </c>
      <c r="Q122" s="436">
        <v>7.5</v>
      </c>
    </row>
    <row r="123" spans="1:17">
      <c r="A123" s="242" t="s">
        <v>26</v>
      </c>
      <c r="B123" s="435">
        <v>79900</v>
      </c>
      <c r="C123" s="435">
        <v>116300</v>
      </c>
      <c r="D123" s="436">
        <v>68.7</v>
      </c>
      <c r="E123" s="436">
        <v>5.0999999999999996</v>
      </c>
      <c r="F123" s="435">
        <v>74200</v>
      </c>
      <c r="G123" s="435">
        <v>109700</v>
      </c>
      <c r="H123" s="436">
        <v>67.7</v>
      </c>
      <c r="I123" s="436">
        <v>5.5</v>
      </c>
      <c r="J123" s="435">
        <v>77600</v>
      </c>
      <c r="K123" s="435">
        <v>108400</v>
      </c>
      <c r="L123" s="436">
        <v>71.599999999999994</v>
      </c>
      <c r="M123" s="436">
        <v>5.5</v>
      </c>
      <c r="N123" s="435">
        <v>85300</v>
      </c>
      <c r="O123" s="435">
        <v>116500</v>
      </c>
      <c r="P123" s="436">
        <v>73.2</v>
      </c>
      <c r="Q123" s="436">
        <v>5.6</v>
      </c>
    </row>
    <row r="124" spans="1:17">
      <c r="A124" s="242" t="s">
        <v>27</v>
      </c>
      <c r="B124" s="435">
        <v>148400</v>
      </c>
      <c r="C124" s="435">
        <v>226800</v>
      </c>
      <c r="D124" s="436">
        <v>65.400000000000006</v>
      </c>
      <c r="E124" s="436">
        <v>5.0999999999999996</v>
      </c>
      <c r="F124" s="435">
        <v>149100</v>
      </c>
      <c r="G124" s="435">
        <v>236400</v>
      </c>
      <c r="H124" s="436">
        <v>63.1</v>
      </c>
      <c r="I124" s="436">
        <v>5</v>
      </c>
      <c r="J124" s="435">
        <v>156100</v>
      </c>
      <c r="K124" s="435">
        <v>226500</v>
      </c>
      <c r="L124" s="436">
        <v>68.900000000000006</v>
      </c>
      <c r="M124" s="436">
        <v>5.2</v>
      </c>
      <c r="N124" s="435">
        <v>156100</v>
      </c>
      <c r="O124" s="435">
        <v>222200</v>
      </c>
      <c r="P124" s="436">
        <v>70.3</v>
      </c>
      <c r="Q124" s="436">
        <v>6.4</v>
      </c>
    </row>
    <row r="125" spans="1:17">
      <c r="A125" s="242" t="s">
        <v>28</v>
      </c>
      <c r="B125" s="435">
        <v>54300</v>
      </c>
      <c r="C125" s="435">
        <v>72000</v>
      </c>
      <c r="D125" s="436">
        <v>75.5</v>
      </c>
      <c r="E125" s="436">
        <v>6.2</v>
      </c>
      <c r="F125" s="435">
        <v>50500</v>
      </c>
      <c r="G125" s="435">
        <v>73400</v>
      </c>
      <c r="H125" s="436">
        <v>68.900000000000006</v>
      </c>
      <c r="I125" s="436">
        <v>7.8</v>
      </c>
      <c r="J125" s="435">
        <v>48600</v>
      </c>
      <c r="K125" s="435">
        <v>71000</v>
      </c>
      <c r="L125" s="436">
        <v>68.400000000000006</v>
      </c>
      <c r="M125" s="436">
        <v>8.3000000000000007</v>
      </c>
      <c r="N125" s="435">
        <v>53800</v>
      </c>
      <c r="O125" s="435">
        <v>70700</v>
      </c>
      <c r="P125" s="436">
        <v>76.099999999999994</v>
      </c>
      <c r="Q125" s="436">
        <v>8.5</v>
      </c>
    </row>
    <row r="126" spans="1:17">
      <c r="A126" s="242" t="s">
        <v>29</v>
      </c>
      <c r="B126" s="435">
        <v>16200</v>
      </c>
      <c r="C126" s="435">
        <v>24100</v>
      </c>
      <c r="D126" s="436">
        <v>67.400000000000006</v>
      </c>
      <c r="E126" s="436">
        <v>6.1</v>
      </c>
      <c r="F126" s="435">
        <v>19600</v>
      </c>
      <c r="G126" s="435">
        <v>24800</v>
      </c>
      <c r="H126" s="436">
        <v>78.8</v>
      </c>
      <c r="I126" s="436">
        <v>5.7</v>
      </c>
      <c r="J126" s="435">
        <v>19600</v>
      </c>
      <c r="K126" s="435">
        <v>25200</v>
      </c>
      <c r="L126" s="436">
        <v>77.7</v>
      </c>
      <c r="M126" s="436">
        <v>6.4</v>
      </c>
      <c r="N126" s="435">
        <v>16800</v>
      </c>
      <c r="O126" s="435">
        <v>24000</v>
      </c>
      <c r="P126" s="436">
        <v>69.8</v>
      </c>
      <c r="Q126" s="436">
        <v>9.3000000000000007</v>
      </c>
    </row>
    <row r="127" spans="1:17">
      <c r="A127" s="242" t="s">
        <v>30</v>
      </c>
      <c r="B127" s="435">
        <v>22700</v>
      </c>
      <c r="C127" s="435">
        <v>30100</v>
      </c>
      <c r="D127" s="436">
        <v>75.400000000000006</v>
      </c>
      <c r="E127" s="436">
        <v>6.2</v>
      </c>
      <c r="F127" s="435">
        <v>22100</v>
      </c>
      <c r="G127" s="435">
        <v>28000</v>
      </c>
      <c r="H127" s="436">
        <v>78.8</v>
      </c>
      <c r="I127" s="436">
        <v>6.4</v>
      </c>
      <c r="J127" s="435">
        <v>23800</v>
      </c>
      <c r="K127" s="435">
        <v>30100</v>
      </c>
      <c r="L127" s="436">
        <v>79.2</v>
      </c>
      <c r="M127" s="436">
        <v>6.9</v>
      </c>
      <c r="N127" s="435">
        <v>24200</v>
      </c>
      <c r="O127" s="435">
        <v>30800</v>
      </c>
      <c r="P127" s="436">
        <v>78.5</v>
      </c>
      <c r="Q127" s="436">
        <v>8.4</v>
      </c>
    </row>
    <row r="128" spans="1:17">
      <c r="A128" s="242" t="s">
        <v>31</v>
      </c>
      <c r="B128" s="435">
        <v>20800</v>
      </c>
      <c r="C128" s="435">
        <v>29300</v>
      </c>
      <c r="D128" s="436">
        <v>70.8</v>
      </c>
      <c r="E128" s="436">
        <v>5.8</v>
      </c>
      <c r="F128" s="435">
        <v>22100</v>
      </c>
      <c r="G128" s="435">
        <v>32000</v>
      </c>
      <c r="H128" s="436">
        <v>69.099999999999994</v>
      </c>
      <c r="I128" s="436">
        <v>6.4</v>
      </c>
      <c r="J128" s="435">
        <v>20900</v>
      </c>
      <c r="K128" s="435">
        <v>29900</v>
      </c>
      <c r="L128" s="436">
        <v>69.8</v>
      </c>
      <c r="M128" s="436">
        <v>6.5</v>
      </c>
      <c r="N128" s="435">
        <v>21100</v>
      </c>
      <c r="O128" s="435">
        <v>32100</v>
      </c>
      <c r="P128" s="436">
        <v>65.8</v>
      </c>
      <c r="Q128" s="436">
        <v>8</v>
      </c>
    </row>
    <row r="129" spans="1:17">
      <c r="A129" s="242" t="s">
        <v>32</v>
      </c>
      <c r="B129" s="435">
        <v>6000</v>
      </c>
      <c r="C129" s="435">
        <v>7300</v>
      </c>
      <c r="D129" s="436">
        <v>81.8</v>
      </c>
      <c r="E129" s="436">
        <v>6.5</v>
      </c>
      <c r="F129" s="435">
        <v>6000</v>
      </c>
      <c r="G129" s="435">
        <v>7300</v>
      </c>
      <c r="H129" s="436">
        <v>81.900000000000006</v>
      </c>
      <c r="I129" s="436">
        <v>8</v>
      </c>
      <c r="J129" s="435">
        <v>5900</v>
      </c>
      <c r="K129" s="435">
        <v>7100</v>
      </c>
      <c r="L129" s="436">
        <v>83</v>
      </c>
      <c r="M129" s="436">
        <v>8.6999999999999993</v>
      </c>
      <c r="N129" s="435">
        <v>5000</v>
      </c>
      <c r="O129" s="435">
        <v>6300</v>
      </c>
      <c r="P129" s="436">
        <v>79.7</v>
      </c>
      <c r="Q129" s="436">
        <v>12.3</v>
      </c>
    </row>
    <row r="130" spans="1:17">
      <c r="A130" s="242" t="s">
        <v>33</v>
      </c>
      <c r="B130" s="435">
        <v>26300</v>
      </c>
      <c r="C130" s="435">
        <v>41600</v>
      </c>
      <c r="D130" s="436">
        <v>63.4</v>
      </c>
      <c r="E130" s="436">
        <v>6.5</v>
      </c>
      <c r="F130" s="435">
        <v>26100</v>
      </c>
      <c r="G130" s="435">
        <v>40500</v>
      </c>
      <c r="H130" s="436">
        <v>64.400000000000006</v>
      </c>
      <c r="I130" s="436">
        <v>6.5</v>
      </c>
      <c r="J130" s="435">
        <v>30300</v>
      </c>
      <c r="K130" s="435">
        <v>42100</v>
      </c>
      <c r="L130" s="436">
        <v>71.900000000000006</v>
      </c>
      <c r="M130" s="436">
        <v>5.9</v>
      </c>
      <c r="N130" s="435">
        <v>28800</v>
      </c>
      <c r="O130" s="435">
        <v>42000</v>
      </c>
      <c r="P130" s="436">
        <v>68.7</v>
      </c>
      <c r="Q130" s="436">
        <v>7.8</v>
      </c>
    </row>
    <row r="131" spans="1:17">
      <c r="A131" s="242" t="s">
        <v>34</v>
      </c>
      <c r="B131" s="435">
        <v>73300</v>
      </c>
      <c r="C131" s="435">
        <v>109200</v>
      </c>
      <c r="D131" s="436">
        <v>67.099999999999994</v>
      </c>
      <c r="E131" s="436">
        <v>5.8</v>
      </c>
      <c r="F131" s="435">
        <v>77600</v>
      </c>
      <c r="G131" s="435">
        <v>113900</v>
      </c>
      <c r="H131" s="436">
        <v>68.099999999999994</v>
      </c>
      <c r="I131" s="436">
        <v>6.1</v>
      </c>
      <c r="J131" s="435">
        <v>69700</v>
      </c>
      <c r="K131" s="435">
        <v>109100</v>
      </c>
      <c r="L131" s="436">
        <v>63.9</v>
      </c>
      <c r="M131" s="436">
        <v>6.7</v>
      </c>
      <c r="N131" s="435">
        <v>66400</v>
      </c>
      <c r="O131" s="435">
        <v>107000</v>
      </c>
      <c r="P131" s="436">
        <v>62</v>
      </c>
      <c r="Q131" s="436">
        <v>8</v>
      </c>
    </row>
    <row r="132" spans="1:17">
      <c r="A132" s="242" t="s">
        <v>35</v>
      </c>
      <c r="B132" s="435">
        <v>4500</v>
      </c>
      <c r="C132" s="435">
        <v>5400</v>
      </c>
      <c r="D132" s="436">
        <v>84.5</v>
      </c>
      <c r="E132" s="436">
        <v>13.7</v>
      </c>
      <c r="F132" s="435">
        <v>5300</v>
      </c>
      <c r="G132" s="435">
        <v>5900</v>
      </c>
      <c r="H132" s="436">
        <v>89.8</v>
      </c>
      <c r="I132" s="436">
        <v>14.4</v>
      </c>
      <c r="J132" s="435">
        <v>5100</v>
      </c>
      <c r="K132" s="435">
        <v>5800</v>
      </c>
      <c r="L132" s="436">
        <v>88.6</v>
      </c>
      <c r="M132" s="436">
        <v>16.100000000000001</v>
      </c>
      <c r="N132" s="435">
        <v>5500</v>
      </c>
      <c r="O132" s="435">
        <v>6000</v>
      </c>
      <c r="P132" s="436">
        <v>91.4</v>
      </c>
      <c r="Q132" s="436">
        <v>17.399999999999999</v>
      </c>
    </row>
    <row r="133" spans="1:17">
      <c r="A133" s="242" t="s">
        <v>36</v>
      </c>
      <c r="B133" s="435">
        <v>34800</v>
      </c>
      <c r="C133" s="435">
        <v>50100</v>
      </c>
      <c r="D133" s="436">
        <v>69.5</v>
      </c>
      <c r="E133" s="436">
        <v>5.4</v>
      </c>
      <c r="F133" s="435">
        <v>35800</v>
      </c>
      <c r="G133" s="435">
        <v>48200</v>
      </c>
      <c r="H133" s="436">
        <v>74.3</v>
      </c>
      <c r="I133" s="436">
        <v>5.5</v>
      </c>
      <c r="J133" s="435">
        <v>33200</v>
      </c>
      <c r="K133" s="435">
        <v>45500</v>
      </c>
      <c r="L133" s="436">
        <v>73.099999999999994</v>
      </c>
      <c r="M133" s="436">
        <v>5.9</v>
      </c>
      <c r="N133" s="435">
        <v>34200</v>
      </c>
      <c r="O133" s="435">
        <v>47300</v>
      </c>
      <c r="P133" s="436">
        <v>72.400000000000006</v>
      </c>
      <c r="Q133" s="436">
        <v>7.1</v>
      </c>
    </row>
    <row r="134" spans="1:17">
      <c r="A134" s="242" t="s">
        <v>37</v>
      </c>
      <c r="B134" s="435">
        <v>44500</v>
      </c>
      <c r="C134" s="435">
        <v>59000</v>
      </c>
      <c r="D134" s="436">
        <v>75.5</v>
      </c>
      <c r="E134" s="436">
        <v>5.5</v>
      </c>
      <c r="F134" s="435">
        <v>45300</v>
      </c>
      <c r="G134" s="435">
        <v>58200</v>
      </c>
      <c r="H134" s="436">
        <v>77.8</v>
      </c>
      <c r="I134" s="436">
        <v>5.5</v>
      </c>
      <c r="J134" s="435">
        <v>44000</v>
      </c>
      <c r="K134" s="435">
        <v>58700</v>
      </c>
      <c r="L134" s="436">
        <v>75</v>
      </c>
      <c r="M134" s="436">
        <v>6.3</v>
      </c>
      <c r="N134" s="435">
        <v>46600</v>
      </c>
      <c r="O134" s="435">
        <v>63300</v>
      </c>
      <c r="P134" s="436">
        <v>73.5</v>
      </c>
      <c r="Q134" s="436">
        <v>7</v>
      </c>
    </row>
    <row r="135" spans="1:17">
      <c r="A135" s="242" t="s">
        <v>38</v>
      </c>
      <c r="B135" s="435">
        <v>25300</v>
      </c>
      <c r="C135" s="435">
        <v>33300</v>
      </c>
      <c r="D135" s="436">
        <v>76</v>
      </c>
      <c r="E135" s="436">
        <v>5.7</v>
      </c>
      <c r="F135" s="435">
        <v>23700</v>
      </c>
      <c r="G135" s="435">
        <v>34400</v>
      </c>
      <c r="H135" s="436">
        <v>69</v>
      </c>
      <c r="I135" s="436">
        <v>6.6</v>
      </c>
      <c r="J135" s="435">
        <v>27400</v>
      </c>
      <c r="K135" s="435">
        <v>34300</v>
      </c>
      <c r="L135" s="436">
        <v>80</v>
      </c>
      <c r="M135" s="436">
        <v>5.4</v>
      </c>
      <c r="N135" s="435">
        <v>25100</v>
      </c>
      <c r="O135" s="435">
        <v>34300</v>
      </c>
      <c r="P135" s="436">
        <v>73.099999999999994</v>
      </c>
      <c r="Q135" s="436">
        <v>7.8</v>
      </c>
    </row>
    <row r="136" spans="1:17">
      <c r="A136" s="242" t="s">
        <v>39</v>
      </c>
      <c r="B136" s="435">
        <v>5000</v>
      </c>
      <c r="C136" s="435">
        <v>7100</v>
      </c>
      <c r="D136" s="436">
        <v>70.3</v>
      </c>
      <c r="E136" s="436">
        <v>16.600000000000001</v>
      </c>
      <c r="F136" s="435">
        <v>6000</v>
      </c>
      <c r="G136" s="435">
        <v>7900</v>
      </c>
      <c r="H136" s="436">
        <v>75</v>
      </c>
      <c r="I136" s="436">
        <v>18.5</v>
      </c>
      <c r="J136" s="435">
        <v>5300</v>
      </c>
      <c r="K136" s="435">
        <v>6800</v>
      </c>
      <c r="L136" s="436">
        <v>77.599999999999994</v>
      </c>
      <c r="M136" s="436">
        <v>19.8</v>
      </c>
      <c r="N136" s="435">
        <v>5800</v>
      </c>
      <c r="O136" s="435">
        <v>7100</v>
      </c>
      <c r="P136" s="436">
        <v>81.5</v>
      </c>
      <c r="Q136" s="436">
        <v>18.5</v>
      </c>
    </row>
    <row r="137" spans="1:17">
      <c r="A137" s="242" t="s">
        <v>40</v>
      </c>
      <c r="B137" s="435">
        <v>24100</v>
      </c>
      <c r="C137" s="435">
        <v>32900</v>
      </c>
      <c r="D137" s="436">
        <v>73.2</v>
      </c>
      <c r="E137" s="436">
        <v>5.8</v>
      </c>
      <c r="F137" s="435">
        <v>21900</v>
      </c>
      <c r="G137" s="435">
        <v>31300</v>
      </c>
      <c r="H137" s="436">
        <v>69.900000000000006</v>
      </c>
      <c r="I137" s="436">
        <v>6.5</v>
      </c>
      <c r="J137" s="435">
        <v>23200</v>
      </c>
      <c r="K137" s="435">
        <v>33400</v>
      </c>
      <c r="L137" s="436">
        <v>69.599999999999994</v>
      </c>
      <c r="M137" s="436">
        <v>6.6</v>
      </c>
      <c r="N137" s="435">
        <v>23000</v>
      </c>
      <c r="O137" s="435">
        <v>33400</v>
      </c>
      <c r="P137" s="436">
        <v>69</v>
      </c>
      <c r="Q137" s="436">
        <v>8.1999999999999993</v>
      </c>
    </row>
    <row r="138" spans="1:17">
      <c r="A138" s="242" t="s">
        <v>41</v>
      </c>
      <c r="B138" s="435">
        <v>77300</v>
      </c>
      <c r="C138" s="435">
        <v>104100</v>
      </c>
      <c r="D138" s="436">
        <v>74.2</v>
      </c>
      <c r="E138" s="436">
        <v>5.3</v>
      </c>
      <c r="F138" s="435">
        <v>75700</v>
      </c>
      <c r="G138" s="435">
        <v>103600</v>
      </c>
      <c r="H138" s="436">
        <v>73.099999999999994</v>
      </c>
      <c r="I138" s="436">
        <v>5.6</v>
      </c>
      <c r="J138" s="435">
        <v>78000</v>
      </c>
      <c r="K138" s="435">
        <v>102200</v>
      </c>
      <c r="L138" s="436">
        <v>76.3</v>
      </c>
      <c r="M138" s="436">
        <v>5.5</v>
      </c>
      <c r="N138" s="435">
        <v>74100</v>
      </c>
      <c r="O138" s="435">
        <v>103000</v>
      </c>
      <c r="P138" s="436">
        <v>72</v>
      </c>
      <c r="Q138" s="436">
        <v>7.1</v>
      </c>
    </row>
    <row r="139" spans="1:17">
      <c r="A139" s="242" t="s">
        <v>42</v>
      </c>
      <c r="B139" s="435">
        <v>21000</v>
      </c>
      <c r="C139" s="435">
        <v>27900</v>
      </c>
      <c r="D139" s="436">
        <v>75.3</v>
      </c>
      <c r="E139" s="436">
        <v>5.6</v>
      </c>
      <c r="F139" s="435">
        <v>21200</v>
      </c>
      <c r="G139" s="435">
        <v>29600</v>
      </c>
      <c r="H139" s="436">
        <v>71.8</v>
      </c>
      <c r="I139" s="436">
        <v>6.5</v>
      </c>
      <c r="J139" s="435">
        <v>22700</v>
      </c>
      <c r="K139" s="435">
        <v>30200</v>
      </c>
      <c r="L139" s="436">
        <v>75.3</v>
      </c>
      <c r="M139" s="436">
        <v>5.5</v>
      </c>
      <c r="N139" s="435">
        <v>23700</v>
      </c>
      <c r="O139" s="435">
        <v>29400</v>
      </c>
      <c r="P139" s="436">
        <v>80.599999999999994</v>
      </c>
      <c r="Q139" s="436">
        <v>6.1</v>
      </c>
    </row>
    <row r="140" spans="1:17">
      <c r="A140" s="242" t="s">
        <v>43</v>
      </c>
      <c r="B140" s="435">
        <v>19700</v>
      </c>
      <c r="C140" s="435">
        <v>27700</v>
      </c>
      <c r="D140" s="436">
        <v>71.099999999999994</v>
      </c>
      <c r="E140" s="436">
        <v>5.4</v>
      </c>
      <c r="F140" s="435">
        <v>19600</v>
      </c>
      <c r="G140" s="435">
        <v>29200</v>
      </c>
      <c r="H140" s="436">
        <v>67</v>
      </c>
      <c r="I140" s="436">
        <v>6.2</v>
      </c>
      <c r="J140" s="435">
        <v>21500</v>
      </c>
      <c r="K140" s="435">
        <v>28700</v>
      </c>
      <c r="L140" s="436">
        <v>74.8</v>
      </c>
      <c r="M140" s="436">
        <v>5.8</v>
      </c>
      <c r="N140" s="435">
        <v>20300</v>
      </c>
      <c r="O140" s="435">
        <v>28000</v>
      </c>
      <c r="P140" s="436">
        <v>72.5</v>
      </c>
      <c r="Q140" s="436">
        <v>6.8</v>
      </c>
    </row>
    <row r="141" spans="1:17">
      <c r="A141" s="242" t="s">
        <v>44</v>
      </c>
      <c r="B141" s="435">
        <v>45100</v>
      </c>
      <c r="C141" s="435">
        <v>61500</v>
      </c>
      <c r="D141" s="436">
        <v>73.400000000000006</v>
      </c>
      <c r="E141" s="436">
        <v>5.7</v>
      </c>
      <c r="F141" s="435">
        <v>42900</v>
      </c>
      <c r="G141" s="435">
        <v>61000</v>
      </c>
      <c r="H141" s="436">
        <v>70.400000000000006</v>
      </c>
      <c r="I141" s="436">
        <v>6.5</v>
      </c>
      <c r="J141" s="435">
        <v>44800</v>
      </c>
      <c r="K141" s="435">
        <v>59500</v>
      </c>
      <c r="L141" s="436">
        <v>75.3</v>
      </c>
      <c r="M141" s="436">
        <v>5.9</v>
      </c>
      <c r="N141" s="435">
        <v>42400</v>
      </c>
      <c r="O141" s="435">
        <v>61700</v>
      </c>
      <c r="P141" s="436">
        <v>68.599999999999994</v>
      </c>
      <c r="Q141" s="436">
        <v>7.5</v>
      </c>
    </row>
    <row r="142" spans="1:17">
      <c r="A142" s="242" t="s">
        <v>45</v>
      </c>
      <c r="B142" s="435">
        <v>1250300</v>
      </c>
      <c r="C142" s="435">
        <v>1758300</v>
      </c>
      <c r="D142" s="436">
        <v>71.099999999999994</v>
      </c>
      <c r="E142" s="436">
        <v>1</v>
      </c>
      <c r="F142" s="435">
        <v>1238500</v>
      </c>
      <c r="G142" s="435">
        <v>1752800</v>
      </c>
      <c r="H142" s="436">
        <v>70.7</v>
      </c>
      <c r="I142" s="436">
        <v>1.1000000000000001</v>
      </c>
      <c r="J142" s="435">
        <v>1279800</v>
      </c>
      <c r="K142" s="435">
        <v>1759300</v>
      </c>
      <c r="L142" s="436">
        <v>72.7</v>
      </c>
      <c r="M142" s="436">
        <v>1.1000000000000001</v>
      </c>
      <c r="N142" s="435">
        <v>1284700</v>
      </c>
      <c r="O142" s="435">
        <v>1767500</v>
      </c>
      <c r="P142" s="436">
        <v>72.7</v>
      </c>
      <c r="Q142" s="436">
        <v>1.4</v>
      </c>
    </row>
    <row r="143" spans="1:17">
      <c r="A143" s="242" t="s">
        <v>46</v>
      </c>
      <c r="B143" s="435">
        <v>14905700</v>
      </c>
      <c r="C143" s="435">
        <v>20780100</v>
      </c>
      <c r="D143" s="436">
        <v>71.7</v>
      </c>
      <c r="E143" s="436">
        <v>0.3</v>
      </c>
      <c r="F143" s="435">
        <v>14842500</v>
      </c>
      <c r="G143" s="435">
        <v>20770700</v>
      </c>
      <c r="H143" s="436">
        <v>71.5</v>
      </c>
      <c r="I143" s="436">
        <v>0.4</v>
      </c>
      <c r="J143" s="435">
        <v>15046300</v>
      </c>
      <c r="K143" s="435">
        <v>20845200</v>
      </c>
      <c r="L143" s="436">
        <v>72.2</v>
      </c>
      <c r="M143" s="436">
        <v>0.4</v>
      </c>
      <c r="N143" s="435">
        <v>15107600</v>
      </c>
      <c r="O143" s="435">
        <v>20927900</v>
      </c>
      <c r="P143" s="436">
        <v>72.2</v>
      </c>
      <c r="Q143" s="436">
        <v>0.4</v>
      </c>
    </row>
    <row r="144" spans="1:17">
      <c r="A144" s="242" t="s">
        <v>47</v>
      </c>
      <c r="B144" s="435">
        <v>424500</v>
      </c>
      <c r="C144" s="435">
        <v>612300</v>
      </c>
      <c r="D144" s="436">
        <v>69.3</v>
      </c>
      <c r="E144" s="436">
        <v>1.9</v>
      </c>
      <c r="F144" s="435">
        <v>427500</v>
      </c>
      <c r="G144" s="435">
        <v>625900</v>
      </c>
      <c r="H144" s="436">
        <v>68.3</v>
      </c>
      <c r="I144" s="436">
        <v>2.1</v>
      </c>
      <c r="J144" s="435">
        <v>435500</v>
      </c>
      <c r="K144" s="435">
        <v>611900</v>
      </c>
      <c r="L144" s="436">
        <v>71.2</v>
      </c>
      <c r="M144" s="436">
        <v>2.1</v>
      </c>
      <c r="N144" s="435">
        <v>426700</v>
      </c>
      <c r="O144" s="435">
        <v>608400</v>
      </c>
      <c r="P144" s="436">
        <v>70.099999999999994</v>
      </c>
      <c r="Q144" s="436">
        <v>2.6</v>
      </c>
    </row>
    <row r="145" spans="1:17">
      <c r="A145" s="198" t="s">
        <v>543</v>
      </c>
      <c r="B145" s="385">
        <f>SUM(SUMIFS(B$110:B$141,$A$110:$A$141,{"Na h-Eileanan Siar","Argyll and Bute","Shetland Islands","Highland","Orkney Islands","Scottish Borders","Dumfries and Galloway","Aberdeenshire"}))</f>
        <v>208300</v>
      </c>
      <c r="C145" s="385">
        <f>SUM(SUMIFS(C$110:C$141,$A$110:$A$141,{"Na h-Eileanan Siar","Argyll and Bute","Shetland Islands","Highland","Orkney Islands","Scottish Borders","Dumfries and Galloway","Aberdeenshire"}))</f>
        <v>282000</v>
      </c>
      <c r="D145" s="386">
        <f>SUM(B145/C145)*100</f>
        <v>73.865248226950357</v>
      </c>
      <c r="E145" s="241"/>
      <c r="F145" s="385">
        <f>SUM(SUMIFS(F$110:F$141,$A$110:$A$141,{"Na h-Eileanan Siar","Argyll and Bute","Shetland Islands","Highland","Orkney Islands","Scottish Borders","Dumfries and Galloway","Aberdeenshire"}))</f>
        <v>195700</v>
      </c>
      <c r="G145" s="385">
        <f>SUM(SUMIFS(G$110:G$141,$A$110:$A$141,{"Na h-Eileanan Siar","Argyll and Bute","Shetland Islands","Highland","Orkney Islands","Scottish Borders","Dumfries and Galloway","Aberdeenshire"}))</f>
        <v>278600</v>
      </c>
      <c r="H145" s="386">
        <f t="shared" ref="H145:H148" si="8">SUM(F145/G145)*100</f>
        <v>70.244077530509699</v>
      </c>
      <c r="I145" s="241"/>
      <c r="J145" s="385">
        <f>SUM(SUMIFS(J$110:J$141,$A$110:$A$141,{"Na h-Eileanan Siar","Argyll and Bute","Shetland Islands","Highland","Orkney Islands","Scottish Borders","Dumfries and Galloway","Aberdeenshire"}))</f>
        <v>204000</v>
      </c>
      <c r="K145" s="385">
        <f>SUM(SUMIFS(K$110:K$141,$A$110:$A$141,{"Na h-Eileanan Siar","Argyll and Bute","Shetland Islands","Highland","Orkney Islands","Scottish Borders","Dumfries and Galloway","Aberdeenshire"}))</f>
        <v>279800</v>
      </c>
      <c r="L145" s="386">
        <f t="shared" ref="L145:L148" si="9">SUM(J145/K145)*100</f>
        <v>72.909220872051463</v>
      </c>
      <c r="M145" s="241"/>
      <c r="N145" s="385">
        <f>SUM(SUMIFS(N$110:N$141,$A$110:$A$141,{"Na h-Eileanan Siar","Argyll and Bute","Shetland Islands","Highland","Orkney Islands","Scottish Borders","Dumfries and Galloway","Aberdeenshire"}))</f>
        <v>212700</v>
      </c>
      <c r="O145" s="385">
        <f>SUM(SUMIFS(O$110:O$141,$A$110:$A$141,{"Na h-Eileanan Siar","Argyll and Bute","Shetland Islands","Highland","Orkney Islands","Scottish Borders","Dumfries and Galloway","Aberdeenshire"}))</f>
        <v>276400</v>
      </c>
      <c r="P145" s="386">
        <f t="shared" ref="P145:P148" si="10">SUM(N145/O145)*100</f>
        <v>76.953690303907379</v>
      </c>
      <c r="Q145" s="241"/>
    </row>
    <row r="146" spans="1:17">
      <c r="A146" s="198" t="s">
        <v>544</v>
      </c>
      <c r="B146" s="385">
        <f>SUM(SUMIFS(B$110:B$141,$A$110:$A$141,{"Perth and Kinross","Stirling","Moray","South Ayrshire","East Ayrshire","East Lothian","North Ayrshire","Fife"}))</f>
        <v>256500</v>
      </c>
      <c r="C146" s="385">
        <f>SUM(SUMIFS(C$110:C$141,$A$110:$A$141,{"Perth and Kinross","Stirling","Moray","South Ayrshire","East Ayrshire","East Lothian","North Ayrshire","Fife"}))</f>
        <v>368200</v>
      </c>
      <c r="D146" s="386">
        <f t="shared" ref="D146:D148" si="11">SUM(B146/C146)*100</f>
        <v>69.663226507332979</v>
      </c>
      <c r="E146" s="241"/>
      <c r="F146" s="385">
        <f>SUM(SUMIFS(F$110:F$141,$A$110:$A$141,{"Perth and Kinross","Stirling","Moray","South Ayrshire","East Ayrshire","East Lothian","North Ayrshire","Fife"}))</f>
        <v>257700</v>
      </c>
      <c r="G146" s="385">
        <f>SUM(SUMIFS(G$110:G$141,$A$110:$A$141,{"Perth and Kinross","Stirling","Moray","South Ayrshire","East Ayrshire","East Lothian","North Ayrshire","Fife"}))</f>
        <v>364400</v>
      </c>
      <c r="H146" s="386">
        <f t="shared" si="8"/>
        <v>70.718990120746426</v>
      </c>
      <c r="I146" s="241"/>
      <c r="J146" s="385">
        <f>SUM(SUMIFS(J$110:J$141,$A$110:$A$141,{"Perth and Kinross","Stirling","Moray","South Ayrshire","East Ayrshire","East Lothian","North Ayrshire","Fife"}))</f>
        <v>264000</v>
      </c>
      <c r="K146" s="385">
        <f>SUM(SUMIFS(K$110:K$141,$A$110:$A$141,{"Perth and Kinross","Stirling","Moray","South Ayrshire","East Ayrshire","East Lothian","North Ayrshire","Fife"}))</f>
        <v>366000</v>
      </c>
      <c r="L146" s="386">
        <f t="shared" si="9"/>
        <v>72.131147540983605</v>
      </c>
      <c r="M146" s="241"/>
      <c r="N146" s="385">
        <f>SUM(SUMIFS(N$110:N$141,$A$110:$A$141,{"Perth and Kinross","Stirling","Moray","South Ayrshire","East Ayrshire","East Lothian","North Ayrshire","Fife"}))</f>
        <v>272300</v>
      </c>
      <c r="O146" s="385">
        <f>SUM(SUMIFS(O$110:O$141,$A$110:$A$141,{"Perth and Kinross","Stirling","Moray","South Ayrshire","East Ayrshire","East Lothian","North Ayrshire","Fife"}))</f>
        <v>376900</v>
      </c>
      <c r="P146" s="386">
        <f t="shared" si="10"/>
        <v>72.24728044574158</v>
      </c>
      <c r="Q146" s="241"/>
    </row>
    <row r="147" spans="1:17">
      <c r="A147" s="198" t="s">
        <v>545</v>
      </c>
      <c r="B147" s="385">
        <f>SUM(SUMIFS(B$110:B$141,$A$110:$A$141,{"Angus","Clackmannanshire","Midlothian","South Lanarkshire","Inverclyde","Renfrewshire","West Lothian","East Renfrewshire"}))</f>
        <v>261500</v>
      </c>
      <c r="C147" s="385">
        <f>SUM(SUMIFS(C$110:C$141,$A$110:$A$141,{"Angus","Clackmannanshire","Midlothian","South Lanarkshire","Inverclyde","Renfrewshire","West Lothian","East Renfrewshire"}))</f>
        <v>357600</v>
      </c>
      <c r="D147" s="386">
        <f t="shared" si="11"/>
        <v>73.12639821029083</v>
      </c>
      <c r="E147" s="241"/>
      <c r="F147" s="385">
        <f>SUM(SUMIFS(F$110:F$141,$A$110:$A$141,{"Angus","Clackmannanshire","Midlothian","South Lanarkshire","Inverclyde","Renfrewshire","West Lothian","East Renfrewshire"}))</f>
        <v>261100</v>
      </c>
      <c r="G147" s="385">
        <f>SUM(SUMIFS(G$110:G$141,$A$110:$A$141,{"Angus","Clackmannanshire","Midlothian","South Lanarkshire","Inverclyde","Renfrewshire","West Lothian","East Renfrewshire"}))</f>
        <v>354800</v>
      </c>
      <c r="H147" s="386">
        <f t="shared" si="8"/>
        <v>73.590755355129659</v>
      </c>
      <c r="I147" s="241"/>
      <c r="J147" s="385">
        <f>SUM(SUMIFS(J$110:J$141,$A$110:$A$141,{"Angus","Clackmannanshire","Midlothian","South Lanarkshire","Inverclyde","Renfrewshire","West Lothian","East Renfrewshire"}))</f>
        <v>271000</v>
      </c>
      <c r="K147" s="385">
        <f>SUM(SUMIFS(K$110:K$141,$A$110:$A$141,{"Angus","Clackmannanshire","Midlothian","South Lanarkshire","Inverclyde","Renfrewshire","West Lothian","East Renfrewshire"}))</f>
        <v>358700</v>
      </c>
      <c r="L147" s="386">
        <f t="shared" si="9"/>
        <v>75.550599386674094</v>
      </c>
      <c r="M147" s="241"/>
      <c r="N147" s="385">
        <f>SUM(SUMIFS(N$110:N$141,$A$110:$A$141,{"Angus","Clackmannanshire","Midlothian","South Lanarkshire","Inverclyde","Renfrewshire","West Lothian","East Renfrewshire"}))</f>
        <v>266100</v>
      </c>
      <c r="O147" s="385">
        <f>SUM(SUMIFS(O$110:O$141,$A$110:$A$141,{"Angus","Clackmannanshire","Midlothian","South Lanarkshire","Inverclyde","Renfrewshire","West Lothian","East Renfrewshire"}))</f>
        <v>367100</v>
      </c>
      <c r="P147" s="386">
        <f t="shared" si="10"/>
        <v>72.487060746390625</v>
      </c>
      <c r="Q147" s="241"/>
    </row>
    <row r="148" spans="1:17">
      <c r="A148" s="198" t="s">
        <v>546</v>
      </c>
      <c r="B148" s="385">
        <f>SUM(SUMIFS(B$110:B$141,$A$110:$A$141,{"North Lanarkshire","Falkirk","East Dunbartonshire","Aberdeen City","Edinburgh, City of","West Dunbartonshire","Dundee City","Glasgow City"}))</f>
        <v>524100</v>
      </c>
      <c r="C148" s="385">
        <f>SUM(SUMIFS(C$110:C$141,$A$110:$A$141,{"North Lanarkshire","Falkirk","East Dunbartonshire","Aberdeen City","Edinburgh, City of","West Dunbartonshire","Dundee City","Glasgow City"}))</f>
        <v>750900</v>
      </c>
      <c r="D148" s="386">
        <f t="shared" si="11"/>
        <v>69.796244506592089</v>
      </c>
      <c r="E148" s="241"/>
      <c r="F148" s="385">
        <f>SUM(SUMIFS(F$110:F$141,$A$110:$A$141,{"North Lanarkshire","Falkirk","East Dunbartonshire","Aberdeen City","Edinburgh, City of","West Dunbartonshire","Dundee City","Glasgow City"}))</f>
        <v>524000</v>
      </c>
      <c r="G148" s="385">
        <f>SUM(SUMIFS(G$110:G$141,$A$110:$A$141,{"North Lanarkshire","Falkirk","East Dunbartonshire","Aberdeen City","Edinburgh, City of","West Dunbartonshire","Dundee City","Glasgow City"}))</f>
        <v>755200</v>
      </c>
      <c r="H148" s="386">
        <f t="shared" si="8"/>
        <v>69.385593220338976</v>
      </c>
      <c r="I148" s="241"/>
      <c r="J148" s="385">
        <f>SUM(SUMIFS(J$110:J$141,$A$110:$A$141,{"North Lanarkshire","Falkirk","East Dunbartonshire","Aberdeen City","Edinburgh, City of","West Dunbartonshire","Dundee City","Glasgow City"}))</f>
        <v>540700</v>
      </c>
      <c r="K148" s="385">
        <f>SUM(SUMIFS(K$110:K$141,$A$110:$A$141,{"North Lanarkshire","Falkirk","East Dunbartonshire","Aberdeen City","Edinburgh, City of","West Dunbartonshire","Dundee City","Glasgow City"}))</f>
        <v>754600</v>
      </c>
      <c r="L148" s="386">
        <f t="shared" si="9"/>
        <v>71.653856347733907</v>
      </c>
      <c r="M148" s="241"/>
      <c r="N148" s="385">
        <f>SUM(SUMIFS(N$110:N$141,$A$110:$A$141,{"North Lanarkshire","Falkirk","East Dunbartonshire","Aberdeen City","Edinburgh, City of","West Dunbartonshire","Dundee City","Glasgow City"}))</f>
        <v>533500</v>
      </c>
      <c r="O148" s="385">
        <f>SUM(SUMIFS(O$110:O$141,$A$110:$A$141,{"North Lanarkshire","Falkirk","East Dunbartonshire","Aberdeen City","Edinburgh, City of","West Dunbartonshire","Dundee City","Glasgow City"}))</f>
        <v>747100</v>
      </c>
      <c r="P148" s="386">
        <f t="shared" si="10"/>
        <v>71.409449872841662</v>
      </c>
      <c r="Q148" s="241"/>
    </row>
  </sheetData>
  <mergeCells count="12">
    <mergeCell ref="B108:E108"/>
    <mergeCell ref="F108:I108"/>
    <mergeCell ref="J108:M108"/>
    <mergeCell ref="N108:Q108"/>
    <mergeCell ref="B7:E7"/>
    <mergeCell ref="F7:I7"/>
    <mergeCell ref="J7:M7"/>
    <mergeCell ref="N7:Q7"/>
    <mergeCell ref="B58:E58"/>
    <mergeCell ref="F58:I58"/>
    <mergeCell ref="J58:M58"/>
    <mergeCell ref="N58:Q58"/>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autoPageBreaks="0"/>
  </sheetPr>
  <dimension ref="A1:Q94"/>
  <sheetViews>
    <sheetView topLeftCell="A71" zoomScale="60" zoomScaleNormal="60" workbookViewId="0">
      <selection activeCell="G2" sqref="G2:H2"/>
    </sheetView>
  </sheetViews>
  <sheetFormatPr defaultColWidth="8.7265625" defaultRowHeight="14.5"/>
  <cols>
    <col min="1" max="1" width="25" customWidth="1" collapsed="1"/>
    <col min="2" max="3" width="16.54296875"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5">
      <c r="A1" s="18" t="s">
        <v>78</v>
      </c>
      <c r="B1" s="18"/>
      <c r="C1" s="18"/>
    </row>
    <row r="2" spans="1:17">
      <c r="A2" s="13" t="s">
        <v>62</v>
      </c>
      <c r="B2" s="13"/>
      <c r="C2" s="13"/>
    </row>
    <row r="4" spans="1:17">
      <c r="A4" s="16" t="s">
        <v>77</v>
      </c>
      <c r="B4" s="16"/>
      <c r="C4" s="16"/>
      <c r="D4" s="16" t="s">
        <v>76</v>
      </c>
    </row>
    <row r="5" spans="1:17">
      <c r="A5" s="16" t="s">
        <v>75</v>
      </c>
      <c r="B5" s="16"/>
      <c r="C5" s="16"/>
      <c r="D5" s="16" t="s">
        <v>74</v>
      </c>
    </row>
    <row r="6" spans="1:17">
      <c r="A6" s="16" t="s">
        <v>73</v>
      </c>
      <c r="B6" s="16"/>
      <c r="C6" s="16"/>
      <c r="D6" s="16" t="s">
        <v>72</v>
      </c>
    </row>
    <row r="7" spans="1:17" ht="22" customHeight="1">
      <c r="A7" s="17" t="s">
        <v>5</v>
      </c>
      <c r="B7" s="17"/>
      <c r="C7" s="17"/>
      <c r="D7" s="603">
        <v>2020</v>
      </c>
      <c r="E7" s="604"/>
      <c r="H7" s="65">
        <v>2021</v>
      </c>
      <c r="L7" s="603">
        <v>2022</v>
      </c>
      <c r="M7" s="604"/>
      <c r="P7" s="603">
        <v>2023</v>
      </c>
      <c r="Q7" s="604"/>
    </row>
    <row r="8" spans="1:17" ht="26.15" customHeight="1">
      <c r="D8" s="11" t="s">
        <v>71</v>
      </c>
      <c r="E8" s="11" t="s">
        <v>70</v>
      </c>
      <c r="F8" s="11"/>
      <c r="G8" s="11"/>
      <c r="H8" s="11" t="s">
        <v>71</v>
      </c>
      <c r="I8" s="11" t="s">
        <v>70</v>
      </c>
      <c r="J8" s="11"/>
      <c r="K8" s="11"/>
      <c r="L8" s="11" t="s">
        <v>71</v>
      </c>
      <c r="M8" s="11" t="s">
        <v>70</v>
      </c>
      <c r="N8" s="11"/>
      <c r="O8" s="11"/>
      <c r="P8" s="11" t="s">
        <v>71</v>
      </c>
      <c r="Q8" s="11" t="s">
        <v>70</v>
      </c>
    </row>
    <row r="9" spans="1:17">
      <c r="A9" s="16" t="s">
        <v>14</v>
      </c>
      <c r="B9" s="242"/>
      <c r="C9" s="16"/>
      <c r="D9" s="244">
        <f>VLOOKUP($A9,$A$61:$I$94,2,FALSE)</f>
        <v>577.70000000000005</v>
      </c>
      <c r="E9" s="244">
        <v>4.2</v>
      </c>
      <c r="F9" s="244"/>
      <c r="G9" s="244"/>
      <c r="H9" s="244">
        <f>VLOOKUP($A9,$A$61:$I$94,4,FALSE)</f>
        <v>587.79999999999995</v>
      </c>
      <c r="I9" s="244">
        <v>5.0999999999999996</v>
      </c>
      <c r="J9" s="244"/>
      <c r="K9" s="244"/>
      <c r="L9" s="244">
        <f>VLOOKUP($A9,$A$61:$I$94,6,FALSE)</f>
        <v>637.4</v>
      </c>
      <c r="M9" s="244">
        <v>4</v>
      </c>
      <c r="N9" s="244"/>
      <c r="O9" s="244"/>
      <c r="P9" s="244">
        <f>VLOOKUP($A9,$A$61:$I$94,8,FALSE)</f>
        <v>710.9</v>
      </c>
      <c r="Q9" s="244">
        <v>3.8</v>
      </c>
    </row>
    <row r="10" spans="1:17">
      <c r="A10" s="16" t="s">
        <v>15</v>
      </c>
      <c r="B10" s="242"/>
      <c r="C10" s="16"/>
      <c r="D10" s="244">
        <f t="shared" ref="D10:D42" si="0">VLOOKUP($A10,$A$61:$I$94,2,FALSE)</f>
        <v>605.1</v>
      </c>
      <c r="E10" s="244">
        <v>5.2</v>
      </c>
      <c r="F10" s="244"/>
      <c r="G10" s="244"/>
      <c r="H10" s="244">
        <f t="shared" ref="H10:H42" si="1">VLOOKUP($A10,$A$61:$I$94,4,FALSE)</f>
        <v>638.20000000000005</v>
      </c>
      <c r="I10" s="244">
        <v>6.1</v>
      </c>
      <c r="J10" s="244"/>
      <c r="K10" s="244"/>
      <c r="L10" s="244">
        <f t="shared" ref="L10:L42" si="2">VLOOKUP($A10,$A$61:$I$94,6,FALSE)</f>
        <v>710.8</v>
      </c>
      <c r="M10" s="244">
        <v>5</v>
      </c>
      <c r="N10" s="244"/>
      <c r="O10" s="244"/>
      <c r="P10" s="244">
        <f t="shared" ref="P10:P42" si="3">VLOOKUP($A10,$A$61:$I$94,8,FALSE)</f>
        <v>739.9</v>
      </c>
      <c r="Q10" s="244">
        <v>5.5</v>
      </c>
    </row>
    <row r="11" spans="1:17">
      <c r="A11" s="16" t="s">
        <v>16</v>
      </c>
      <c r="B11" s="242"/>
      <c r="C11" s="16"/>
      <c r="D11" s="244">
        <f t="shared" si="0"/>
        <v>578.29999999999995</v>
      </c>
      <c r="E11" s="244">
        <v>6.2</v>
      </c>
      <c r="F11" s="244"/>
      <c r="G11" s="244"/>
      <c r="H11" s="244">
        <f t="shared" si="1"/>
        <v>600</v>
      </c>
      <c r="I11" s="244">
        <v>7.1</v>
      </c>
      <c r="J11" s="244"/>
      <c r="K11" s="244"/>
      <c r="L11" s="244">
        <f t="shared" si="2"/>
        <v>609.6</v>
      </c>
      <c r="M11" s="244">
        <v>6</v>
      </c>
      <c r="N11" s="244"/>
      <c r="O11" s="244"/>
      <c r="P11" s="244">
        <f t="shared" si="3"/>
        <v>637.70000000000005</v>
      </c>
      <c r="Q11" s="244">
        <v>6.5</v>
      </c>
    </row>
    <row r="12" spans="1:17">
      <c r="A12" s="16" t="s">
        <v>17</v>
      </c>
      <c r="B12" s="242"/>
      <c r="C12" s="16"/>
      <c r="D12" s="244">
        <f t="shared" si="0"/>
        <v>555.6</v>
      </c>
      <c r="E12" s="244">
        <v>7.2</v>
      </c>
      <c r="F12" s="244"/>
      <c r="G12" s="244"/>
      <c r="H12" s="244">
        <f t="shared" si="1"/>
        <v>564.29999999999995</v>
      </c>
      <c r="I12" s="244">
        <v>8.1</v>
      </c>
      <c r="J12" s="244"/>
      <c r="K12" s="244"/>
      <c r="L12" s="244">
        <f t="shared" si="2"/>
        <v>588.4</v>
      </c>
      <c r="M12" s="244">
        <v>7</v>
      </c>
      <c r="N12" s="244"/>
      <c r="O12" s="244"/>
      <c r="P12" s="244">
        <f t="shared" si="3"/>
        <v>653.6</v>
      </c>
      <c r="Q12" s="244">
        <v>7.3</v>
      </c>
    </row>
    <row r="13" spans="1:17">
      <c r="A13" s="16" t="s">
        <v>189</v>
      </c>
      <c r="B13" s="242"/>
      <c r="C13" s="16"/>
      <c r="D13" s="244">
        <f t="shared" si="0"/>
        <v>639.4</v>
      </c>
      <c r="E13" s="244">
        <v>8.1999999999999993</v>
      </c>
      <c r="F13" s="244"/>
      <c r="G13" s="244"/>
      <c r="H13" s="244">
        <f t="shared" si="1"/>
        <v>635.4</v>
      </c>
      <c r="I13" s="244">
        <v>9.1</v>
      </c>
      <c r="J13" s="244"/>
      <c r="K13" s="244"/>
      <c r="L13" s="244">
        <f t="shared" si="2"/>
        <v>658</v>
      </c>
      <c r="M13" s="244">
        <v>8</v>
      </c>
      <c r="N13" s="244"/>
      <c r="O13" s="244"/>
      <c r="P13" s="244">
        <f t="shared" si="3"/>
        <v>720.7</v>
      </c>
      <c r="Q13" s="244">
        <v>2.5</v>
      </c>
    </row>
    <row r="14" spans="1:17">
      <c r="A14" s="16" t="s">
        <v>18</v>
      </c>
      <c r="B14" s="242"/>
      <c r="C14" s="16"/>
      <c r="D14" s="244">
        <f t="shared" si="0"/>
        <v>567.9</v>
      </c>
      <c r="E14" s="244">
        <v>9.1999999999999993</v>
      </c>
      <c r="F14" s="244"/>
      <c r="G14" s="244"/>
      <c r="H14" s="244">
        <f t="shared" si="1"/>
        <v>639</v>
      </c>
      <c r="I14" s="244">
        <v>10.1</v>
      </c>
      <c r="J14" s="244"/>
      <c r="K14" s="244"/>
      <c r="L14" s="244">
        <f t="shared" si="2"/>
        <v>643.6</v>
      </c>
      <c r="M14" s="244">
        <v>9</v>
      </c>
      <c r="N14" s="244"/>
      <c r="O14" s="244"/>
      <c r="P14" s="244">
        <f t="shared" si="3"/>
        <v>685.9</v>
      </c>
      <c r="Q14" s="244">
        <v>8.5</v>
      </c>
    </row>
    <row r="15" spans="1:17">
      <c r="A15" s="16" t="s">
        <v>19</v>
      </c>
      <c r="B15" s="242"/>
      <c r="C15" s="16"/>
      <c r="D15" s="244">
        <f t="shared" si="0"/>
        <v>515.79999999999995</v>
      </c>
      <c r="E15" s="244">
        <v>10.199999999999999</v>
      </c>
      <c r="F15" s="244"/>
      <c r="G15" s="244"/>
      <c r="H15" s="244">
        <f t="shared" si="1"/>
        <v>552.20000000000005</v>
      </c>
      <c r="I15" s="244">
        <v>11.1</v>
      </c>
      <c r="J15" s="244"/>
      <c r="K15" s="244"/>
      <c r="L15" s="244">
        <f t="shared" si="2"/>
        <v>585.70000000000005</v>
      </c>
      <c r="M15" s="244">
        <v>10</v>
      </c>
      <c r="N15" s="244"/>
      <c r="O15" s="244"/>
      <c r="P15" s="244">
        <f t="shared" si="3"/>
        <v>598.20000000000005</v>
      </c>
      <c r="Q15" s="244">
        <v>6</v>
      </c>
    </row>
    <row r="16" spans="1:17">
      <c r="A16" s="16" t="s">
        <v>20</v>
      </c>
      <c r="B16" s="242"/>
      <c r="C16" s="16"/>
      <c r="D16" s="244">
        <f t="shared" si="0"/>
        <v>575.4</v>
      </c>
      <c r="E16" s="244">
        <v>11.2</v>
      </c>
      <c r="F16" s="244"/>
      <c r="G16" s="244"/>
      <c r="H16" s="244">
        <f t="shared" si="1"/>
        <v>566.6</v>
      </c>
      <c r="I16" s="244">
        <v>12.1</v>
      </c>
      <c r="J16" s="244"/>
      <c r="K16" s="244"/>
      <c r="L16" s="244">
        <f t="shared" si="2"/>
        <v>586.70000000000005</v>
      </c>
      <c r="M16" s="244">
        <v>11</v>
      </c>
      <c r="N16" s="244"/>
      <c r="O16" s="244"/>
      <c r="P16" s="244">
        <f t="shared" si="3"/>
        <v>614.9</v>
      </c>
      <c r="Q16" s="244">
        <v>4.7</v>
      </c>
    </row>
    <row r="17" spans="1:17">
      <c r="A17" s="16" t="s">
        <v>21</v>
      </c>
      <c r="B17" s="242"/>
      <c r="C17" s="16"/>
      <c r="D17" s="244">
        <f t="shared" si="0"/>
        <v>610.4</v>
      </c>
      <c r="E17" s="244">
        <v>12.2</v>
      </c>
      <c r="F17" s="244"/>
      <c r="G17" s="244"/>
      <c r="H17" s="244">
        <f t="shared" si="1"/>
        <v>615.1</v>
      </c>
      <c r="I17" s="244">
        <v>13.1</v>
      </c>
      <c r="J17" s="244"/>
      <c r="K17" s="244"/>
      <c r="L17" s="244">
        <f t="shared" si="2"/>
        <v>637.4</v>
      </c>
      <c r="M17" s="244">
        <v>12</v>
      </c>
      <c r="N17" s="244"/>
      <c r="O17" s="244"/>
      <c r="P17" s="244">
        <f t="shared" si="3"/>
        <v>708.8</v>
      </c>
      <c r="Q17" s="244">
        <v>7.4</v>
      </c>
    </row>
    <row r="18" spans="1:17">
      <c r="A18" s="16" t="s">
        <v>22</v>
      </c>
      <c r="B18" s="242"/>
      <c r="C18" s="16"/>
      <c r="D18" s="244">
        <f t="shared" si="0"/>
        <v>718.4</v>
      </c>
      <c r="E18" s="244">
        <v>13.2</v>
      </c>
      <c r="F18" s="244"/>
      <c r="G18" s="244"/>
      <c r="H18" s="244">
        <f t="shared" si="1"/>
        <v>754.1</v>
      </c>
      <c r="I18" s="244">
        <v>14.1</v>
      </c>
      <c r="J18" s="244"/>
      <c r="K18" s="244"/>
      <c r="L18" s="244">
        <f t="shared" si="2"/>
        <v>744.1</v>
      </c>
      <c r="M18" s="244">
        <v>13</v>
      </c>
      <c r="N18" s="244"/>
      <c r="O18" s="244"/>
      <c r="P18" s="244">
        <f t="shared" si="3"/>
        <v>822.8</v>
      </c>
      <c r="Q18" s="244">
        <v>5.7</v>
      </c>
    </row>
    <row r="19" spans="1:17">
      <c r="A19" s="16" t="s">
        <v>23</v>
      </c>
      <c r="B19" s="242"/>
      <c r="C19" s="16"/>
      <c r="D19" s="244">
        <f t="shared" si="0"/>
        <v>596.5</v>
      </c>
      <c r="E19" s="244">
        <v>14.2</v>
      </c>
      <c r="F19" s="244"/>
      <c r="G19" s="244"/>
      <c r="H19" s="244">
        <f t="shared" si="1"/>
        <v>594</v>
      </c>
      <c r="I19" s="244">
        <v>15.1</v>
      </c>
      <c r="J19" s="244"/>
      <c r="K19" s="244"/>
      <c r="L19" s="244">
        <f t="shared" si="2"/>
        <v>652.6</v>
      </c>
      <c r="M19" s="244">
        <v>14</v>
      </c>
      <c r="N19" s="244"/>
      <c r="O19" s="244"/>
      <c r="P19" s="244">
        <f t="shared" si="3"/>
        <v>667.4</v>
      </c>
      <c r="Q19" s="244">
        <v>7.1</v>
      </c>
    </row>
    <row r="20" spans="1:17">
      <c r="A20" s="16" t="s">
        <v>24</v>
      </c>
      <c r="B20" s="242"/>
      <c r="C20" s="16"/>
      <c r="D20" s="244">
        <f t="shared" si="0"/>
        <v>825.7</v>
      </c>
      <c r="E20" s="244">
        <v>15.2</v>
      </c>
      <c r="F20" s="244"/>
      <c r="G20" s="244"/>
      <c r="H20" s="244">
        <f t="shared" si="1"/>
        <v>809.4</v>
      </c>
      <c r="I20" s="244">
        <v>16.100000000000001</v>
      </c>
      <c r="J20" s="244"/>
      <c r="K20" s="244"/>
      <c r="L20" s="244">
        <f t="shared" si="2"/>
        <v>811.4</v>
      </c>
      <c r="M20" s="244">
        <v>15</v>
      </c>
      <c r="N20" s="244"/>
      <c r="O20" s="244"/>
      <c r="P20" s="244">
        <f t="shared" si="3"/>
        <v>858.7</v>
      </c>
      <c r="Q20" s="244">
        <v>6.3</v>
      </c>
    </row>
    <row r="21" spans="1:17">
      <c r="A21" s="16" t="s">
        <v>25</v>
      </c>
      <c r="B21" s="242"/>
      <c r="C21" s="16"/>
      <c r="D21" s="244">
        <f t="shared" si="0"/>
        <v>579.6</v>
      </c>
      <c r="E21" s="244">
        <v>16.2</v>
      </c>
      <c r="F21" s="244"/>
      <c r="G21" s="244"/>
      <c r="H21" s="244">
        <f t="shared" si="1"/>
        <v>593.20000000000005</v>
      </c>
      <c r="I21" s="244">
        <v>17.100000000000001</v>
      </c>
      <c r="J21" s="244"/>
      <c r="K21" s="244"/>
      <c r="L21" s="244">
        <f t="shared" si="2"/>
        <v>619.1</v>
      </c>
      <c r="M21" s="244">
        <v>16</v>
      </c>
      <c r="N21" s="244"/>
      <c r="O21" s="244"/>
      <c r="P21" s="244">
        <f t="shared" si="3"/>
        <v>690.8</v>
      </c>
      <c r="Q21" s="244">
        <v>3.5</v>
      </c>
    </row>
    <row r="22" spans="1:17">
      <c r="A22" s="16" t="s">
        <v>26</v>
      </c>
      <c r="B22" s="242"/>
      <c r="C22" s="16"/>
      <c r="D22" s="244">
        <f t="shared" si="0"/>
        <v>579.4</v>
      </c>
      <c r="E22" s="244">
        <v>17.2</v>
      </c>
      <c r="F22" s="244"/>
      <c r="G22" s="244"/>
      <c r="H22" s="244">
        <f t="shared" si="1"/>
        <v>610.6</v>
      </c>
      <c r="I22" s="244">
        <v>18.100000000000001</v>
      </c>
      <c r="J22" s="244"/>
      <c r="K22" s="244"/>
      <c r="L22" s="244">
        <f t="shared" si="2"/>
        <v>604.29999999999995</v>
      </c>
      <c r="M22" s="244">
        <v>17</v>
      </c>
      <c r="N22" s="244"/>
      <c r="O22" s="244"/>
      <c r="P22" s="244">
        <f t="shared" si="3"/>
        <v>670.4</v>
      </c>
      <c r="Q22" s="244">
        <v>3.2</v>
      </c>
    </row>
    <row r="23" spans="1:17">
      <c r="A23" s="16" t="s">
        <v>27</v>
      </c>
      <c r="B23" s="242"/>
      <c r="C23" s="16"/>
      <c r="D23" s="244">
        <f t="shared" si="0"/>
        <v>592.5</v>
      </c>
      <c r="E23" s="244">
        <v>18.2</v>
      </c>
      <c r="F23" s="244"/>
      <c r="G23" s="244"/>
      <c r="H23" s="244">
        <f t="shared" si="1"/>
        <v>620.4</v>
      </c>
      <c r="I23" s="244">
        <v>19.100000000000001</v>
      </c>
      <c r="J23" s="244"/>
      <c r="K23" s="244"/>
      <c r="L23" s="244">
        <f t="shared" si="2"/>
        <v>635.70000000000005</v>
      </c>
      <c r="M23" s="244">
        <v>18</v>
      </c>
      <c r="N23" s="244"/>
      <c r="O23" s="244"/>
      <c r="P23" s="244">
        <f t="shared" si="3"/>
        <v>681.4</v>
      </c>
      <c r="Q23" s="244">
        <v>2.8</v>
      </c>
    </row>
    <row r="24" spans="1:17">
      <c r="A24" s="16" t="s">
        <v>28</v>
      </c>
      <c r="B24" s="242"/>
      <c r="C24" s="16"/>
      <c r="D24" s="244">
        <f t="shared" si="0"/>
        <v>585.1</v>
      </c>
      <c r="E24" s="244">
        <v>19.2</v>
      </c>
      <c r="F24" s="244"/>
      <c r="G24" s="244"/>
      <c r="H24" s="244">
        <f t="shared" si="1"/>
        <v>605.70000000000005</v>
      </c>
      <c r="I24" s="244">
        <v>20.100000000000001</v>
      </c>
      <c r="J24" s="244"/>
      <c r="K24" s="244"/>
      <c r="L24" s="244">
        <f t="shared" si="2"/>
        <v>666.5</v>
      </c>
      <c r="M24" s="244">
        <v>19</v>
      </c>
      <c r="N24" s="244"/>
      <c r="O24" s="244"/>
      <c r="P24" s="244">
        <f t="shared" si="3"/>
        <v>705.3</v>
      </c>
      <c r="Q24" s="244">
        <v>3.7</v>
      </c>
    </row>
    <row r="25" spans="1:17">
      <c r="A25" s="16" t="s">
        <v>29</v>
      </c>
      <c r="B25" s="242"/>
      <c r="C25" s="16"/>
      <c r="D25" s="244">
        <f t="shared" si="0"/>
        <v>560.9</v>
      </c>
      <c r="E25" s="244">
        <v>20.2</v>
      </c>
      <c r="F25" s="244"/>
      <c r="G25" s="244"/>
      <c r="H25" s="244">
        <f t="shared" si="1"/>
        <v>568</v>
      </c>
      <c r="I25" s="244">
        <v>21.1</v>
      </c>
      <c r="J25" s="244"/>
      <c r="K25" s="244"/>
      <c r="L25" s="244">
        <f t="shared" si="2"/>
        <v>633.79999999999995</v>
      </c>
      <c r="M25" s="244">
        <v>20</v>
      </c>
      <c r="N25" s="244"/>
      <c r="O25" s="244"/>
      <c r="P25" s="244">
        <f t="shared" si="3"/>
        <v>718.5</v>
      </c>
      <c r="Q25" s="244">
        <v>8.9</v>
      </c>
    </row>
    <row r="26" spans="1:17">
      <c r="A26" s="16" t="s">
        <v>30</v>
      </c>
      <c r="B26" s="242"/>
      <c r="C26" s="16"/>
      <c r="D26" s="244">
        <f t="shared" si="0"/>
        <v>555.9</v>
      </c>
      <c r="E26" s="244">
        <v>21.2</v>
      </c>
      <c r="F26" s="244"/>
      <c r="G26" s="244"/>
      <c r="H26" s="244">
        <f t="shared" si="1"/>
        <v>595.20000000000005</v>
      </c>
      <c r="I26" s="244">
        <v>22.1</v>
      </c>
      <c r="J26" s="244"/>
      <c r="K26" s="244"/>
      <c r="L26" s="244">
        <f t="shared" si="2"/>
        <v>625.5</v>
      </c>
      <c r="M26" s="244">
        <v>21</v>
      </c>
      <c r="N26" s="244"/>
      <c r="O26" s="244"/>
      <c r="P26" s="244">
        <f t="shared" si="3"/>
        <v>715.7</v>
      </c>
      <c r="Q26" s="244">
        <v>5.8</v>
      </c>
    </row>
    <row r="27" spans="1:17">
      <c r="A27" s="16" t="s">
        <v>31</v>
      </c>
      <c r="B27" s="242"/>
      <c r="C27" s="16"/>
      <c r="D27" s="244">
        <f t="shared" si="0"/>
        <v>550.6</v>
      </c>
      <c r="E27" s="244">
        <v>22.2</v>
      </c>
      <c r="F27" s="244"/>
      <c r="G27" s="244"/>
      <c r="H27" s="244">
        <f t="shared" si="1"/>
        <v>565.5</v>
      </c>
      <c r="I27" s="244">
        <v>23.1</v>
      </c>
      <c r="J27" s="244"/>
      <c r="K27" s="244"/>
      <c r="L27" s="244">
        <f t="shared" si="2"/>
        <v>600.1</v>
      </c>
      <c r="M27" s="244">
        <v>22</v>
      </c>
      <c r="N27" s="244"/>
      <c r="O27" s="244"/>
      <c r="P27" s="244">
        <f t="shared" si="3"/>
        <v>647.1</v>
      </c>
      <c r="Q27" s="244">
        <v>8</v>
      </c>
    </row>
    <row r="28" spans="1:17">
      <c r="A28" s="16" t="s">
        <v>32</v>
      </c>
      <c r="B28" s="242"/>
      <c r="C28" s="16"/>
      <c r="D28" s="244">
        <f t="shared" si="0"/>
        <v>552.1</v>
      </c>
      <c r="E28" s="244">
        <v>23.2</v>
      </c>
      <c r="F28" s="244"/>
      <c r="G28" s="244"/>
      <c r="H28" s="244">
        <f t="shared" si="1"/>
        <v>670.7</v>
      </c>
      <c r="I28" s="244">
        <v>24.1</v>
      </c>
      <c r="J28" s="244"/>
      <c r="K28" s="244"/>
      <c r="L28" s="244">
        <f t="shared" si="2"/>
        <v>562.29999999999995</v>
      </c>
      <c r="M28" s="244">
        <v>23</v>
      </c>
      <c r="N28" s="244"/>
      <c r="O28" s="244"/>
      <c r="P28" s="244">
        <f t="shared" si="3"/>
        <v>727.9</v>
      </c>
      <c r="Q28" s="244">
        <v>11</v>
      </c>
    </row>
    <row r="29" spans="1:17">
      <c r="A29" s="16" t="s">
        <v>33</v>
      </c>
      <c r="B29" s="242"/>
      <c r="C29" s="16"/>
      <c r="D29" s="244">
        <f t="shared" si="0"/>
        <v>598.1</v>
      </c>
      <c r="E29" s="244">
        <v>24.2</v>
      </c>
      <c r="F29" s="244"/>
      <c r="G29" s="244"/>
      <c r="H29" s="244">
        <f t="shared" si="1"/>
        <v>624.5</v>
      </c>
      <c r="I29" s="244">
        <v>25.1</v>
      </c>
      <c r="J29" s="244"/>
      <c r="K29" s="244"/>
      <c r="L29" s="244">
        <f t="shared" si="2"/>
        <v>635.9</v>
      </c>
      <c r="M29" s="244">
        <v>24</v>
      </c>
      <c r="N29" s="244"/>
      <c r="O29" s="244"/>
      <c r="P29" s="244">
        <f t="shared" si="3"/>
        <v>702.1</v>
      </c>
      <c r="Q29" s="244">
        <v>4.9000000000000004</v>
      </c>
    </row>
    <row r="30" spans="1:17">
      <c r="A30" s="16" t="s">
        <v>34</v>
      </c>
      <c r="B30" s="242"/>
      <c r="C30" s="16"/>
      <c r="D30" s="244">
        <f t="shared" si="0"/>
        <v>576.9</v>
      </c>
      <c r="E30" s="244">
        <v>25.2</v>
      </c>
      <c r="F30" s="244"/>
      <c r="G30" s="244"/>
      <c r="H30" s="244">
        <f t="shared" si="1"/>
        <v>592.70000000000005</v>
      </c>
      <c r="I30" s="244">
        <v>26.1</v>
      </c>
      <c r="J30" s="244"/>
      <c r="K30" s="244"/>
      <c r="L30" s="244">
        <f t="shared" si="2"/>
        <v>657.9</v>
      </c>
      <c r="M30" s="244">
        <v>25</v>
      </c>
      <c r="N30" s="244"/>
      <c r="O30" s="244"/>
      <c r="P30" s="244">
        <f t="shared" si="3"/>
        <v>705.7</v>
      </c>
      <c r="Q30" s="244">
        <v>3.1</v>
      </c>
    </row>
    <row r="31" spans="1:17">
      <c r="A31" s="16" t="s">
        <v>35</v>
      </c>
      <c r="B31" s="242"/>
      <c r="C31" s="16"/>
      <c r="D31" s="244">
        <f t="shared" si="0"/>
        <v>579.5</v>
      </c>
      <c r="E31" s="244">
        <v>26.2</v>
      </c>
      <c r="F31" s="244"/>
      <c r="G31" s="244"/>
      <c r="H31" s="244">
        <f t="shared" si="1"/>
        <v>563</v>
      </c>
      <c r="I31" s="244">
        <v>27.1</v>
      </c>
      <c r="J31" s="244"/>
      <c r="K31" s="244"/>
      <c r="L31" s="244">
        <f t="shared" si="2"/>
        <v>662.3</v>
      </c>
      <c r="M31" s="244">
        <v>26</v>
      </c>
      <c r="N31" s="244"/>
      <c r="O31" s="244"/>
      <c r="P31" s="244">
        <f t="shared" si="3"/>
        <v>776.2</v>
      </c>
      <c r="Q31" s="244">
        <v>13</v>
      </c>
    </row>
    <row r="32" spans="1:17">
      <c r="A32" s="16" t="s">
        <v>36</v>
      </c>
      <c r="B32" s="242"/>
      <c r="C32" s="16"/>
      <c r="D32" s="244">
        <f t="shared" si="0"/>
        <v>571</v>
      </c>
      <c r="E32" s="244">
        <v>27.2</v>
      </c>
      <c r="F32" s="244"/>
      <c r="G32" s="244"/>
      <c r="H32" s="244">
        <f t="shared" si="1"/>
        <v>579.1</v>
      </c>
      <c r="I32" s="244">
        <v>28.1</v>
      </c>
      <c r="J32" s="244"/>
      <c r="K32" s="244"/>
      <c r="L32" s="244">
        <f t="shared" si="2"/>
        <v>663.8</v>
      </c>
      <c r="M32" s="244">
        <v>27</v>
      </c>
      <c r="N32" s="244"/>
      <c r="O32" s="244"/>
      <c r="P32" s="244">
        <f t="shared" si="3"/>
        <v>727.7</v>
      </c>
      <c r="Q32" s="244">
        <v>5.7</v>
      </c>
    </row>
    <row r="33" spans="1:17">
      <c r="A33" s="16" t="s">
        <v>37</v>
      </c>
      <c r="B33" s="242"/>
      <c r="C33" s="16"/>
      <c r="D33" s="244">
        <f t="shared" si="0"/>
        <v>626.9</v>
      </c>
      <c r="E33" s="244">
        <v>28.2</v>
      </c>
      <c r="F33" s="244"/>
      <c r="G33" s="244"/>
      <c r="H33" s="244">
        <f t="shared" si="1"/>
        <v>659.2</v>
      </c>
      <c r="I33" s="244">
        <v>29.1</v>
      </c>
      <c r="J33" s="244"/>
      <c r="K33" s="244"/>
      <c r="L33" s="244">
        <f t="shared" si="2"/>
        <v>634.70000000000005</v>
      </c>
      <c r="M33" s="244">
        <v>28</v>
      </c>
      <c r="N33" s="244"/>
      <c r="O33" s="244"/>
      <c r="P33" s="244">
        <f t="shared" si="3"/>
        <v>715.7</v>
      </c>
      <c r="Q33" s="244">
        <v>6</v>
      </c>
    </row>
    <row r="34" spans="1:17">
      <c r="A34" s="16" t="s">
        <v>38</v>
      </c>
      <c r="B34" s="242"/>
      <c r="C34" s="16"/>
      <c r="D34" s="244">
        <f t="shared" si="0"/>
        <v>541.6</v>
      </c>
      <c r="E34" s="244">
        <v>29.2</v>
      </c>
      <c r="F34" s="244"/>
      <c r="G34" s="244"/>
      <c r="H34" s="244">
        <f t="shared" si="1"/>
        <v>550.6</v>
      </c>
      <c r="I34" s="244">
        <v>30.1</v>
      </c>
      <c r="J34" s="244"/>
      <c r="K34" s="244"/>
      <c r="L34" s="244">
        <f t="shared" si="2"/>
        <v>622.20000000000005</v>
      </c>
      <c r="M34" s="244">
        <v>29</v>
      </c>
      <c r="N34" s="244"/>
      <c r="O34" s="244"/>
      <c r="P34" s="244">
        <f t="shared" si="3"/>
        <v>673.3</v>
      </c>
      <c r="Q34" s="244">
        <v>6.6</v>
      </c>
    </row>
    <row r="35" spans="1:17">
      <c r="A35" s="16" t="s">
        <v>39</v>
      </c>
      <c r="B35" s="242"/>
      <c r="C35" s="16"/>
      <c r="D35" s="244">
        <f t="shared" si="0"/>
        <v>642.6</v>
      </c>
      <c r="E35" s="244">
        <v>30.2</v>
      </c>
      <c r="F35" s="244"/>
      <c r="G35" s="244"/>
      <c r="H35" s="244">
        <f t="shared" si="1"/>
        <v>670.8</v>
      </c>
      <c r="I35" s="244">
        <v>31.1</v>
      </c>
      <c r="J35" s="244"/>
      <c r="K35" s="244"/>
      <c r="L35" s="244">
        <f t="shared" si="2"/>
        <v>671.6</v>
      </c>
      <c r="M35" s="244">
        <v>30</v>
      </c>
      <c r="N35" s="244"/>
      <c r="O35" s="244"/>
      <c r="P35" s="244">
        <f t="shared" si="3"/>
        <v>893.3</v>
      </c>
      <c r="Q35" s="244">
        <v>12</v>
      </c>
    </row>
    <row r="36" spans="1:17">
      <c r="A36" s="16" t="s">
        <v>40</v>
      </c>
      <c r="B36" s="242"/>
      <c r="C36" s="16"/>
      <c r="D36" s="244">
        <f t="shared" si="0"/>
        <v>594.6</v>
      </c>
      <c r="E36" s="244">
        <v>31.2</v>
      </c>
      <c r="F36" s="244"/>
      <c r="G36" s="244"/>
      <c r="H36" s="244">
        <f t="shared" si="1"/>
        <v>665.9</v>
      </c>
      <c r="I36" s="244">
        <v>32.1</v>
      </c>
      <c r="J36" s="244"/>
      <c r="K36" s="244"/>
      <c r="L36" s="244">
        <f t="shared" si="2"/>
        <v>681</v>
      </c>
      <c r="M36" s="244">
        <v>31</v>
      </c>
      <c r="N36" s="244"/>
      <c r="O36" s="244"/>
      <c r="P36" s="244">
        <f t="shared" si="3"/>
        <v>753.4</v>
      </c>
      <c r="Q36" s="244">
        <v>9.5</v>
      </c>
    </row>
    <row r="37" spans="1:17">
      <c r="A37" s="16" t="s">
        <v>41</v>
      </c>
      <c r="B37" s="242"/>
      <c r="C37" s="16"/>
      <c r="D37" s="244">
        <f t="shared" si="0"/>
        <v>620.79999999999995</v>
      </c>
      <c r="E37" s="244">
        <v>32.200000000000003</v>
      </c>
      <c r="F37" s="244"/>
      <c r="G37" s="244"/>
      <c r="H37" s="244">
        <f t="shared" si="1"/>
        <v>651</v>
      </c>
      <c r="I37" s="244">
        <v>33.1</v>
      </c>
      <c r="J37" s="244"/>
      <c r="K37" s="244"/>
      <c r="L37" s="244">
        <f t="shared" si="2"/>
        <v>652.1</v>
      </c>
      <c r="M37" s="244">
        <v>32</v>
      </c>
      <c r="N37" s="244"/>
      <c r="O37" s="244"/>
      <c r="P37" s="244">
        <f t="shared" si="3"/>
        <v>729.6</v>
      </c>
      <c r="Q37" s="244">
        <v>3.8</v>
      </c>
    </row>
    <row r="38" spans="1:17">
      <c r="A38" s="16" t="s">
        <v>42</v>
      </c>
      <c r="B38" s="242"/>
      <c r="C38" s="16"/>
      <c r="D38" s="244">
        <f t="shared" si="0"/>
        <v>583.79999999999995</v>
      </c>
      <c r="E38" s="244">
        <v>33.200000000000003</v>
      </c>
      <c r="F38" s="244"/>
      <c r="G38" s="244"/>
      <c r="H38" s="244">
        <f t="shared" si="1"/>
        <v>652.4</v>
      </c>
      <c r="I38" s="244">
        <v>34.1</v>
      </c>
      <c r="J38" s="244"/>
      <c r="K38" s="244"/>
      <c r="L38" s="244">
        <f t="shared" si="2"/>
        <v>631.29999999999995</v>
      </c>
      <c r="M38" s="244">
        <v>33</v>
      </c>
      <c r="N38" s="244"/>
      <c r="O38" s="244"/>
      <c r="P38" s="244">
        <f t="shared" si="3"/>
        <v>699.5</v>
      </c>
      <c r="Q38" s="244">
        <v>7.2</v>
      </c>
    </row>
    <row r="39" spans="1:17">
      <c r="A39" s="16" t="s">
        <v>43</v>
      </c>
      <c r="B39" s="242"/>
      <c r="C39" s="16"/>
      <c r="D39" s="244">
        <f t="shared" si="0"/>
        <v>566.4</v>
      </c>
      <c r="E39" s="244">
        <v>34.200000000000003</v>
      </c>
      <c r="F39" s="244"/>
      <c r="G39" s="244"/>
      <c r="H39" s="244">
        <f t="shared" si="1"/>
        <v>650.9</v>
      </c>
      <c r="I39" s="244">
        <v>35.1</v>
      </c>
      <c r="J39" s="244"/>
      <c r="K39" s="244"/>
      <c r="L39" s="244">
        <f t="shared" si="2"/>
        <v>610.79999999999995</v>
      </c>
      <c r="M39" s="244">
        <v>34</v>
      </c>
      <c r="N39" s="244"/>
      <c r="O39" s="244"/>
      <c r="P39" s="244">
        <f t="shared" si="3"/>
        <v>682</v>
      </c>
      <c r="Q39" s="244">
        <v>5.7</v>
      </c>
    </row>
    <row r="40" spans="1:17">
      <c r="A40" s="16" t="s">
        <v>44</v>
      </c>
      <c r="B40" s="242"/>
      <c r="C40" s="16"/>
      <c r="D40" s="244">
        <f t="shared" si="0"/>
        <v>585.1</v>
      </c>
      <c r="E40" s="244">
        <v>35.200000000000003</v>
      </c>
      <c r="F40" s="244"/>
      <c r="G40" s="244"/>
      <c r="H40" s="244">
        <f t="shared" si="1"/>
        <v>602.5</v>
      </c>
      <c r="I40" s="244">
        <v>36.1</v>
      </c>
      <c r="J40" s="244"/>
      <c r="K40" s="244"/>
      <c r="L40" s="244">
        <f t="shared" si="2"/>
        <v>634.6</v>
      </c>
      <c r="M40" s="244">
        <v>35</v>
      </c>
      <c r="N40" s="244"/>
      <c r="O40" s="244"/>
      <c r="P40" s="244">
        <f t="shared" si="3"/>
        <v>695.3</v>
      </c>
      <c r="Q40" s="244">
        <v>4.2</v>
      </c>
    </row>
    <row r="41" spans="1:17">
      <c r="A41" s="16" t="s">
        <v>45</v>
      </c>
      <c r="B41" s="242"/>
      <c r="C41" s="16"/>
      <c r="D41" s="244">
        <f t="shared" si="0"/>
        <v>595</v>
      </c>
      <c r="E41" s="244">
        <v>36.200000000000003</v>
      </c>
      <c r="F41" s="244"/>
      <c r="G41" s="244"/>
      <c r="H41" s="244">
        <f t="shared" si="1"/>
        <v>619.9</v>
      </c>
      <c r="I41" s="244">
        <v>37.1</v>
      </c>
      <c r="J41" s="244"/>
      <c r="K41" s="244"/>
      <c r="L41" s="244">
        <f t="shared" si="2"/>
        <v>641.29999999999995</v>
      </c>
      <c r="M41" s="244">
        <v>36</v>
      </c>
      <c r="N41" s="244"/>
      <c r="O41" s="244"/>
      <c r="P41" s="244">
        <f t="shared" si="3"/>
        <v>702.4</v>
      </c>
      <c r="Q41" s="244">
        <v>0.7</v>
      </c>
    </row>
    <row r="42" spans="1:17">
      <c r="A42" s="16" t="s">
        <v>46</v>
      </c>
      <c r="B42" s="242"/>
      <c r="C42" s="16"/>
      <c r="D42" s="244">
        <f t="shared" si="0"/>
        <v>585.70000000000005</v>
      </c>
      <c r="E42" s="244">
        <v>37.200000000000003</v>
      </c>
      <c r="F42" s="244"/>
      <c r="G42" s="244"/>
      <c r="H42" s="244">
        <f t="shared" si="1"/>
        <v>609.79999999999995</v>
      </c>
      <c r="I42" s="244">
        <v>38.1</v>
      </c>
      <c r="J42" s="244"/>
      <c r="K42" s="244"/>
      <c r="L42" s="244">
        <f t="shared" si="2"/>
        <v>641.79999999999995</v>
      </c>
      <c r="M42" s="244">
        <v>37</v>
      </c>
      <c r="N42" s="244"/>
      <c r="O42" s="244"/>
      <c r="P42" s="244">
        <f t="shared" si="3"/>
        <v>681.7</v>
      </c>
      <c r="Q42" s="244">
        <v>0.2</v>
      </c>
    </row>
    <row r="43" spans="1:17">
      <c r="A43" s="16" t="s">
        <v>47</v>
      </c>
      <c r="B43" s="16"/>
      <c r="C43" s="16"/>
      <c r="D43" s="397">
        <f>AVERAGE(D18,D20,D23,D25,D30,D33,D37,D39)</f>
        <v>636.0625</v>
      </c>
      <c r="E43" s="10" t="s">
        <v>69</v>
      </c>
      <c r="F43" s="14"/>
      <c r="G43" s="14"/>
      <c r="H43" s="397">
        <f>AVERAGE(H18,H20,H23,H25,H30,H33,H37,H39)</f>
        <v>663.21249999999998</v>
      </c>
      <c r="I43" s="10" t="s">
        <v>69</v>
      </c>
      <c r="J43" s="14"/>
      <c r="K43" s="14"/>
      <c r="L43" s="397">
        <f>AVERAGE(L18,L20,L23,L25,L30,L33,L37,L39)</f>
        <v>672.56250000000011</v>
      </c>
      <c r="M43" s="10" t="s">
        <v>69</v>
      </c>
      <c r="N43" s="14"/>
      <c r="O43" s="14"/>
      <c r="P43" s="397">
        <f>AVERAGE(P18,P20,P23,P25,P30,P33,P37,P39)</f>
        <v>739.30000000000007</v>
      </c>
      <c r="Q43" s="14" t="s">
        <v>69</v>
      </c>
    </row>
    <row r="44" spans="1:17">
      <c r="A44" s="16"/>
      <c r="B44" s="16"/>
      <c r="C44" s="16"/>
      <c r="D44" s="15"/>
      <c r="E44" s="14"/>
      <c r="F44" s="14"/>
      <c r="G44" s="14"/>
      <c r="H44" s="15"/>
      <c r="I44" s="14"/>
      <c r="J44" s="14"/>
      <c r="K44" s="14"/>
      <c r="L44" s="15"/>
      <c r="M44" s="14"/>
      <c r="N44" s="14"/>
      <c r="O44" s="14"/>
      <c r="P44" s="15"/>
      <c r="Q44" s="14"/>
    </row>
    <row r="45" spans="1:17" s="8" customFormat="1">
      <c r="A45" s="108" t="s">
        <v>543</v>
      </c>
      <c r="B45" s="108"/>
      <c r="D45" s="398" cm="1">
        <f t="array" ref="D45">AVERAGE(AVERAGEIFS(D$9:D$40,$A$9:$A$40,{"Na h-Eileanan Siar","Argyll and Bute","Shetland Islands","Highland","Orkney Islands","Scottish Borders","Dumfries and Galloway","Aberdeenshire"}))</f>
        <v>572.17500000000007</v>
      </c>
      <c r="F45" s="108"/>
      <c r="H45" s="398" cm="1">
        <f t="array" ref="H45">AVERAGE(AVERAGEIFS(H$9:H$40,$A$9:$A$40,{"Na h-Eileanan Siar","Argyll and Bute","Shetland Islands","Highland","Orkney Islands","Scottish Borders","Dumfries and Galloway","Aberdeenshire"}))</f>
        <v>601.9375</v>
      </c>
      <c r="J45" s="108"/>
      <c r="L45" s="398" cm="1">
        <f t="array" ref="L45">AVERAGE(AVERAGEIFS(L$9:L$40,$A$9:$A$40,{"Na h-Eileanan Siar","Argyll and Bute","Shetland Islands","Highland","Orkney Islands","Scottish Borders","Dumfries and Galloway","Aberdeenshire"}))</f>
        <v>633.72499999999991</v>
      </c>
      <c r="N45" s="108"/>
      <c r="P45" s="398" cm="1">
        <f t="array" ref="P45">AVERAGE(AVERAGEIFS(P$9:P$40,$A$9:$A$40,{"Na h-Eileanan Siar","Argyll and Bute","Shetland Islands","Highland","Orkney Islands","Scottish Borders","Dumfries and Galloway","Aberdeenshire"}))</f>
        <v>720.96249999999998</v>
      </c>
    </row>
    <row r="46" spans="1:17" s="8" customFormat="1">
      <c r="A46" s="108" t="s">
        <v>544</v>
      </c>
      <c r="B46" s="108"/>
      <c r="C46" s="213"/>
      <c r="D46" s="398" cm="1">
        <f t="array" ref="D46">AVERAGE(AVERAGEIFS(D$9:D$40,$A$9:$A$40,{"Perth and Kinross","Stirling","Moray","South Ayrshire","East Ayrshire","East Lothian","North Ayrshire","Fife"}))</f>
        <v>585.54999999999995</v>
      </c>
      <c r="F46" s="108"/>
      <c r="G46" s="213"/>
      <c r="H46" s="398" cm="1">
        <f t="array" ref="H46">AVERAGE(AVERAGEIFS(H$9:H$40,$A$9:$A$40,{"Perth and Kinross","Stirling","Moray","South Ayrshire","East Ayrshire","East Lothian","North Ayrshire","Fife"}))</f>
        <v>613.38750000000005</v>
      </c>
      <c r="J46" s="108"/>
      <c r="K46" s="213"/>
      <c r="L46" s="398" cm="1">
        <f t="array" ref="L46">AVERAGE(AVERAGEIFS(L$9:L$40,$A$9:$A$40,{"Perth and Kinross","Stirling","Moray","South Ayrshire","East Ayrshire","East Lothian","North Ayrshire","Fife"}))</f>
        <v>638.29999999999995</v>
      </c>
      <c r="N46" s="108"/>
      <c r="O46" s="213"/>
      <c r="P46" s="398" cm="1">
        <f t="array" ref="P46">AVERAGE(AVERAGEIFS(P$9:P$40,$A$9:$A$40,{"Perth and Kinross","Stirling","Moray","South Ayrshire","East Ayrshire","East Lothian","North Ayrshire","Fife"}))</f>
        <v>697.05</v>
      </c>
    </row>
    <row r="47" spans="1:17" s="8" customFormat="1">
      <c r="A47" s="108" t="s">
        <v>545</v>
      </c>
      <c r="B47" s="108"/>
      <c r="C47" s="213"/>
      <c r="D47" s="398" cm="1">
        <f t="array" ref="D47">AVERAGE(AVERAGEIFS(D$9:D$40,$A$9:$A$40,{"Angus","Clackmannanshire","Midlothian","South Lanarkshire","Inverclyde","Renfrewshire","West Lothian","East Renfrewshire"}))</f>
        <v>615.1875</v>
      </c>
      <c r="F47" s="108"/>
      <c r="G47" s="213"/>
      <c r="H47" s="398" cm="1">
        <f t="array" ref="H47">AVERAGE(AVERAGEIFS(H$9:H$40,$A$9:$A$40,{"Angus","Clackmannanshire","Midlothian","South Lanarkshire","Inverclyde","Renfrewshire","West Lothian","East Renfrewshire"}))</f>
        <v>640.53749999999991</v>
      </c>
      <c r="J47" s="108"/>
      <c r="K47" s="213"/>
      <c r="L47" s="398" cm="1">
        <f t="array" ref="L47">AVERAGE(AVERAGEIFS(L$9:L$40,$A$9:$A$40,{"Angus","Clackmannanshire","Midlothian","South Lanarkshire","Inverclyde","Renfrewshire","West Lothian","East Renfrewshire"}))</f>
        <v>655.66250000000002</v>
      </c>
      <c r="N47" s="108"/>
      <c r="O47" s="213"/>
      <c r="P47" s="398" cm="1">
        <f t="array" ref="P47">AVERAGE(AVERAGEIFS(P$9:P$40,$A$9:$A$40,{"Angus","Clackmannanshire","Midlothian","South Lanarkshire","Inverclyde","Renfrewshire","West Lothian","East Renfrewshire"}))</f>
        <v>719.63750000000005</v>
      </c>
    </row>
    <row r="48" spans="1:17" s="8" customFormat="1">
      <c r="A48" s="108" t="s">
        <v>546</v>
      </c>
      <c r="B48" s="108"/>
      <c r="C48" s="213"/>
      <c r="D48" s="398" cm="1">
        <f t="array" ref="D48">AVERAGE(AVERAGEIFS(D$9:D$40,$A$9:$A$40,{"North Lanarkshire","Falkirk","East Dunbartonshire","Aberdeen City","Edinburgh, City of","West Dunbartonshire","Dundee City","Glasgow City"}))</f>
        <v>603.28750000000002</v>
      </c>
      <c r="F48" s="108"/>
      <c r="G48" s="213"/>
      <c r="H48" s="398" cm="1">
        <f t="array" ref="H48">AVERAGE(AVERAGEIFS(H$9:H$40,$A$9:$A$40,{"North Lanarkshire","Falkirk","East Dunbartonshire","Aberdeen City","Edinburgh, City of","West Dunbartonshire","Dundee City","Glasgow City"}))</f>
        <v>625.13750000000005</v>
      </c>
      <c r="J48" s="108"/>
      <c r="K48" s="213"/>
      <c r="L48" s="398" cm="1">
        <f t="array" ref="L48">AVERAGE(AVERAGEIFS(L$9:L$40,$A$9:$A$40,{"North Lanarkshire","Falkirk","East Dunbartonshire","Aberdeen City","Edinburgh, City of","West Dunbartonshire","Dundee City","Glasgow City"}))</f>
        <v>643.71249999999998</v>
      </c>
      <c r="N48" s="108"/>
      <c r="O48" s="213"/>
      <c r="P48" s="398" cm="1">
        <f t="array" ref="P48">AVERAGE(AVERAGEIFS(P$9:P$40,$A$9:$A$40,{"North Lanarkshire","Falkirk","East Dunbartonshire","Aberdeen City","Edinburgh, City of","West Dunbartonshire","Dundee City","Glasgow City"}))</f>
        <v>703.65</v>
      </c>
    </row>
    <row r="49" spans="1:9">
      <c r="A49" s="13"/>
      <c r="B49" s="13"/>
      <c r="C49" s="13"/>
    </row>
    <row r="50" spans="1:9">
      <c r="A50" s="13"/>
      <c r="B50" s="13"/>
      <c r="C50" s="13"/>
    </row>
    <row r="51" spans="1:9">
      <c r="A51" s="13"/>
      <c r="B51" s="13"/>
      <c r="C51" s="13"/>
    </row>
    <row r="52" spans="1:9">
      <c r="A52" s="13" t="s">
        <v>68</v>
      </c>
      <c r="B52" s="13"/>
      <c r="C52" s="13"/>
    </row>
    <row r="53" spans="1:9">
      <c r="A53" s="13" t="s">
        <v>67</v>
      </c>
      <c r="B53" s="13"/>
      <c r="C53" s="13"/>
    </row>
    <row r="59" spans="1:9">
      <c r="A59" t="s">
        <v>5</v>
      </c>
      <c r="B59">
        <v>2020</v>
      </c>
      <c r="D59">
        <v>2021</v>
      </c>
      <c r="F59">
        <v>2022</v>
      </c>
      <c r="H59">
        <v>2023</v>
      </c>
    </row>
    <row r="60" spans="1:9">
      <c r="B60" t="s">
        <v>71</v>
      </c>
      <c r="C60" t="s">
        <v>70</v>
      </c>
      <c r="D60" t="s">
        <v>71</v>
      </c>
      <c r="E60" t="s">
        <v>70</v>
      </c>
      <c r="F60" t="s">
        <v>71</v>
      </c>
      <c r="G60" t="s">
        <v>70</v>
      </c>
      <c r="H60" t="s">
        <v>71</v>
      </c>
      <c r="I60" t="s">
        <v>70</v>
      </c>
    </row>
    <row r="61" spans="1:9">
      <c r="A61" t="s">
        <v>14</v>
      </c>
      <c r="B61">
        <v>577.70000000000005</v>
      </c>
      <c r="C61">
        <v>5.0999999999999996</v>
      </c>
      <c r="D61">
        <v>587.79999999999995</v>
      </c>
      <c r="E61">
        <v>4</v>
      </c>
      <c r="F61">
        <v>637.4</v>
      </c>
      <c r="G61">
        <v>3.5</v>
      </c>
      <c r="H61">
        <v>710.9</v>
      </c>
      <c r="I61">
        <v>4.9000000000000004</v>
      </c>
    </row>
    <row r="62" spans="1:9">
      <c r="A62" t="s">
        <v>15</v>
      </c>
      <c r="B62">
        <v>605.1</v>
      </c>
      <c r="C62">
        <v>5.0999999999999996</v>
      </c>
      <c r="D62">
        <v>638.20000000000005</v>
      </c>
      <c r="E62">
        <v>6.1</v>
      </c>
      <c r="F62">
        <v>710.8</v>
      </c>
      <c r="G62">
        <v>5.4</v>
      </c>
      <c r="H62">
        <v>739.9</v>
      </c>
      <c r="I62">
        <v>5</v>
      </c>
    </row>
    <row r="63" spans="1:9">
      <c r="A63" t="s">
        <v>16</v>
      </c>
      <c r="B63">
        <v>578.29999999999995</v>
      </c>
      <c r="C63">
        <v>7.7</v>
      </c>
      <c r="D63">
        <v>600</v>
      </c>
      <c r="E63">
        <v>6.9</v>
      </c>
      <c r="F63">
        <v>609.6</v>
      </c>
      <c r="G63">
        <v>6.5</v>
      </c>
      <c r="H63">
        <v>637.70000000000005</v>
      </c>
      <c r="I63">
        <v>7.6</v>
      </c>
    </row>
    <row r="64" spans="1:9">
      <c r="A64" t="s">
        <v>17</v>
      </c>
      <c r="B64">
        <v>555.6</v>
      </c>
      <c r="C64">
        <v>7.4</v>
      </c>
      <c r="D64">
        <v>564.29999999999995</v>
      </c>
      <c r="E64">
        <v>7.5</v>
      </c>
      <c r="F64">
        <v>588.4</v>
      </c>
      <c r="G64">
        <v>7</v>
      </c>
      <c r="H64">
        <v>653.6</v>
      </c>
      <c r="I64">
        <v>7.8</v>
      </c>
    </row>
    <row r="65" spans="1:9">
      <c r="A65" t="s">
        <v>189</v>
      </c>
      <c r="B65">
        <v>639.4</v>
      </c>
      <c r="C65">
        <v>3.6</v>
      </c>
      <c r="D65">
        <v>635.4</v>
      </c>
      <c r="E65">
        <v>4</v>
      </c>
      <c r="F65">
        <v>658</v>
      </c>
      <c r="G65">
        <v>2.5</v>
      </c>
      <c r="H65">
        <v>720.7</v>
      </c>
      <c r="I65">
        <v>3.3</v>
      </c>
    </row>
    <row r="66" spans="1:9">
      <c r="A66" t="s">
        <v>18</v>
      </c>
      <c r="B66">
        <v>567.9</v>
      </c>
      <c r="C66">
        <v>7.5</v>
      </c>
      <c r="D66">
        <v>639</v>
      </c>
      <c r="E66">
        <v>6.6</v>
      </c>
      <c r="F66">
        <v>643.6</v>
      </c>
      <c r="G66">
        <v>8.9</v>
      </c>
      <c r="H66">
        <v>685.9</v>
      </c>
      <c r="I66">
        <v>7.3</v>
      </c>
    </row>
    <row r="67" spans="1:9">
      <c r="A67" t="s">
        <v>19</v>
      </c>
      <c r="B67">
        <v>515.79999999999995</v>
      </c>
      <c r="C67">
        <v>7.3</v>
      </c>
      <c r="D67">
        <v>552.20000000000005</v>
      </c>
      <c r="E67">
        <v>6.9</v>
      </c>
      <c r="F67">
        <v>585.70000000000005</v>
      </c>
      <c r="G67">
        <v>6</v>
      </c>
      <c r="H67">
        <v>598.20000000000005</v>
      </c>
      <c r="I67">
        <v>5</v>
      </c>
    </row>
    <row r="68" spans="1:9">
      <c r="A68" t="s">
        <v>20</v>
      </c>
      <c r="B68">
        <v>575.4</v>
      </c>
      <c r="C68">
        <v>5.6</v>
      </c>
      <c r="D68">
        <v>566.6</v>
      </c>
      <c r="E68">
        <v>4.7</v>
      </c>
      <c r="F68">
        <v>586.70000000000005</v>
      </c>
      <c r="G68">
        <v>4.5999999999999996</v>
      </c>
      <c r="H68">
        <v>614.9</v>
      </c>
      <c r="I68">
        <v>4.5</v>
      </c>
    </row>
    <row r="69" spans="1:9">
      <c r="A69" t="s">
        <v>21</v>
      </c>
      <c r="B69">
        <v>610.4</v>
      </c>
      <c r="C69">
        <v>7.4</v>
      </c>
      <c r="D69">
        <v>615.1</v>
      </c>
      <c r="E69">
        <v>5.9</v>
      </c>
      <c r="F69">
        <v>637.4</v>
      </c>
      <c r="G69">
        <v>7.5</v>
      </c>
      <c r="H69">
        <v>708.8</v>
      </c>
      <c r="I69">
        <v>7.2</v>
      </c>
    </row>
    <row r="70" spans="1:9">
      <c r="A70" t="s">
        <v>22</v>
      </c>
      <c r="B70">
        <v>718.4</v>
      </c>
      <c r="C70">
        <v>7</v>
      </c>
      <c r="D70">
        <v>754.1</v>
      </c>
      <c r="E70">
        <v>6.3</v>
      </c>
      <c r="F70">
        <v>744.1</v>
      </c>
      <c r="G70">
        <v>5.7</v>
      </c>
      <c r="H70">
        <v>822.8</v>
      </c>
      <c r="I70">
        <v>6.1</v>
      </c>
    </row>
    <row r="71" spans="1:9">
      <c r="A71" t="s">
        <v>23</v>
      </c>
      <c r="B71">
        <v>596.5</v>
      </c>
      <c r="C71">
        <v>7.6</v>
      </c>
      <c r="D71">
        <v>594</v>
      </c>
      <c r="E71">
        <v>8.5</v>
      </c>
      <c r="F71">
        <v>652.6</v>
      </c>
      <c r="G71">
        <v>7.1</v>
      </c>
      <c r="H71">
        <v>667.4</v>
      </c>
      <c r="I71">
        <v>6.9</v>
      </c>
    </row>
    <row r="72" spans="1:9">
      <c r="A72" t="s">
        <v>24</v>
      </c>
      <c r="B72">
        <v>825.7</v>
      </c>
      <c r="C72">
        <v>5.7</v>
      </c>
      <c r="D72">
        <v>809.4</v>
      </c>
      <c r="E72">
        <v>6.9</v>
      </c>
      <c r="F72">
        <v>811.4</v>
      </c>
      <c r="G72">
        <v>5.6</v>
      </c>
      <c r="H72">
        <v>858.7</v>
      </c>
      <c r="I72">
        <v>5.3</v>
      </c>
    </row>
    <row r="73" spans="1:9">
      <c r="A73" t="s">
        <v>25</v>
      </c>
      <c r="B73">
        <v>579.6</v>
      </c>
      <c r="C73">
        <v>5.6</v>
      </c>
      <c r="D73">
        <v>593.20000000000005</v>
      </c>
      <c r="E73">
        <v>5</v>
      </c>
      <c r="F73">
        <v>619.1</v>
      </c>
      <c r="G73">
        <v>3.5</v>
      </c>
      <c r="H73">
        <v>690.8</v>
      </c>
      <c r="I73">
        <v>4.4000000000000004</v>
      </c>
    </row>
    <row r="74" spans="1:9">
      <c r="A74" t="s">
        <v>26</v>
      </c>
      <c r="B74">
        <v>579.4</v>
      </c>
      <c r="C74">
        <v>3.8</v>
      </c>
      <c r="D74">
        <v>610.6</v>
      </c>
      <c r="E74">
        <v>3.4</v>
      </c>
      <c r="F74">
        <v>604.29999999999995</v>
      </c>
      <c r="G74">
        <v>3.2</v>
      </c>
      <c r="H74">
        <v>670.4</v>
      </c>
      <c r="I74">
        <v>3.7</v>
      </c>
    </row>
    <row r="75" spans="1:9">
      <c r="A75" t="s">
        <v>27</v>
      </c>
      <c r="B75">
        <v>592.5</v>
      </c>
      <c r="C75">
        <v>3.2</v>
      </c>
      <c r="D75">
        <v>620.4</v>
      </c>
      <c r="E75">
        <v>3.1</v>
      </c>
      <c r="F75">
        <v>635.70000000000005</v>
      </c>
      <c r="G75">
        <v>2.7</v>
      </c>
      <c r="H75">
        <v>681.4</v>
      </c>
      <c r="I75">
        <v>2.7</v>
      </c>
    </row>
    <row r="76" spans="1:9">
      <c r="A76" t="s">
        <v>28</v>
      </c>
      <c r="B76">
        <v>585.1</v>
      </c>
      <c r="C76">
        <v>4.8</v>
      </c>
      <c r="D76">
        <v>605.70000000000005</v>
      </c>
      <c r="E76">
        <v>5.4</v>
      </c>
      <c r="F76">
        <v>666.5</v>
      </c>
      <c r="G76">
        <v>3.6</v>
      </c>
      <c r="H76">
        <v>705.3</v>
      </c>
      <c r="I76">
        <v>4.5</v>
      </c>
    </row>
    <row r="77" spans="1:9">
      <c r="A77" t="s">
        <v>29</v>
      </c>
      <c r="B77">
        <v>560.9</v>
      </c>
      <c r="C77">
        <v>9.6</v>
      </c>
      <c r="D77">
        <v>568</v>
      </c>
      <c r="E77">
        <v>7.1</v>
      </c>
      <c r="F77">
        <v>633.79999999999995</v>
      </c>
      <c r="G77">
        <v>8.1999999999999993</v>
      </c>
      <c r="H77">
        <v>718.5</v>
      </c>
      <c r="I77">
        <v>7.5</v>
      </c>
    </row>
    <row r="78" spans="1:9">
      <c r="A78" t="s">
        <v>30</v>
      </c>
      <c r="B78">
        <v>555.9</v>
      </c>
      <c r="C78">
        <v>6.6</v>
      </c>
      <c r="D78">
        <v>595.20000000000005</v>
      </c>
      <c r="E78">
        <v>5.9</v>
      </c>
      <c r="F78">
        <v>625.5</v>
      </c>
      <c r="G78">
        <v>5.6</v>
      </c>
      <c r="H78">
        <v>715.7</v>
      </c>
      <c r="I78">
        <v>6.7</v>
      </c>
    </row>
    <row r="79" spans="1:9">
      <c r="A79" t="s">
        <v>31</v>
      </c>
      <c r="B79">
        <v>550.6</v>
      </c>
      <c r="C79">
        <v>12</v>
      </c>
      <c r="D79">
        <v>565.5</v>
      </c>
      <c r="E79">
        <v>9.9</v>
      </c>
      <c r="F79">
        <v>600.1</v>
      </c>
      <c r="G79">
        <v>7.9</v>
      </c>
      <c r="H79">
        <v>647.1</v>
      </c>
      <c r="I79">
        <v>10</v>
      </c>
    </row>
    <row r="80" spans="1:9">
      <c r="A80" t="s">
        <v>32</v>
      </c>
      <c r="B80">
        <v>552.1</v>
      </c>
      <c r="C80">
        <v>13</v>
      </c>
      <c r="D80">
        <v>670.7</v>
      </c>
      <c r="E80">
        <v>11</v>
      </c>
      <c r="F80">
        <v>562.29999999999995</v>
      </c>
      <c r="G80">
        <v>11</v>
      </c>
      <c r="H80">
        <v>727.9</v>
      </c>
      <c r="I80">
        <v>11</v>
      </c>
    </row>
    <row r="81" spans="1:9">
      <c r="A81" t="s">
        <v>33</v>
      </c>
      <c r="B81">
        <v>598.1</v>
      </c>
      <c r="C81">
        <v>6.5</v>
      </c>
      <c r="D81">
        <v>624.5</v>
      </c>
      <c r="E81">
        <v>4.9000000000000004</v>
      </c>
      <c r="F81">
        <v>635.9</v>
      </c>
      <c r="G81">
        <v>4.8</v>
      </c>
      <c r="H81">
        <v>702.1</v>
      </c>
      <c r="I81">
        <v>5.8</v>
      </c>
    </row>
    <row r="82" spans="1:9">
      <c r="A82" t="s">
        <v>34</v>
      </c>
      <c r="B82">
        <v>576.9</v>
      </c>
      <c r="C82">
        <v>3.8</v>
      </c>
      <c r="D82">
        <v>592.70000000000005</v>
      </c>
      <c r="E82">
        <v>3.9</v>
      </c>
      <c r="F82">
        <v>657.9</v>
      </c>
      <c r="G82">
        <v>3</v>
      </c>
      <c r="H82">
        <v>705.7</v>
      </c>
      <c r="I82">
        <v>3.3</v>
      </c>
    </row>
    <row r="83" spans="1:9">
      <c r="A83" t="s">
        <v>35</v>
      </c>
      <c r="B83">
        <v>579.5</v>
      </c>
      <c r="C83">
        <v>16</v>
      </c>
      <c r="D83">
        <v>563</v>
      </c>
      <c r="E83">
        <v>14</v>
      </c>
      <c r="F83">
        <v>662.3</v>
      </c>
      <c r="G83">
        <v>13</v>
      </c>
      <c r="H83">
        <v>776.2</v>
      </c>
      <c r="I83">
        <v>14</v>
      </c>
    </row>
    <row r="84" spans="1:9">
      <c r="A84" t="s">
        <v>36</v>
      </c>
      <c r="B84">
        <v>571</v>
      </c>
      <c r="C84">
        <v>6.8</v>
      </c>
      <c r="D84">
        <v>579.1</v>
      </c>
      <c r="E84">
        <v>5.9</v>
      </c>
      <c r="F84">
        <v>663.8</v>
      </c>
      <c r="G84">
        <v>5.9</v>
      </c>
      <c r="H84">
        <v>727.7</v>
      </c>
      <c r="I84">
        <v>6.3</v>
      </c>
    </row>
    <row r="85" spans="1:9">
      <c r="A85" t="s">
        <v>37</v>
      </c>
      <c r="B85">
        <v>626.9</v>
      </c>
      <c r="C85">
        <v>5.8</v>
      </c>
      <c r="D85">
        <v>659.2</v>
      </c>
      <c r="E85">
        <v>3.9</v>
      </c>
      <c r="F85">
        <v>634.70000000000005</v>
      </c>
      <c r="G85">
        <v>6.1</v>
      </c>
      <c r="H85">
        <v>715.7</v>
      </c>
      <c r="I85">
        <v>6.3</v>
      </c>
    </row>
    <row r="86" spans="1:9">
      <c r="A86" t="s">
        <v>38</v>
      </c>
      <c r="B86">
        <v>541.6</v>
      </c>
      <c r="C86">
        <v>8</v>
      </c>
      <c r="D86">
        <v>550.6</v>
      </c>
      <c r="E86">
        <v>6.2</v>
      </c>
      <c r="F86">
        <v>622.20000000000005</v>
      </c>
      <c r="G86">
        <v>6.5</v>
      </c>
      <c r="H86">
        <v>673.3</v>
      </c>
      <c r="I86">
        <v>5.2</v>
      </c>
    </row>
    <row r="87" spans="1:9">
      <c r="A87" t="s">
        <v>39</v>
      </c>
      <c r="B87">
        <v>642.6</v>
      </c>
      <c r="C87">
        <v>11</v>
      </c>
      <c r="D87">
        <v>670.8</v>
      </c>
      <c r="E87">
        <v>12</v>
      </c>
      <c r="F87">
        <v>671.6</v>
      </c>
      <c r="G87">
        <v>12</v>
      </c>
      <c r="H87">
        <v>893.3</v>
      </c>
      <c r="I87">
        <v>9.4</v>
      </c>
    </row>
    <row r="88" spans="1:9">
      <c r="A88" t="s">
        <v>40</v>
      </c>
      <c r="B88">
        <v>594.6</v>
      </c>
      <c r="C88">
        <v>9.4</v>
      </c>
      <c r="D88">
        <v>665.9</v>
      </c>
      <c r="E88">
        <v>9.3000000000000007</v>
      </c>
      <c r="F88">
        <v>681</v>
      </c>
      <c r="G88">
        <v>8.9</v>
      </c>
      <c r="H88">
        <v>753.4</v>
      </c>
      <c r="I88">
        <v>6.9</v>
      </c>
    </row>
    <row r="89" spans="1:9">
      <c r="A89" t="s">
        <v>41</v>
      </c>
      <c r="B89">
        <v>620.79999999999995</v>
      </c>
      <c r="C89">
        <v>3.8</v>
      </c>
      <c r="D89">
        <v>651</v>
      </c>
      <c r="E89">
        <v>3.4</v>
      </c>
      <c r="F89">
        <v>652.1</v>
      </c>
      <c r="G89">
        <v>3.9</v>
      </c>
      <c r="H89">
        <v>729.6</v>
      </c>
      <c r="I89">
        <v>3</v>
      </c>
    </row>
    <row r="90" spans="1:9">
      <c r="A90" t="s">
        <v>42</v>
      </c>
      <c r="B90">
        <v>583.79999999999995</v>
      </c>
      <c r="C90">
        <v>7.6</v>
      </c>
      <c r="D90">
        <v>652.4</v>
      </c>
      <c r="E90">
        <v>6.9</v>
      </c>
      <c r="F90">
        <v>631.29999999999995</v>
      </c>
      <c r="G90">
        <v>7</v>
      </c>
      <c r="H90">
        <v>699.5</v>
      </c>
      <c r="I90">
        <v>6.7</v>
      </c>
    </row>
    <row r="91" spans="1:9">
      <c r="A91" t="s">
        <v>43</v>
      </c>
      <c r="B91">
        <v>566.4</v>
      </c>
      <c r="C91">
        <v>7.2</v>
      </c>
      <c r="D91">
        <v>650.9</v>
      </c>
      <c r="E91">
        <v>9.1999999999999993</v>
      </c>
      <c r="F91">
        <v>610.79999999999995</v>
      </c>
      <c r="G91">
        <v>5.9</v>
      </c>
      <c r="H91">
        <v>682</v>
      </c>
      <c r="I91">
        <v>7.6</v>
      </c>
    </row>
    <row r="92" spans="1:9">
      <c r="A92" t="s">
        <v>44</v>
      </c>
      <c r="B92">
        <v>585.1</v>
      </c>
      <c r="C92">
        <v>5</v>
      </c>
      <c r="D92">
        <v>602.5</v>
      </c>
      <c r="E92">
        <v>4.7</v>
      </c>
      <c r="F92">
        <v>634.6</v>
      </c>
      <c r="G92">
        <v>4.3</v>
      </c>
      <c r="H92">
        <v>695.3</v>
      </c>
      <c r="I92">
        <v>3.9</v>
      </c>
    </row>
    <row r="93" spans="1:9">
      <c r="A93" t="s">
        <v>45</v>
      </c>
      <c r="B93">
        <v>595</v>
      </c>
      <c r="C93">
        <v>1</v>
      </c>
      <c r="D93">
        <v>619.9</v>
      </c>
      <c r="E93">
        <v>1.1000000000000001</v>
      </c>
      <c r="F93">
        <v>641.29999999999995</v>
      </c>
      <c r="G93">
        <v>0.7</v>
      </c>
      <c r="H93">
        <v>702.4</v>
      </c>
      <c r="I93">
        <v>0.9</v>
      </c>
    </row>
    <row r="94" spans="1:9">
      <c r="A94" t="s">
        <v>46</v>
      </c>
      <c r="B94">
        <v>585.70000000000005</v>
      </c>
      <c r="C94">
        <v>0.2</v>
      </c>
      <c r="D94">
        <v>609.79999999999995</v>
      </c>
      <c r="E94">
        <v>0.2</v>
      </c>
      <c r="F94">
        <v>641.79999999999995</v>
      </c>
      <c r="G94">
        <v>0.2</v>
      </c>
      <c r="H94">
        <v>681.7</v>
      </c>
      <c r="I94">
        <v>0.2</v>
      </c>
    </row>
  </sheetData>
  <mergeCells count="3">
    <mergeCell ref="D7:E7"/>
    <mergeCell ref="L7:M7"/>
    <mergeCell ref="P7:Q7"/>
  </mergeCells>
  <conditionalFormatting sqref="D45:D48">
    <cfRule type="expression" dxfId="45" priority="13">
      <formula>$A45="Other"</formula>
    </cfRule>
    <cfRule type="expression" dxfId="44" priority="14">
      <formula>$A45="UK"</formula>
    </cfRule>
    <cfRule type="expression" dxfId="43" priority="15">
      <formula>$A45="NUTS2"</formula>
    </cfRule>
    <cfRule type="expression" dxfId="42" priority="16">
      <formula>$A45="NUTS1"</formula>
    </cfRule>
  </conditionalFormatting>
  <conditionalFormatting sqref="H45:H48">
    <cfRule type="expression" dxfId="41" priority="9">
      <formula>$A45="Other"</formula>
    </cfRule>
    <cfRule type="expression" dxfId="40" priority="10">
      <formula>$A45="UK"</formula>
    </cfRule>
    <cfRule type="expression" dxfId="39" priority="11">
      <formula>$A45="NUTS2"</formula>
    </cfRule>
    <cfRule type="expression" dxfId="38" priority="12">
      <formula>$A45="NUTS1"</formula>
    </cfRule>
  </conditionalFormatting>
  <conditionalFormatting sqref="L45:L48">
    <cfRule type="expression" dxfId="37" priority="5">
      <formula>$A45="Other"</formula>
    </cfRule>
    <cfRule type="expression" dxfId="36" priority="6">
      <formula>$A45="UK"</formula>
    </cfRule>
    <cfRule type="expression" dxfId="35" priority="7">
      <formula>$A45="NUTS2"</formula>
    </cfRule>
    <cfRule type="expression" dxfId="34" priority="8">
      <formula>$A45="NUTS1"</formula>
    </cfRule>
  </conditionalFormatting>
  <conditionalFormatting sqref="P45:P48">
    <cfRule type="expression" dxfId="33" priority="1">
      <formula>$A45="Other"</formula>
    </cfRule>
    <cfRule type="expression" dxfId="32" priority="2">
      <formula>$A45="UK"</formula>
    </cfRule>
    <cfRule type="expression" dxfId="31" priority="3">
      <formula>$A45="NUTS2"</formula>
    </cfRule>
    <cfRule type="expression" dxfId="30" priority="4">
      <formula>$A45="NUTS1"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B2:L24"/>
  <sheetViews>
    <sheetView zoomScale="90" zoomScaleNormal="90" workbookViewId="0">
      <selection activeCell="F7" sqref="F7"/>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270</v>
      </c>
      <c r="F2" s="595" t="s">
        <v>507</v>
      </c>
      <c r="G2" s="596"/>
    </row>
    <row r="3" spans="2:12" ht="13">
      <c r="B3" s="286" t="s">
        <v>49</v>
      </c>
      <c r="C3" s="288" t="s">
        <v>273</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25" customHeight="1">
      <c r="B6" s="293" t="s">
        <v>271</v>
      </c>
      <c r="C6" s="293" t="s">
        <v>5</v>
      </c>
      <c r="D6" s="294" t="s">
        <v>265</v>
      </c>
      <c r="E6" s="294" t="s">
        <v>266</v>
      </c>
      <c r="F6" s="294" t="s">
        <v>267</v>
      </c>
      <c r="G6" s="294" t="s">
        <v>582</v>
      </c>
      <c r="H6" s="294" t="s">
        <v>583</v>
      </c>
      <c r="I6" s="295" t="s">
        <v>53</v>
      </c>
      <c r="J6" s="295" t="s">
        <v>54</v>
      </c>
      <c r="K6" s="295" t="s">
        <v>56</v>
      </c>
      <c r="L6" s="295" t="s">
        <v>57</v>
      </c>
    </row>
    <row r="7" spans="2:12" ht="19.5" customHeight="1">
      <c r="B7" s="296" t="s">
        <v>249</v>
      </c>
      <c r="C7" s="296" t="s">
        <v>22</v>
      </c>
      <c r="D7" s="328">
        <f>VLOOKUP($C7,'Raw - Fuel Poverty'!$A:$Q,4,FALSE)</f>
        <v>0.25640000000000002</v>
      </c>
      <c r="E7" s="328">
        <f>VLOOKUP($C7,'Raw - Fuel Poverty'!$A:$Q,8,FALSE)</f>
        <v>0.23406000000000002</v>
      </c>
      <c r="F7" s="328">
        <f>VLOOKUP($C7,'Raw - Fuel Poverty'!$A:$Q,12,FALSE)</f>
        <v>0.22670000000000001</v>
      </c>
      <c r="G7" s="328">
        <f>VLOOKUP($C7,'Raw - Fuel Poverty'!$A:$Q,16,FALSE)</f>
        <v>0.19548000000000001</v>
      </c>
      <c r="H7" s="318">
        <f>VLOOKUP(C7,'Raw - Fuel Poverty'!A:Q,14,FALSE)</f>
        <v>9036.6494400000011</v>
      </c>
      <c r="I7" s="320">
        <f>SUM(G7-D7)</f>
        <v>-6.0920000000000002E-2</v>
      </c>
      <c r="J7" s="300">
        <f>ROUND(SUM(VLOOKUP(C7,'Raw - Fuel Poverty'!A:Q,14,FALSE)-VLOOKUP(C7,'Raw - Fuel Poverty'!A:Q,2,FALSE)),-2)</f>
        <v>-2600</v>
      </c>
      <c r="K7" s="322">
        <f t="shared" ref="K7:K14" si="0">IF(IF($K$5="LGBF Family Group",SUM(G$17-G7),IF($K$5="Glasgow City Region",SUM(G$18-G7),IF($K$5="Scotland",SUM(G$19-G7),IF($K$5="United Kingdom",SUM(G$20-G7),SUM(G$16-G7)))))&gt;0,"",IF($K$5="LGBF Family Group",SUM(G$17-G7),IF($K$5="Glasgow City Region",SUM(G$18-G7),IF($K$5="Scotland",SUM(G$19-G7),IF($K$5="United Kingdom",SUM(G$20-G7),SUM(G$16-G7))))))</f>
        <v>-6.4629999999999993E-2</v>
      </c>
      <c r="L7" s="302">
        <f>IF(K7="","",IF($K$5="LGBF Family Group",SUM(MROUND(SUM(SUM(VLOOKUP(C$17,'Raw - Fuel Poverty'!A:Q,16,FALSE)*VLOOKUP(C7,'Raw - Fuel Poverty'!A:Q,15,FALSE))),100)-MROUND(SUM(SUM(VLOOKUP(C7,'Raw - Fuel Poverty'!A:Q,16,FALSE)*VLOOKUP(C7,'Raw - Fuel Poverty'!A:Q,15,FALSE))),100)),IF($K$5="Glasgow City Region",SUM(MROUND(SUM(SUM(VLOOKUP(C$18,'Raw - Fuel Poverty'!A:Q,16,FALSE)*VLOOKUP(C7,'Raw - Fuel Poverty'!A:Q,15,FALSE))),100)-MROUND(SUM(SUM(VLOOKUP(C7,'Raw - Fuel Poverty'!A:Q,16,FALSE)*VLOOKUP(C7,'Raw - Fuel Poverty'!A:Q,15,FALSE))),100)),IF($K$5="Scotland",SUM(MROUND(SUM(SUM(VLOOKUP(C$19,'Raw - Fuel Poverty'!A:Q,16,FALSE)*VLOOKUP(C7,'Raw - Fuel Poverty'!A:Q,15,FALSE))),100)-MROUND(SUM(SUM(VLOOKUP(C7,'Raw - Fuel Poverty'!A:Q,16,FALSE)*VLOOKUP(C7,'Raw - Fuel Poverty'!A:Q,15,FALSE))),100)),IF($K$5="United Kingdom",SUM(MROUND(SUM(SUM(VLOOKUP(C$20,'Raw - Fuel Poverty'!A:Q,16,FALSE)*VLOOKUP(C7,'Raw - Fuel Poverty'!A:Q,15,FALSE))),100)-MROUND(SUM(SUM(VLOOKUP(C7,'Raw - Fuel Poverty'!A:Q,16,FALSE)*VLOOKUP(C7,'Raw - Fuel Poverty'!A:Q,15,FALSE))),100)),SUM(MROUND(SUM(SUM(VLOOKUP(C$16,'Raw - Fuel Poverty'!A:Q,16,FALSE)*VLOOKUP(C7,'Raw - Fuel Poverty'!A:Q,15,FALSE))),100)-MROUND(SUM(SUM(VLOOKUP(C7,'Raw - Fuel Poverty'!A:Q,16,FALSE)*VLOOKUP(C7,'Raw - Fuel Poverty'!A:Q,15,FALSE))),100)))))))</f>
        <v>-3000</v>
      </c>
    </row>
    <row r="8" spans="2:12" ht="19.5" customHeight="1">
      <c r="B8" s="296" t="s">
        <v>249</v>
      </c>
      <c r="C8" s="296" t="s">
        <v>24</v>
      </c>
      <c r="D8" s="328">
        <f>VLOOKUP($C8,'Raw - Fuel Poverty'!$A:$Q,4,FALSE)</f>
        <v>0.27411000000000002</v>
      </c>
      <c r="E8" s="328">
        <f>VLOOKUP($C8,'Raw - Fuel Poverty'!$A:$Q,8,FALSE)</f>
        <v>0.20606000000000002</v>
      </c>
      <c r="F8" s="328">
        <f>VLOOKUP($C8,'Raw - Fuel Poverty'!$A:$Q,12,FALSE)</f>
        <v>0.16162000000000001</v>
      </c>
      <c r="G8" s="328">
        <f>VLOOKUP($C8,'Raw - Fuel Poverty'!$A:$Q,16,FALSE)</f>
        <v>0.13085000000000002</v>
      </c>
      <c r="H8" s="318">
        <f>VLOOKUP(C8,'Raw - Fuel Poverty'!A:Q,14,FALSE)</f>
        <v>5148.2932500000006</v>
      </c>
      <c r="I8" s="320">
        <f t="shared" ref="I8:I19" si="1">SUM(G8-D8)</f>
        <v>-0.14326</v>
      </c>
      <c r="J8" s="300">
        <f>ROUND(SUM(VLOOKUP(C8,'Raw - Fuel Poverty'!A:Q,14,FALSE)-VLOOKUP(C8,'Raw - Fuel Poverty'!A:Q,2,FALSE)),-2)</f>
        <v>-5400</v>
      </c>
      <c r="K8" s="322">
        <f t="shared" si="0"/>
        <v>0</v>
      </c>
      <c r="L8" s="302">
        <f>IF(K8="","",IF($K$5="LGBF Family Group",SUM(MROUND(SUM(SUM(VLOOKUP(C$17,'Raw - Fuel Poverty'!A:Q,16,FALSE)*VLOOKUP(C8,'Raw - Fuel Poverty'!A:Q,15,FALSE))),100)-MROUND(SUM(SUM(VLOOKUP(C8,'Raw - Fuel Poverty'!A:Q,16,FALSE)*VLOOKUP(C8,'Raw - Fuel Poverty'!A:Q,15,FALSE))),100)),IF($K$5="Glasgow City Region",SUM(MROUND(SUM(SUM(VLOOKUP(C$18,'Raw - Fuel Poverty'!A:Q,16,FALSE)*VLOOKUP(C8,'Raw - Fuel Poverty'!A:Q,15,FALSE))),100)-MROUND(SUM(SUM(VLOOKUP(C8,'Raw - Fuel Poverty'!A:Q,16,FALSE)*VLOOKUP(C8,'Raw - Fuel Poverty'!A:Q,15,FALSE))),100)),IF($K$5="Scotland",SUM(MROUND(SUM(SUM(VLOOKUP(C$19,'Raw - Fuel Poverty'!A:Q,16,FALSE)*VLOOKUP(C8,'Raw - Fuel Poverty'!A:Q,15,FALSE))),100)-MROUND(SUM(SUM(VLOOKUP(C8,'Raw - Fuel Poverty'!A:Q,16,FALSE)*VLOOKUP(C8,'Raw - Fuel Poverty'!A:Q,15,FALSE))),100)),IF($K$5="United Kingdom",SUM(MROUND(SUM(SUM(VLOOKUP(C$20,'Raw - Fuel Poverty'!A:Q,16,FALSE)*VLOOKUP(C8,'Raw - Fuel Poverty'!A:Q,15,FALSE))),100)-MROUND(SUM(SUM(VLOOKUP(C8,'Raw - Fuel Poverty'!A:Q,16,FALSE)*VLOOKUP(C8,'Raw - Fuel Poverty'!A:Q,15,FALSE))),100)),SUM(MROUND(SUM(SUM(VLOOKUP(C$16,'Raw - Fuel Poverty'!A:Q,16,FALSE)*VLOOKUP(C8,'Raw - Fuel Poverty'!A:Q,15,FALSE))),100)-MROUND(SUM(SUM(VLOOKUP(C8,'Raw - Fuel Poverty'!A:Q,16,FALSE)*VLOOKUP(C8,'Raw - Fuel Poverty'!A:Q,15,FALSE))),100)))))))</f>
        <v>0</v>
      </c>
    </row>
    <row r="9" spans="2:12" ht="19.5" customHeight="1">
      <c r="B9" s="296" t="s">
        <v>249</v>
      </c>
      <c r="C9" s="296" t="s">
        <v>27</v>
      </c>
      <c r="D9" s="328">
        <f>VLOOKUP($C9,'Raw - Fuel Poverty'!$A:$Q,4,FALSE)</f>
        <v>0.2702</v>
      </c>
      <c r="E9" s="328">
        <f>VLOOKUP($C9,'Raw - Fuel Poverty'!$A:$Q,8,FALSE)</f>
        <v>0.21398000000000003</v>
      </c>
      <c r="F9" s="328">
        <f>VLOOKUP($C9,'Raw - Fuel Poverty'!$A:$Q,12,FALSE)</f>
        <v>0.25226999999999999</v>
      </c>
      <c r="G9" s="328">
        <f>VLOOKUP($C9,'Raw - Fuel Poverty'!$A:$Q,16,FALSE)</f>
        <v>0.25273000000000001</v>
      </c>
      <c r="H9" s="318">
        <f>VLOOKUP(C9,'Raw - Fuel Poverty'!A:Q,14,FALSE)</f>
        <v>74459.818060000005</v>
      </c>
      <c r="I9" s="320">
        <f t="shared" si="1"/>
        <v>-1.7469999999999986E-2</v>
      </c>
      <c r="J9" s="300">
        <f>ROUND(SUM(VLOOKUP(C9,'Raw - Fuel Poverty'!A:Q,14,FALSE)-VLOOKUP(C9,'Raw - Fuel Poverty'!A:Q,2,FALSE)),-2)</f>
        <v>-3700</v>
      </c>
      <c r="K9" s="322">
        <f t="shared" si="0"/>
        <v>-0.12187999999999999</v>
      </c>
      <c r="L9" s="302">
        <f>IF(K9="","",IF($K$5="LGBF Family Group",SUM(MROUND(SUM(SUM(VLOOKUP(C$17,'Raw - Fuel Poverty'!A:Q,16,FALSE)*VLOOKUP(C9,'Raw - Fuel Poverty'!A:Q,15,FALSE))),100)-MROUND(SUM(SUM(VLOOKUP(C9,'Raw - Fuel Poverty'!A:Q,16,FALSE)*VLOOKUP(C9,'Raw - Fuel Poverty'!A:Q,15,FALSE))),100)),IF($K$5="Glasgow City Region",SUM(MROUND(SUM(SUM(VLOOKUP(C$18,'Raw - Fuel Poverty'!A:Q,16,FALSE)*VLOOKUP(C9,'Raw - Fuel Poverty'!A:Q,15,FALSE))),100)-MROUND(SUM(SUM(VLOOKUP(C9,'Raw - Fuel Poverty'!A:Q,16,FALSE)*VLOOKUP(C9,'Raw - Fuel Poverty'!A:Q,15,FALSE))),100)),IF($K$5="Scotland",SUM(MROUND(SUM(SUM(VLOOKUP(C$19,'Raw - Fuel Poverty'!A:Q,16,FALSE)*VLOOKUP(C9,'Raw - Fuel Poverty'!A:Q,15,FALSE))),100)-MROUND(SUM(SUM(VLOOKUP(C9,'Raw - Fuel Poverty'!A:Q,16,FALSE)*VLOOKUP(C9,'Raw - Fuel Poverty'!A:Q,15,FALSE))),100)),IF($K$5="United Kingdom",SUM(MROUND(SUM(SUM(VLOOKUP(C$20,'Raw - Fuel Poverty'!A:Q,16,FALSE)*VLOOKUP(C9,'Raw - Fuel Poverty'!A:Q,15,FALSE))),100)-MROUND(SUM(SUM(VLOOKUP(C9,'Raw - Fuel Poverty'!A:Q,16,FALSE)*VLOOKUP(C9,'Raw - Fuel Poverty'!A:Q,15,FALSE))),100)),SUM(MROUND(SUM(SUM(VLOOKUP(C$16,'Raw - Fuel Poverty'!A:Q,16,FALSE)*VLOOKUP(C9,'Raw - Fuel Poverty'!A:Q,15,FALSE))),100)-MROUND(SUM(SUM(VLOOKUP(C9,'Raw - Fuel Poverty'!A:Q,16,FALSE)*VLOOKUP(C9,'Raw - Fuel Poverty'!A:Q,15,FALSE))),100)))))))</f>
        <v>-35900</v>
      </c>
    </row>
    <row r="10" spans="2:12" ht="19.5" customHeight="1">
      <c r="B10" s="296" t="s">
        <v>249</v>
      </c>
      <c r="C10" s="296" t="s">
        <v>29</v>
      </c>
      <c r="D10" s="328">
        <f>VLOOKUP($C10,'Raw - Fuel Poverty'!$A:$Q,4,FALSE)</f>
        <v>0.38154000000000005</v>
      </c>
      <c r="E10" s="328">
        <f>VLOOKUP($C10,'Raw - Fuel Poverty'!$A:$Q,8,FALSE)</f>
        <v>0.30729000000000001</v>
      </c>
      <c r="F10" s="328">
        <f>VLOOKUP($C10,'Raw - Fuel Poverty'!$A:$Q,12,FALSE)</f>
        <v>0.31490000000000001</v>
      </c>
      <c r="G10" s="328">
        <f>VLOOKUP($C10,'Raw - Fuel Poverty'!$A:$Q,16,FALSE)</f>
        <v>0.28364</v>
      </c>
      <c r="H10" s="318">
        <f>VLOOKUP(C10,'Raw - Fuel Poverty'!A:Q,14,FALSE)</f>
        <v>10668.83496</v>
      </c>
      <c r="I10" s="320">
        <f t="shared" si="1"/>
        <v>-9.7900000000000043E-2</v>
      </c>
      <c r="J10" s="300">
        <f>ROUND(SUM(VLOOKUP(C10,'Raw - Fuel Poverty'!A:Q,14,FALSE)-VLOOKUP(C10,'Raw - Fuel Poverty'!A:Q,2,FALSE)),-2)</f>
        <v>-3700</v>
      </c>
      <c r="K10" s="322">
        <f t="shared" si="0"/>
        <v>-0.15278999999999998</v>
      </c>
      <c r="L10" s="302">
        <f>IF(K10="","",IF($K$5="LGBF Family Group",SUM(MROUND(SUM(SUM(VLOOKUP(C$17,'Raw - Fuel Poverty'!A:Q,16,FALSE)*VLOOKUP(C10,'Raw - Fuel Poverty'!A:Q,15,FALSE))),100)-MROUND(SUM(SUM(VLOOKUP(C10,'Raw - Fuel Poverty'!A:Q,16,FALSE)*VLOOKUP(C10,'Raw - Fuel Poverty'!A:Q,15,FALSE))),100)),IF($K$5="Glasgow City Region",SUM(MROUND(SUM(SUM(VLOOKUP(C$18,'Raw - Fuel Poverty'!A:Q,16,FALSE)*VLOOKUP(C10,'Raw - Fuel Poverty'!A:Q,15,FALSE))),100)-MROUND(SUM(SUM(VLOOKUP(C10,'Raw - Fuel Poverty'!A:Q,16,FALSE)*VLOOKUP(C10,'Raw - Fuel Poverty'!A:Q,15,FALSE))),100)),IF($K$5="Scotland",SUM(MROUND(SUM(SUM(VLOOKUP(C$19,'Raw - Fuel Poverty'!A:Q,16,FALSE)*VLOOKUP(C10,'Raw - Fuel Poverty'!A:Q,15,FALSE))),100)-MROUND(SUM(SUM(VLOOKUP(C10,'Raw - Fuel Poverty'!A:Q,16,FALSE)*VLOOKUP(C10,'Raw - Fuel Poverty'!A:Q,15,FALSE))),100)),IF($K$5="United Kingdom",SUM(MROUND(SUM(SUM(VLOOKUP(C$20,'Raw - Fuel Poverty'!A:Q,16,FALSE)*VLOOKUP(C10,'Raw - Fuel Poverty'!A:Q,15,FALSE))),100)-MROUND(SUM(SUM(VLOOKUP(C10,'Raw - Fuel Poverty'!A:Q,16,FALSE)*VLOOKUP(C10,'Raw - Fuel Poverty'!A:Q,15,FALSE))),100)),SUM(MROUND(SUM(SUM(VLOOKUP(C$16,'Raw - Fuel Poverty'!A:Q,16,FALSE)*VLOOKUP(C10,'Raw - Fuel Poverty'!A:Q,15,FALSE))),100)-MROUND(SUM(SUM(VLOOKUP(C10,'Raw - Fuel Poverty'!A:Q,16,FALSE)*VLOOKUP(C10,'Raw - Fuel Poverty'!A:Q,15,FALSE))),100)))))))</f>
        <v>-5800</v>
      </c>
    </row>
    <row r="11" spans="2:12" ht="19.5" customHeight="1">
      <c r="B11" s="296" t="s">
        <v>249</v>
      </c>
      <c r="C11" s="296" t="s">
        <v>34</v>
      </c>
      <c r="D11" s="328">
        <f>VLOOKUP($C11,'Raw - Fuel Poverty'!$A:$Q,4,FALSE)</f>
        <v>0.26013000000000003</v>
      </c>
      <c r="E11" s="328">
        <f>VLOOKUP($C11,'Raw - Fuel Poverty'!$A:$Q,8,FALSE)</f>
        <v>0.23776000000000003</v>
      </c>
      <c r="F11" s="328">
        <f>VLOOKUP($C11,'Raw - Fuel Poverty'!$A:$Q,12,FALSE)</f>
        <v>0.22835000000000003</v>
      </c>
      <c r="G11" s="328">
        <f>VLOOKUP($C11,'Raw - Fuel Poverty'!$A:$Q,16,FALSE)</f>
        <v>0.19902</v>
      </c>
      <c r="H11" s="318">
        <f>VLOOKUP(C11,'Raw - Fuel Poverty'!A:Q,14,FALSE)</f>
        <v>30339.205860000002</v>
      </c>
      <c r="I11" s="320">
        <f t="shared" si="1"/>
        <v>-6.1110000000000025E-2</v>
      </c>
      <c r="J11" s="300">
        <f>ROUND(SUM(VLOOKUP(C11,'Raw - Fuel Poverty'!A:Q,14,FALSE)-VLOOKUP(C11,'Raw - Fuel Poverty'!A:Q,2,FALSE)),-2)</f>
        <v>-8800</v>
      </c>
      <c r="K11" s="322">
        <f t="shared" si="0"/>
        <v>-6.8169999999999981E-2</v>
      </c>
      <c r="L11" s="302">
        <f>IF(K11="","",IF($K$5="LGBF Family Group",SUM(MROUND(SUM(SUM(VLOOKUP(C$17,'Raw - Fuel Poverty'!A:Q,16,FALSE)*VLOOKUP(C11,'Raw - Fuel Poverty'!A:Q,15,FALSE))),100)-MROUND(SUM(SUM(VLOOKUP(C11,'Raw - Fuel Poverty'!A:Q,16,FALSE)*VLOOKUP(C11,'Raw - Fuel Poverty'!A:Q,15,FALSE))),100)),IF($K$5="Glasgow City Region",SUM(MROUND(SUM(SUM(VLOOKUP(C$18,'Raw - Fuel Poverty'!A:Q,16,FALSE)*VLOOKUP(C11,'Raw - Fuel Poverty'!A:Q,15,FALSE))),100)-MROUND(SUM(SUM(VLOOKUP(C11,'Raw - Fuel Poverty'!A:Q,16,FALSE)*VLOOKUP(C11,'Raw - Fuel Poverty'!A:Q,15,FALSE))),100)),IF($K$5="Scotland",SUM(MROUND(SUM(SUM(VLOOKUP(C$19,'Raw - Fuel Poverty'!A:Q,16,FALSE)*VLOOKUP(C11,'Raw - Fuel Poverty'!A:Q,15,FALSE))),100)-MROUND(SUM(SUM(VLOOKUP(C11,'Raw - Fuel Poverty'!A:Q,16,FALSE)*VLOOKUP(C11,'Raw - Fuel Poverty'!A:Q,15,FALSE))),100)),IF($K$5="United Kingdom",SUM(MROUND(SUM(SUM(VLOOKUP(C$20,'Raw - Fuel Poverty'!A:Q,16,FALSE)*VLOOKUP(C11,'Raw - Fuel Poverty'!A:Q,15,FALSE))),100)-MROUND(SUM(SUM(VLOOKUP(C11,'Raw - Fuel Poverty'!A:Q,16,FALSE)*VLOOKUP(C11,'Raw - Fuel Poverty'!A:Q,15,FALSE))),100)),SUM(MROUND(SUM(SUM(VLOOKUP(C$16,'Raw - Fuel Poverty'!A:Q,16,FALSE)*VLOOKUP(C11,'Raw - Fuel Poverty'!A:Q,15,FALSE))),100)-MROUND(SUM(SUM(VLOOKUP(C11,'Raw - Fuel Poverty'!A:Q,16,FALSE)*VLOOKUP(C11,'Raw - Fuel Poverty'!A:Q,15,FALSE))),100)))))))</f>
        <v>-10400</v>
      </c>
    </row>
    <row r="12" spans="2:12" ht="19.5" customHeight="1">
      <c r="B12" s="296" t="s">
        <v>249</v>
      </c>
      <c r="C12" s="296" t="s">
        <v>37</v>
      </c>
      <c r="D12" s="328">
        <f>VLOOKUP($C12,'Raw - Fuel Poverty'!$A:$Q,4,FALSE)</f>
        <v>0.25432000000000005</v>
      </c>
      <c r="E12" s="328">
        <f>VLOOKUP($C12,'Raw - Fuel Poverty'!$A:$Q,8,FALSE)</f>
        <v>0.22571000000000002</v>
      </c>
      <c r="F12" s="328">
        <f>VLOOKUP($C12,'Raw - Fuel Poverty'!$A:$Q,12,FALSE)</f>
        <v>0.25768000000000002</v>
      </c>
      <c r="G12" s="328">
        <f>VLOOKUP($C12,'Raw - Fuel Poverty'!$A:$Q,16,FALSE)</f>
        <v>0.22235000000000002</v>
      </c>
      <c r="H12" s="318">
        <f>VLOOKUP(C12,'Raw - Fuel Poverty'!A:Q,14,FALSE)</f>
        <v>19273.965050000003</v>
      </c>
      <c r="I12" s="320">
        <f t="shared" si="1"/>
        <v>-3.1970000000000026E-2</v>
      </c>
      <c r="J12" s="300">
        <f>ROUND(SUM(VLOOKUP(C12,'Raw - Fuel Poverty'!A:Q,14,FALSE)-VLOOKUP(C12,'Raw - Fuel Poverty'!A:Q,2,FALSE)),-2)</f>
        <v>-2100</v>
      </c>
      <c r="K12" s="322">
        <f t="shared" si="0"/>
        <v>-9.1499999999999998E-2</v>
      </c>
      <c r="L12" s="302">
        <f>IF(K12="","",IF($K$5="LGBF Family Group",SUM(MROUND(SUM(SUM(VLOOKUP(C$17,'Raw - Fuel Poverty'!A:Q,16,FALSE)*VLOOKUP(C12,'Raw - Fuel Poverty'!A:Q,15,FALSE))),100)-MROUND(SUM(SUM(VLOOKUP(C12,'Raw - Fuel Poverty'!A:Q,16,FALSE)*VLOOKUP(C12,'Raw - Fuel Poverty'!A:Q,15,FALSE))),100)),IF($K$5="Glasgow City Region",SUM(MROUND(SUM(SUM(VLOOKUP(C$18,'Raw - Fuel Poverty'!A:Q,16,FALSE)*VLOOKUP(C12,'Raw - Fuel Poverty'!A:Q,15,FALSE))),100)-MROUND(SUM(SUM(VLOOKUP(C12,'Raw - Fuel Poverty'!A:Q,16,FALSE)*VLOOKUP(C12,'Raw - Fuel Poverty'!A:Q,15,FALSE))),100)),IF($K$5="Scotland",SUM(MROUND(SUM(SUM(VLOOKUP(C$19,'Raw - Fuel Poverty'!A:Q,16,FALSE)*VLOOKUP(C12,'Raw - Fuel Poverty'!A:Q,15,FALSE))),100)-MROUND(SUM(SUM(VLOOKUP(C12,'Raw - Fuel Poverty'!A:Q,16,FALSE)*VLOOKUP(C12,'Raw - Fuel Poverty'!A:Q,15,FALSE))),100)),IF($K$5="United Kingdom",SUM(MROUND(SUM(SUM(VLOOKUP(C$20,'Raw - Fuel Poverty'!A:Q,16,FALSE)*VLOOKUP(C12,'Raw - Fuel Poverty'!A:Q,15,FALSE))),100)-MROUND(SUM(SUM(VLOOKUP(C12,'Raw - Fuel Poverty'!A:Q,16,FALSE)*VLOOKUP(C12,'Raw - Fuel Poverty'!A:Q,15,FALSE))),100)),SUM(MROUND(SUM(SUM(VLOOKUP(C$16,'Raw - Fuel Poverty'!A:Q,16,FALSE)*VLOOKUP(C12,'Raw - Fuel Poverty'!A:Q,15,FALSE))),100)-MROUND(SUM(SUM(VLOOKUP(C12,'Raw - Fuel Poverty'!A:Q,16,FALSE)*VLOOKUP(C12,'Raw - Fuel Poverty'!A:Q,15,FALSE))),100)))))))</f>
        <v>-8000</v>
      </c>
    </row>
    <row r="13" spans="2:12" ht="19.5" customHeight="1">
      <c r="B13" s="296" t="s">
        <v>249</v>
      </c>
      <c r="C13" s="296" t="s">
        <v>41</v>
      </c>
      <c r="D13" s="328">
        <f>VLOOKUP($C13,'Raw - Fuel Poverty'!$A:$Q,4,FALSE)</f>
        <v>0.24877000000000002</v>
      </c>
      <c r="E13" s="328">
        <f>VLOOKUP($C13,'Raw - Fuel Poverty'!$A:$Q,8,FALSE)</f>
        <v>0.22895000000000001</v>
      </c>
      <c r="F13" s="328">
        <f>VLOOKUP($C13,'Raw - Fuel Poverty'!$A:$Q,12,FALSE)</f>
        <v>0.20291000000000001</v>
      </c>
      <c r="G13" s="328">
        <f>VLOOKUP($C13,'Raw - Fuel Poverty'!$A:$Q,16,FALSE)</f>
        <v>0.21758000000000002</v>
      </c>
      <c r="H13" s="318">
        <f>VLOOKUP(C13,'Raw - Fuel Poverty'!A:Q,14,FALSE)</f>
        <v>32078.689720000002</v>
      </c>
      <c r="I13" s="320">
        <f t="shared" si="1"/>
        <v>-3.1189999999999996E-2</v>
      </c>
      <c r="J13" s="300">
        <f>ROUND(SUM(VLOOKUP(C13,'Raw - Fuel Poverty'!A:Q,14,FALSE)-VLOOKUP(C13,'Raw - Fuel Poverty'!A:Q,2,FALSE)),-2)</f>
        <v>-3800</v>
      </c>
      <c r="K13" s="322">
        <f t="shared" si="0"/>
        <v>-8.6730000000000002E-2</v>
      </c>
      <c r="L13" s="302">
        <f>IF(K13="","",IF($K$5="LGBF Family Group",SUM(MROUND(SUM(SUM(VLOOKUP(C$17,'Raw - Fuel Poverty'!A:Q,16,FALSE)*VLOOKUP(C13,'Raw - Fuel Poverty'!A:Q,15,FALSE))),100)-MROUND(SUM(SUM(VLOOKUP(C13,'Raw - Fuel Poverty'!A:Q,16,FALSE)*VLOOKUP(C13,'Raw - Fuel Poverty'!A:Q,15,FALSE))),100)),IF($K$5="Glasgow City Region",SUM(MROUND(SUM(SUM(VLOOKUP(C$18,'Raw - Fuel Poverty'!A:Q,16,FALSE)*VLOOKUP(C13,'Raw - Fuel Poverty'!A:Q,15,FALSE))),100)-MROUND(SUM(SUM(VLOOKUP(C13,'Raw - Fuel Poverty'!A:Q,16,FALSE)*VLOOKUP(C13,'Raw - Fuel Poverty'!A:Q,15,FALSE))),100)),IF($K$5="Scotland",SUM(MROUND(SUM(SUM(VLOOKUP(C$19,'Raw - Fuel Poverty'!A:Q,16,FALSE)*VLOOKUP(C13,'Raw - Fuel Poverty'!A:Q,15,FALSE))),100)-MROUND(SUM(SUM(VLOOKUP(C13,'Raw - Fuel Poverty'!A:Q,16,FALSE)*VLOOKUP(C13,'Raw - Fuel Poverty'!A:Q,15,FALSE))),100)),IF($K$5="United Kingdom",SUM(MROUND(SUM(SUM(VLOOKUP(C$20,'Raw - Fuel Poverty'!A:Q,16,FALSE)*VLOOKUP(C13,'Raw - Fuel Poverty'!A:Q,15,FALSE))),100)-MROUND(SUM(SUM(VLOOKUP(C13,'Raw - Fuel Poverty'!A:Q,16,FALSE)*VLOOKUP(C13,'Raw - Fuel Poverty'!A:Q,15,FALSE))),100)),SUM(MROUND(SUM(SUM(VLOOKUP(C$16,'Raw - Fuel Poverty'!A:Q,16,FALSE)*VLOOKUP(C13,'Raw - Fuel Poverty'!A:Q,15,FALSE))),100)-MROUND(SUM(SUM(VLOOKUP(C13,'Raw - Fuel Poverty'!A:Q,16,FALSE)*VLOOKUP(C13,'Raw - Fuel Poverty'!A:Q,15,FALSE))),100)))))))</f>
        <v>-12800</v>
      </c>
    </row>
    <row r="14" spans="2:12" ht="19.5" customHeight="1">
      <c r="B14" s="296" t="s">
        <v>249</v>
      </c>
      <c r="C14" s="296" t="s">
        <v>43</v>
      </c>
      <c r="D14" s="328">
        <f>VLOOKUP($C14,'Raw - Fuel Poverty'!$A:$Q,4,FALSE)</f>
        <v>0.27274000000000004</v>
      </c>
      <c r="E14" s="328">
        <f>VLOOKUP($C14,'Raw - Fuel Poverty'!$A:$Q,8,FALSE)</f>
        <v>0.22213000000000002</v>
      </c>
      <c r="F14" s="328">
        <f>VLOOKUP($C14,'Raw - Fuel Poverty'!$A:$Q,12,FALSE)</f>
        <v>0.28117000000000003</v>
      </c>
      <c r="G14" s="328">
        <f>VLOOKUP($C14,'Raw - Fuel Poverty'!$A:$Q,16,FALSE)</f>
        <v>0.29189000000000004</v>
      </c>
      <c r="H14" s="318">
        <f>VLOOKUP(C14,'Raw - Fuel Poverty'!A:Q,14,FALSE)</f>
        <v>12560.026700000002</v>
      </c>
      <c r="I14" s="320">
        <f t="shared" si="1"/>
        <v>1.915E-2</v>
      </c>
      <c r="J14" s="300">
        <f>ROUND(SUM(VLOOKUP(C14,'Raw - Fuel Poverty'!A:Q,14,FALSE)-VLOOKUP(C14,'Raw - Fuel Poverty'!A:Q,2,FALSE)),-2)</f>
        <v>900</v>
      </c>
      <c r="K14" s="322">
        <f t="shared" si="0"/>
        <v>-0.16104000000000002</v>
      </c>
      <c r="L14" s="302">
        <f>IF(K14="","",IF($K$5="LGBF Family Group",SUM(MROUND(SUM(SUM(VLOOKUP(C$17,'Raw - Fuel Poverty'!A:Q,16,FALSE)*VLOOKUP(C14,'Raw - Fuel Poverty'!A:Q,15,FALSE))),100)-MROUND(SUM(SUM(VLOOKUP(C14,'Raw - Fuel Poverty'!A:Q,16,FALSE)*VLOOKUP(C14,'Raw - Fuel Poverty'!A:Q,15,FALSE))),100)),IF($K$5="Glasgow City Region",SUM(MROUND(SUM(SUM(VLOOKUP(C$18,'Raw - Fuel Poverty'!A:Q,16,FALSE)*VLOOKUP(C14,'Raw - Fuel Poverty'!A:Q,15,FALSE))),100)-MROUND(SUM(SUM(VLOOKUP(C14,'Raw - Fuel Poverty'!A:Q,16,FALSE)*VLOOKUP(C14,'Raw - Fuel Poverty'!A:Q,15,FALSE))),100)),IF($K$5="Scotland",SUM(MROUND(SUM(SUM(VLOOKUP(C$19,'Raw - Fuel Poverty'!A:Q,16,FALSE)*VLOOKUP(C14,'Raw - Fuel Poverty'!A:Q,15,FALSE))),100)-MROUND(SUM(SUM(VLOOKUP(C14,'Raw - Fuel Poverty'!A:Q,16,FALSE)*VLOOKUP(C14,'Raw - Fuel Poverty'!A:Q,15,FALSE))),100)),IF($K$5="United Kingdom",SUM(MROUND(SUM(SUM(VLOOKUP(C$20,'Raw - Fuel Poverty'!A:Q,16,FALSE)*VLOOKUP(C14,'Raw - Fuel Poverty'!A:Q,15,FALSE))),100)-MROUND(SUM(SUM(VLOOKUP(C14,'Raw - Fuel Poverty'!A:Q,16,FALSE)*VLOOKUP(C14,'Raw - Fuel Poverty'!A:Q,15,FALSE))),100)),SUM(MROUND(SUM(SUM(VLOOKUP(C$16,'Raw - Fuel Poverty'!A:Q,16,FALSE)*VLOOKUP(C14,'Raw - Fuel Poverty'!A:Q,15,FALSE))),100)-MROUND(SUM(SUM(VLOOKUP(C14,'Raw - Fuel Poverty'!A:Q,16,FALSE)*VLOOKUP(C14,'Raw - Fuel Poverty'!A:Q,15,FALSE))),100)))))))</f>
        <v>-7000</v>
      </c>
    </row>
    <row r="15" spans="2:12" ht="19.5" customHeight="1">
      <c r="B15" s="303"/>
      <c r="C15" s="303"/>
      <c r="D15" s="306"/>
      <c r="E15" s="306"/>
      <c r="F15" s="306"/>
      <c r="G15" s="306"/>
      <c r="H15" s="304"/>
      <c r="I15" s="306"/>
      <c r="J15" s="306"/>
      <c r="K15" s="306"/>
      <c r="L15" s="306"/>
    </row>
    <row r="16" spans="2:12" ht="19.5" customHeight="1">
      <c r="B16" s="307" t="s">
        <v>51</v>
      </c>
      <c r="C16" s="296" t="str">
        <f>INDEX('Raw - Fuel Poverty'!$A$9:$A$41,MATCH(MIN('Raw - Fuel Poverty'!P9:P41),'Raw - Fuel Poverty'!P9:P41,0))</f>
        <v>East Renfrewshire</v>
      </c>
      <c r="D16" s="328">
        <f>VLOOKUP($C16,'Raw - Fuel Poverty'!$A:$Q,4,FALSE)</f>
        <v>0.27411000000000002</v>
      </c>
      <c r="E16" s="328">
        <f>VLOOKUP($C16,'Raw - Fuel Poverty'!$A:$Q,8,FALSE)</f>
        <v>0.20606000000000002</v>
      </c>
      <c r="F16" s="328">
        <f>VLOOKUP($C16,'Raw - Fuel Poverty'!$A:$Q,12,FALSE)</f>
        <v>0.16162000000000001</v>
      </c>
      <c r="G16" s="328">
        <f>VLOOKUP($C16,'Raw - Fuel Poverty'!$A:$Q,16,FALSE)</f>
        <v>0.13085000000000002</v>
      </c>
      <c r="H16" s="318">
        <f>VLOOKUP(C16,'Raw - Fuel Poverty'!A:Q,14,FALSE)</f>
        <v>5148.2932500000006</v>
      </c>
      <c r="I16" s="320">
        <f>SUM(G16-D16)</f>
        <v>-0.14326</v>
      </c>
      <c r="J16" s="300">
        <f>SUM(VLOOKUP(C16,'Raw - Fuel Poverty'!A:Q,14,FALSE)-VLOOKUP(C16,'Raw - Fuel Poverty'!A:Q,2,FALSE))</f>
        <v>-5427.1446599999999</v>
      </c>
    </row>
    <row r="17" spans="2:12" ht="19.5" customHeight="1">
      <c r="B17" s="332" t="s">
        <v>539</v>
      </c>
      <c r="C17" s="333" t="s">
        <v>543</v>
      </c>
      <c r="D17" s="328">
        <f>VLOOKUP($C17,'Raw - Fuel Poverty'!$A:$Q,4,FALSE)</f>
        <v>0.43106835361156315</v>
      </c>
      <c r="E17" s="328">
        <f>VLOOKUP($C17,'Raw - Fuel Poverty'!$A:$Q,8,FALSE)</f>
        <v>0.41350022619033378</v>
      </c>
      <c r="F17" s="328">
        <f>VLOOKUP($C17,'Raw - Fuel Poverty'!$A:$Q,12,FALSE)</f>
        <v>0.28953424457343457</v>
      </c>
      <c r="G17" s="328">
        <f>VLOOKUP($C17,'Raw - Fuel Poverty'!$A:$Q,16,FALSE)</f>
        <v>0.29469103212771408</v>
      </c>
      <c r="H17" s="318">
        <f>VLOOKUP(C17,'Raw - Fuel Poverty'!A:Q,14,FALSE)</f>
        <v>124268.85072000002</v>
      </c>
      <c r="I17" s="320">
        <f>SUM(G17-D17)</f>
        <v>-0.13637732148384907</v>
      </c>
      <c r="J17" s="300">
        <f>SUM(VLOOKUP(C17,'Raw - Fuel Poverty'!A:Q,14,FALSE)-VLOOKUP(C17,'Raw - Fuel Poverty'!A:Q,2,FALSE))</f>
        <v>-54791.770549999987</v>
      </c>
    </row>
    <row r="18" spans="2:12" ht="19.5" customHeight="1">
      <c r="B18" s="307" t="s">
        <v>250</v>
      </c>
      <c r="C18" s="296" t="s">
        <v>47</v>
      </c>
      <c r="D18" s="328">
        <f>VLOOKUP($C18,'Raw - Fuel Poverty'!$A:$Q,4,FALSE)</f>
        <v>0.26765300694619704</v>
      </c>
      <c r="E18" s="328">
        <f>VLOOKUP($C18,'Raw - Fuel Poverty'!$A:$Q,8,FALSE)</f>
        <v>0.22739707071853027</v>
      </c>
      <c r="F18" s="328">
        <f>VLOOKUP($C18,'Raw - Fuel Poverty'!$A:$Q,12,FALSE)</f>
        <v>0.23860289953914859</v>
      </c>
      <c r="G18" s="328">
        <f>VLOOKUP($C18,'Raw - Fuel Poverty'!$A:$Q,16,FALSE)</f>
        <v>0.22842307229534142</v>
      </c>
      <c r="H18" s="318">
        <f>VLOOKUP(C18,'Raw - Fuel Poverty'!A:Q,14,FALSE)</f>
        <v>193565.48304000002</v>
      </c>
      <c r="I18" s="320">
        <f t="shared" si="1"/>
        <v>-3.9229934650855613E-2</v>
      </c>
      <c r="J18" s="300">
        <f>SUM(VLOOKUP(C18,'Raw - Fuel Poverty'!A:Q,14,FALSE)-VLOOKUP(C18,'Raw - Fuel Poverty'!A:Q,2,FALSE))</f>
        <v>-29151.260570000013</v>
      </c>
    </row>
    <row r="19" spans="2:12" ht="19.5" customHeight="1">
      <c r="B19" s="307" t="s">
        <v>251</v>
      </c>
      <c r="C19" s="296" t="s">
        <v>45</v>
      </c>
      <c r="D19" s="328">
        <f>VLOOKUP($C19,'Raw - Fuel Poverty'!$A:$Q,4,FALSE)</f>
        <v>0.30686000000000002</v>
      </c>
      <c r="E19" s="328">
        <f>VLOOKUP($C19,'Raw - Fuel Poverty'!$A:$Q,8,FALSE)</f>
        <v>0.27348</v>
      </c>
      <c r="F19" s="328">
        <f>VLOOKUP($C19,'Raw - Fuel Poverty'!$A:$Q,12,FALSE)</f>
        <v>0.24795000000000003</v>
      </c>
      <c r="G19" s="328">
        <f>VLOOKUP($C19,'Raw - Fuel Poverty'!$A:$Q,16,FALSE)</f>
        <v>0.24408000000000002</v>
      </c>
      <c r="H19" s="318">
        <f>VLOOKUP(C19,'Raw - Fuel Poverty'!A:Q,14,FALSE)</f>
        <v>609131.66184000007</v>
      </c>
      <c r="I19" s="320">
        <f t="shared" si="1"/>
        <v>-6.2780000000000002E-2</v>
      </c>
      <c r="J19" s="300">
        <f>SUM(VLOOKUP(C19,'Raw - Fuel Poverty'!A:Q,14,FALSE)-VLOOKUP(C19,'Raw - Fuel Poverty'!A:Q,2,FALSE))</f>
        <v>-141500.37121999997</v>
      </c>
    </row>
    <row r="20" spans="2:12" ht="19.5" customHeight="1">
      <c r="B20" s="307" t="s">
        <v>251</v>
      </c>
      <c r="C20" s="296" t="s">
        <v>46</v>
      </c>
      <c r="D20" s="328" t="s">
        <v>69</v>
      </c>
      <c r="E20" s="328" t="s">
        <v>69</v>
      </c>
      <c r="F20" s="328" t="s">
        <v>69</v>
      </c>
      <c r="G20" s="328" t="s">
        <v>69</v>
      </c>
      <c r="H20" s="318" t="s">
        <v>69</v>
      </c>
      <c r="I20" s="320" t="s">
        <v>69</v>
      </c>
      <c r="J20" s="300" t="s">
        <v>69</v>
      </c>
    </row>
    <row r="21" spans="2:12" ht="19.5" customHeight="1">
      <c r="C21" s="309"/>
      <c r="D21" s="310"/>
      <c r="E21" s="310"/>
      <c r="F21" s="310"/>
      <c r="G21" s="310"/>
      <c r="H21" s="310"/>
      <c r="I21" s="310"/>
      <c r="J21" s="310"/>
      <c r="K21" s="310"/>
      <c r="L21" s="310"/>
    </row>
    <row r="22" spans="2:12">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autoFilter ref="C6:L14" xr:uid="{00000000-0009-0000-0000-000005000000}">
    <sortState xmlns:xlrd2="http://schemas.microsoft.com/office/spreadsheetml/2017/richdata2" ref="B7:I14">
      <sortCondition descending="1" ref="H6"/>
    </sortState>
  </autoFilter>
  <mergeCells count="4">
    <mergeCell ref="K4:L4"/>
    <mergeCell ref="I5:J5"/>
    <mergeCell ref="K5:L5"/>
    <mergeCell ref="F2:G2"/>
  </mergeCells>
  <dataValidations count="1">
    <dataValidation type="list" allowBlank="1" showInputMessage="1" showErrorMessage="1" sqref="C17" xr:uid="{00000000-0002-0000-0500-000000000000}">
      <formula1>IF(B17="LGBF Family Group 1",LGBF_5,IF(B17="LGBF Family Group 3",LGBF_7,IF(B17="LGBF Family Group 4",LGBF_8,LGBF_6)))</formula1>
    </dataValidation>
  </dataValidations>
  <hyperlinks>
    <hyperlink ref="C3" r:id="rId1" xr:uid="{00000000-0004-0000-0500-000000000000}"/>
    <hyperlink ref="F2:G2" location="'Index RAG'!A1" display="Return to Index RAG" xr:uid="{00000000-0004-0000-05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Lookups!$L$8:$O$8</xm:f>
          </x14:formula1>
          <xm:sqref>B17</xm:sqref>
        </x14:dataValidation>
        <x14:dataValidation type="list" allowBlank="1" showInputMessage="1" showErrorMessage="1" xr:uid="{00000000-0002-0000-0500-000002000000}">
          <x14:formula1>
            <xm:f>Lookups!$B$9:$B$12</xm:f>
          </x14:formula1>
          <xm:sqref>K5:L5</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autoPageBreaks="0"/>
  </sheetPr>
  <dimension ref="A1:Q94"/>
  <sheetViews>
    <sheetView topLeftCell="A46" zoomScale="55" zoomScaleNormal="55" workbookViewId="0">
      <selection activeCell="G2" sqref="G2:H2"/>
    </sheetView>
  </sheetViews>
  <sheetFormatPr defaultColWidth="8.7265625" defaultRowHeight="14.5"/>
  <cols>
    <col min="1" max="1" width="25" customWidth="1" collapsed="1"/>
    <col min="2" max="3" width="16.54296875"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5">
      <c r="A1" s="18" t="s">
        <v>78</v>
      </c>
      <c r="B1" s="18"/>
      <c r="C1" s="18"/>
    </row>
    <row r="2" spans="1:17">
      <c r="A2" s="13" t="s">
        <v>62</v>
      </c>
      <c r="B2" s="13"/>
      <c r="C2" s="13"/>
    </row>
    <row r="4" spans="1:17">
      <c r="A4" s="16" t="s">
        <v>77</v>
      </c>
      <c r="B4" s="16"/>
      <c r="C4" s="16"/>
      <c r="D4" s="16" t="s">
        <v>76</v>
      </c>
    </row>
    <row r="5" spans="1:17">
      <c r="A5" s="16" t="s">
        <v>75</v>
      </c>
      <c r="B5" s="16"/>
      <c r="C5" s="16"/>
      <c r="D5" s="16" t="s">
        <v>74</v>
      </c>
    </row>
    <row r="6" spans="1:17">
      <c r="A6" s="16" t="s">
        <v>73</v>
      </c>
      <c r="B6" s="16"/>
      <c r="C6" s="16"/>
      <c r="D6" s="16" t="s">
        <v>72</v>
      </c>
    </row>
    <row r="7" spans="1:17" ht="22" customHeight="1">
      <c r="A7" s="17" t="s">
        <v>5</v>
      </c>
      <c r="B7" s="17"/>
      <c r="C7" s="17"/>
      <c r="D7" s="603">
        <v>2020</v>
      </c>
      <c r="E7" s="604"/>
      <c r="H7" s="65">
        <v>2021</v>
      </c>
      <c r="L7" s="603">
        <v>2022</v>
      </c>
      <c r="M7" s="604"/>
      <c r="P7" s="603">
        <v>2023</v>
      </c>
      <c r="Q7" s="604"/>
    </row>
    <row r="8" spans="1:17" ht="26.15" customHeight="1">
      <c r="D8" s="11" t="s">
        <v>71</v>
      </c>
      <c r="E8" s="11" t="s">
        <v>70</v>
      </c>
      <c r="F8" s="11"/>
      <c r="G8" s="11"/>
      <c r="H8" s="11" t="s">
        <v>71</v>
      </c>
      <c r="I8" s="11" t="s">
        <v>70</v>
      </c>
      <c r="J8" s="11"/>
      <c r="K8" s="11"/>
      <c r="L8" s="11" t="s">
        <v>71</v>
      </c>
      <c r="M8" s="11" t="s">
        <v>70</v>
      </c>
      <c r="N8" s="11"/>
      <c r="O8" s="11"/>
      <c r="P8" s="11" t="s">
        <v>71</v>
      </c>
      <c r="Q8" s="11" t="s">
        <v>70</v>
      </c>
    </row>
    <row r="9" spans="1:17">
      <c r="A9" s="16" t="s">
        <v>14</v>
      </c>
      <c r="B9" s="242"/>
      <c r="C9" s="16"/>
      <c r="D9" s="244">
        <f>VLOOKUP($A9,$A$61:$I$94,2,FALSE)</f>
        <v>402.4</v>
      </c>
      <c r="E9" s="244">
        <v>4.2</v>
      </c>
      <c r="F9" s="244"/>
      <c r="G9" s="244"/>
      <c r="H9" s="244">
        <f>VLOOKUP($A9,$A$61:$I$94,4,FALSE)</f>
        <v>421.1</v>
      </c>
      <c r="I9" s="244">
        <v>5.0999999999999996</v>
      </c>
      <c r="J9" s="244"/>
      <c r="K9" s="244"/>
      <c r="L9" s="244">
        <f>VLOOKUP($A9,$A$61:$I$94,6,FALSE)</f>
        <v>458.1</v>
      </c>
      <c r="M9" s="244">
        <v>4</v>
      </c>
      <c r="N9" s="244"/>
      <c r="O9" s="244"/>
      <c r="P9" s="244">
        <f>VLOOKUP($A9,$A$61:$I$94,8,FALSE)</f>
        <v>507.9</v>
      </c>
      <c r="Q9" s="244">
        <v>3.8</v>
      </c>
    </row>
    <row r="10" spans="1:17">
      <c r="A10" s="16" t="s">
        <v>15</v>
      </c>
      <c r="B10" s="242"/>
      <c r="C10" s="16"/>
      <c r="D10" s="244">
        <f t="shared" ref="D10:D42" si="0">VLOOKUP($A10,$A$61:$I$94,2,FALSE)</f>
        <v>422.7</v>
      </c>
      <c r="E10" s="244">
        <v>5.2</v>
      </c>
      <c r="F10" s="244"/>
      <c r="G10" s="244"/>
      <c r="H10" s="244">
        <f t="shared" ref="H10:H42" si="1">VLOOKUP($A10,$A$61:$I$94,4,FALSE)</f>
        <v>443.2</v>
      </c>
      <c r="I10" s="244">
        <v>6.1</v>
      </c>
      <c r="J10" s="244"/>
      <c r="K10" s="244"/>
      <c r="L10" s="244">
        <f t="shared" ref="L10:L42" si="2">VLOOKUP($A10,$A$61:$I$94,6,FALSE)</f>
        <v>479.6</v>
      </c>
      <c r="M10" s="244">
        <v>5</v>
      </c>
      <c r="N10" s="244"/>
      <c r="O10" s="244"/>
      <c r="P10" s="244">
        <f t="shared" ref="P10:P42" si="3">VLOOKUP($A10,$A$61:$I$94,8,FALSE)</f>
        <v>508.4</v>
      </c>
      <c r="Q10" s="244">
        <v>5.5</v>
      </c>
    </row>
    <row r="11" spans="1:17">
      <c r="A11" s="16" t="s">
        <v>16</v>
      </c>
      <c r="B11" s="242"/>
      <c r="C11" s="16"/>
      <c r="D11" s="244">
        <f t="shared" si="0"/>
        <v>393.1</v>
      </c>
      <c r="E11" s="244">
        <v>6.2</v>
      </c>
      <c r="F11" s="244"/>
      <c r="G11" s="244"/>
      <c r="H11" s="244">
        <f t="shared" si="1"/>
        <v>400.1</v>
      </c>
      <c r="I11" s="244">
        <v>7.1</v>
      </c>
      <c r="J11" s="244"/>
      <c r="K11" s="244"/>
      <c r="L11" s="244">
        <f t="shared" si="2"/>
        <v>446.5</v>
      </c>
      <c r="M11" s="244">
        <v>6</v>
      </c>
      <c r="N11" s="244"/>
      <c r="O11" s="244"/>
      <c r="P11" s="244">
        <f t="shared" si="3"/>
        <v>487.8</v>
      </c>
      <c r="Q11" s="244">
        <v>6.5</v>
      </c>
    </row>
    <row r="12" spans="1:17">
      <c r="A12" s="16" t="s">
        <v>17</v>
      </c>
      <c r="B12" s="242"/>
      <c r="C12" s="16"/>
      <c r="D12" s="244">
        <f t="shared" si="0"/>
        <v>396</v>
      </c>
      <c r="E12" s="244">
        <v>7.2</v>
      </c>
      <c r="F12" s="244"/>
      <c r="G12" s="244"/>
      <c r="H12" s="244">
        <f t="shared" si="1"/>
        <v>416.8</v>
      </c>
      <c r="I12" s="244">
        <v>8.1</v>
      </c>
      <c r="J12" s="244"/>
      <c r="K12" s="244"/>
      <c r="L12" s="244">
        <f t="shared" si="2"/>
        <v>449.1</v>
      </c>
      <c r="M12" s="244">
        <v>7</v>
      </c>
      <c r="N12" s="244"/>
      <c r="O12" s="244"/>
      <c r="P12" s="244">
        <f t="shared" si="3"/>
        <v>475.2</v>
      </c>
      <c r="Q12" s="244">
        <v>7.3</v>
      </c>
    </row>
    <row r="13" spans="1:17">
      <c r="A13" s="16" t="s">
        <v>189</v>
      </c>
      <c r="B13" s="242"/>
      <c r="C13" s="16"/>
      <c r="D13" s="244">
        <f t="shared" si="0"/>
        <v>432.4</v>
      </c>
      <c r="E13" s="244">
        <v>8.1999999999999993</v>
      </c>
      <c r="F13" s="244"/>
      <c r="G13" s="244"/>
      <c r="H13" s="244">
        <f t="shared" si="1"/>
        <v>445.6</v>
      </c>
      <c r="I13" s="244">
        <v>9.1</v>
      </c>
      <c r="J13" s="244"/>
      <c r="K13" s="244"/>
      <c r="L13" s="244">
        <f t="shared" si="2"/>
        <v>466.5</v>
      </c>
      <c r="M13" s="244">
        <v>8</v>
      </c>
      <c r="N13" s="244"/>
      <c r="O13" s="244"/>
      <c r="P13" s="244">
        <f t="shared" si="3"/>
        <v>503.4</v>
      </c>
      <c r="Q13" s="244">
        <v>2.5</v>
      </c>
    </row>
    <row r="14" spans="1:17">
      <c r="A14" s="16" t="s">
        <v>18</v>
      </c>
      <c r="B14" s="242"/>
      <c r="C14" s="16"/>
      <c r="D14" s="244">
        <f t="shared" si="0"/>
        <v>413.1</v>
      </c>
      <c r="E14" s="244">
        <v>9.1999999999999993</v>
      </c>
      <c r="F14" s="244"/>
      <c r="G14" s="244"/>
      <c r="H14" s="244">
        <f t="shared" si="1"/>
        <v>411.5</v>
      </c>
      <c r="I14" s="244">
        <v>10.1</v>
      </c>
      <c r="J14" s="244"/>
      <c r="K14" s="244"/>
      <c r="L14" s="244">
        <f t="shared" si="2"/>
        <v>469.1</v>
      </c>
      <c r="M14" s="244">
        <v>9</v>
      </c>
      <c r="N14" s="244"/>
      <c r="O14" s="244"/>
      <c r="P14" s="244">
        <f t="shared" si="3"/>
        <v>494.8</v>
      </c>
      <c r="Q14" s="244">
        <v>8.5</v>
      </c>
    </row>
    <row r="15" spans="1:17">
      <c r="A15" s="16" t="s">
        <v>19</v>
      </c>
      <c r="B15" s="242"/>
      <c r="C15" s="16"/>
      <c r="D15" s="244">
        <f t="shared" si="0"/>
        <v>357.4</v>
      </c>
      <c r="E15" s="244">
        <v>10.199999999999999</v>
      </c>
      <c r="F15" s="244"/>
      <c r="G15" s="244"/>
      <c r="H15" s="244">
        <f t="shared" si="1"/>
        <v>400</v>
      </c>
      <c r="I15" s="244">
        <v>11.1</v>
      </c>
      <c r="J15" s="244"/>
      <c r="K15" s="244"/>
      <c r="L15" s="244">
        <f t="shared" si="2"/>
        <v>433.1</v>
      </c>
      <c r="M15" s="244">
        <v>10</v>
      </c>
      <c r="N15" s="244"/>
      <c r="O15" s="244"/>
      <c r="P15" s="244">
        <f t="shared" si="3"/>
        <v>461</v>
      </c>
      <c r="Q15" s="244">
        <v>6</v>
      </c>
    </row>
    <row r="16" spans="1:17">
      <c r="A16" s="16" t="s">
        <v>20</v>
      </c>
      <c r="B16" s="242"/>
      <c r="C16" s="16"/>
      <c r="D16" s="244">
        <f t="shared" si="0"/>
        <v>404.1</v>
      </c>
      <c r="E16" s="244">
        <v>11.2</v>
      </c>
      <c r="F16" s="244"/>
      <c r="G16" s="244"/>
      <c r="H16" s="244">
        <f t="shared" si="1"/>
        <v>408.2</v>
      </c>
      <c r="I16" s="244">
        <v>12.1</v>
      </c>
      <c r="J16" s="244"/>
      <c r="K16" s="244"/>
      <c r="L16" s="244">
        <f t="shared" si="2"/>
        <v>428.5</v>
      </c>
      <c r="M16" s="244">
        <v>11</v>
      </c>
      <c r="N16" s="244"/>
      <c r="O16" s="244"/>
      <c r="P16" s="244">
        <f t="shared" si="3"/>
        <v>465.3</v>
      </c>
      <c r="Q16" s="244">
        <v>4.7</v>
      </c>
    </row>
    <row r="17" spans="1:17">
      <c r="A17" s="16" t="s">
        <v>21</v>
      </c>
      <c r="B17" s="242"/>
      <c r="C17" s="16"/>
      <c r="D17" s="244">
        <f t="shared" si="0"/>
        <v>394.5</v>
      </c>
      <c r="E17" s="244">
        <v>12.2</v>
      </c>
      <c r="F17" s="244"/>
      <c r="G17" s="244"/>
      <c r="H17" s="244">
        <f t="shared" si="1"/>
        <v>450.8</v>
      </c>
      <c r="I17" s="244">
        <v>13.1</v>
      </c>
      <c r="J17" s="244"/>
      <c r="K17" s="244"/>
      <c r="L17" s="244">
        <f t="shared" si="2"/>
        <v>475.6</v>
      </c>
      <c r="M17" s="244">
        <v>12</v>
      </c>
      <c r="N17" s="244"/>
      <c r="O17" s="244"/>
      <c r="P17" s="244">
        <f t="shared" si="3"/>
        <v>463.7</v>
      </c>
      <c r="Q17" s="244">
        <v>7.4</v>
      </c>
    </row>
    <row r="18" spans="1:17">
      <c r="A18" s="16" t="s">
        <v>22</v>
      </c>
      <c r="B18" s="242"/>
      <c r="C18" s="16"/>
      <c r="D18" s="244">
        <f t="shared" si="0"/>
        <v>464.2</v>
      </c>
      <c r="E18" s="244">
        <v>13.2</v>
      </c>
      <c r="F18" s="244"/>
      <c r="G18" s="244"/>
      <c r="H18" s="244">
        <f t="shared" si="1"/>
        <v>487</v>
      </c>
      <c r="I18" s="244">
        <v>14.1</v>
      </c>
      <c r="J18" s="244"/>
      <c r="K18" s="244"/>
      <c r="L18" s="244">
        <f t="shared" si="2"/>
        <v>514.6</v>
      </c>
      <c r="M18" s="244">
        <v>13</v>
      </c>
      <c r="N18" s="244"/>
      <c r="O18" s="244"/>
      <c r="P18" s="244">
        <f t="shared" si="3"/>
        <v>566.9</v>
      </c>
      <c r="Q18" s="244">
        <v>5.7</v>
      </c>
    </row>
    <row r="19" spans="1:17">
      <c r="A19" s="16" t="s">
        <v>23</v>
      </c>
      <c r="B19" s="242"/>
      <c r="C19" s="16"/>
      <c r="D19" s="244">
        <f t="shared" si="0"/>
        <v>402.8</v>
      </c>
      <c r="E19" s="244">
        <v>14.2</v>
      </c>
      <c r="F19" s="244"/>
      <c r="G19" s="244"/>
      <c r="H19" s="244">
        <f t="shared" si="1"/>
        <v>407.6</v>
      </c>
      <c r="I19" s="244">
        <v>15.1</v>
      </c>
      <c r="J19" s="244"/>
      <c r="K19" s="244"/>
      <c r="L19" s="244">
        <f t="shared" si="2"/>
        <v>442.1</v>
      </c>
      <c r="M19" s="244">
        <v>14</v>
      </c>
      <c r="N19" s="244"/>
      <c r="O19" s="244"/>
      <c r="P19" s="244">
        <f t="shared" si="3"/>
        <v>483.9</v>
      </c>
      <c r="Q19" s="244">
        <v>7.1</v>
      </c>
    </row>
    <row r="20" spans="1:17">
      <c r="A20" s="16" t="s">
        <v>24</v>
      </c>
      <c r="B20" s="242"/>
      <c r="C20" s="16"/>
      <c r="D20" s="244">
        <f t="shared" si="0"/>
        <v>511.2</v>
      </c>
      <c r="E20" s="244">
        <v>15.2</v>
      </c>
      <c r="F20" s="244"/>
      <c r="G20" s="244"/>
      <c r="H20" s="244">
        <f t="shared" si="1"/>
        <v>536.70000000000005</v>
      </c>
      <c r="I20" s="244">
        <v>16.100000000000001</v>
      </c>
      <c r="J20" s="244"/>
      <c r="K20" s="244"/>
      <c r="L20" s="244">
        <f t="shared" si="2"/>
        <v>535.5</v>
      </c>
      <c r="M20" s="244">
        <v>15</v>
      </c>
      <c r="N20" s="244"/>
      <c r="O20" s="244"/>
      <c r="P20" s="244">
        <f t="shared" si="3"/>
        <v>574.9</v>
      </c>
      <c r="Q20" s="244">
        <v>6.3</v>
      </c>
    </row>
    <row r="21" spans="1:17">
      <c r="A21" s="16" t="s">
        <v>25</v>
      </c>
      <c r="B21" s="242"/>
      <c r="C21" s="16"/>
      <c r="D21" s="244">
        <f t="shared" si="0"/>
        <v>422.2</v>
      </c>
      <c r="E21" s="244">
        <v>16.2</v>
      </c>
      <c r="F21" s="244"/>
      <c r="G21" s="244"/>
      <c r="H21" s="244">
        <f t="shared" si="1"/>
        <v>436.8</v>
      </c>
      <c r="I21" s="244">
        <v>17.100000000000001</v>
      </c>
      <c r="J21" s="244"/>
      <c r="K21" s="244"/>
      <c r="L21" s="244">
        <f t="shared" si="2"/>
        <v>462.8</v>
      </c>
      <c r="M21" s="244">
        <v>16</v>
      </c>
      <c r="N21" s="244"/>
      <c r="O21" s="244"/>
      <c r="P21" s="244">
        <f t="shared" si="3"/>
        <v>525.70000000000005</v>
      </c>
      <c r="Q21" s="244">
        <v>3.5</v>
      </c>
    </row>
    <row r="22" spans="1:17">
      <c r="A22" s="16" t="s">
        <v>26</v>
      </c>
      <c r="B22" s="242"/>
      <c r="C22" s="16"/>
      <c r="D22" s="244">
        <f t="shared" si="0"/>
        <v>406.4</v>
      </c>
      <c r="E22" s="244">
        <v>17.2</v>
      </c>
      <c r="F22" s="244"/>
      <c r="G22" s="244"/>
      <c r="H22" s="244">
        <f t="shared" si="1"/>
        <v>428.8</v>
      </c>
      <c r="I22" s="244">
        <v>18.100000000000001</v>
      </c>
      <c r="J22" s="244"/>
      <c r="K22" s="244"/>
      <c r="L22" s="244">
        <f t="shared" si="2"/>
        <v>434.4</v>
      </c>
      <c r="M22" s="244">
        <v>17</v>
      </c>
      <c r="N22" s="244"/>
      <c r="O22" s="244"/>
      <c r="P22" s="244">
        <f t="shared" si="3"/>
        <v>494.4</v>
      </c>
      <c r="Q22" s="244">
        <v>3.2</v>
      </c>
    </row>
    <row r="23" spans="1:17">
      <c r="A23" s="16" t="s">
        <v>27</v>
      </c>
      <c r="B23" s="242"/>
      <c r="C23" s="16"/>
      <c r="D23" s="244">
        <f t="shared" si="0"/>
        <v>405.5</v>
      </c>
      <c r="E23" s="244">
        <v>18.2</v>
      </c>
      <c r="F23" s="244"/>
      <c r="G23" s="244"/>
      <c r="H23" s="244">
        <f t="shared" si="1"/>
        <v>419.8</v>
      </c>
      <c r="I23" s="244">
        <v>19.100000000000001</v>
      </c>
      <c r="J23" s="244"/>
      <c r="K23" s="244"/>
      <c r="L23" s="244">
        <f t="shared" si="2"/>
        <v>452.4</v>
      </c>
      <c r="M23" s="244">
        <v>18</v>
      </c>
      <c r="N23" s="244"/>
      <c r="O23" s="244"/>
      <c r="P23" s="244">
        <f t="shared" si="3"/>
        <v>492.1</v>
      </c>
      <c r="Q23" s="244">
        <v>2.8</v>
      </c>
    </row>
    <row r="24" spans="1:17">
      <c r="A24" s="16" t="s">
        <v>28</v>
      </c>
      <c r="B24" s="242"/>
      <c r="C24" s="16"/>
      <c r="D24" s="244">
        <f t="shared" si="0"/>
        <v>410.6</v>
      </c>
      <c r="E24" s="244">
        <v>19.2</v>
      </c>
      <c r="F24" s="244"/>
      <c r="G24" s="244"/>
      <c r="H24" s="244">
        <f t="shared" si="1"/>
        <v>439.3</v>
      </c>
      <c r="I24" s="244">
        <v>20.100000000000001</v>
      </c>
      <c r="J24" s="244"/>
      <c r="K24" s="244"/>
      <c r="L24" s="244">
        <f t="shared" si="2"/>
        <v>460</v>
      </c>
      <c r="M24" s="244">
        <v>19</v>
      </c>
      <c r="N24" s="244"/>
      <c r="O24" s="244"/>
      <c r="P24" s="244">
        <f t="shared" si="3"/>
        <v>494.6</v>
      </c>
      <c r="Q24" s="244">
        <v>3.7</v>
      </c>
    </row>
    <row r="25" spans="1:17">
      <c r="A25" s="16" t="s">
        <v>29</v>
      </c>
      <c r="B25" s="242"/>
      <c r="C25" s="16"/>
      <c r="D25" s="244">
        <f t="shared" si="0"/>
        <v>376</v>
      </c>
      <c r="E25" s="244">
        <v>20.2</v>
      </c>
      <c r="F25" s="244"/>
      <c r="G25" s="244"/>
      <c r="H25" s="244">
        <f t="shared" si="1"/>
        <v>401.2</v>
      </c>
      <c r="I25" s="244">
        <v>21.1</v>
      </c>
      <c r="J25" s="244"/>
      <c r="K25" s="244"/>
      <c r="L25" s="244">
        <f t="shared" si="2"/>
        <v>468</v>
      </c>
      <c r="M25" s="244">
        <v>20</v>
      </c>
      <c r="N25" s="244"/>
      <c r="O25" s="244"/>
      <c r="P25" s="244">
        <f t="shared" si="3"/>
        <v>537.4</v>
      </c>
      <c r="Q25" s="244">
        <v>8.9</v>
      </c>
    </row>
    <row r="26" spans="1:17">
      <c r="A26" s="16" t="s">
        <v>30</v>
      </c>
      <c r="B26" s="242"/>
      <c r="C26" s="16"/>
      <c r="D26" s="244">
        <f t="shared" si="0"/>
        <v>394.9</v>
      </c>
      <c r="E26" s="244">
        <v>21.2</v>
      </c>
      <c r="F26" s="244"/>
      <c r="G26" s="244"/>
      <c r="H26" s="244">
        <f t="shared" si="1"/>
        <v>432.8</v>
      </c>
      <c r="I26" s="244">
        <v>22.1</v>
      </c>
      <c r="J26" s="244"/>
      <c r="K26" s="244"/>
      <c r="L26" s="244">
        <f t="shared" si="2"/>
        <v>466.5</v>
      </c>
      <c r="M26" s="244">
        <v>21</v>
      </c>
      <c r="N26" s="244"/>
      <c r="O26" s="244"/>
      <c r="P26" s="244">
        <f t="shared" si="3"/>
        <v>524.9</v>
      </c>
      <c r="Q26" s="244">
        <v>5.8</v>
      </c>
    </row>
    <row r="27" spans="1:17">
      <c r="A27" s="16" t="s">
        <v>31</v>
      </c>
      <c r="B27" s="242"/>
      <c r="C27" s="16"/>
      <c r="D27" s="244">
        <f t="shared" si="0"/>
        <v>400.7</v>
      </c>
      <c r="E27" s="244">
        <v>22.2</v>
      </c>
      <c r="F27" s="244"/>
      <c r="G27" s="244"/>
      <c r="H27" s="244">
        <f t="shared" si="1"/>
        <v>416</v>
      </c>
      <c r="I27" s="244">
        <v>23.1</v>
      </c>
      <c r="J27" s="244"/>
      <c r="K27" s="244"/>
      <c r="L27" s="244">
        <f t="shared" si="2"/>
        <v>447.6</v>
      </c>
      <c r="M27" s="244">
        <v>22</v>
      </c>
      <c r="N27" s="244"/>
      <c r="O27" s="244"/>
      <c r="P27" s="244">
        <f t="shared" si="3"/>
        <v>457.5</v>
      </c>
      <c r="Q27" s="244">
        <v>8</v>
      </c>
    </row>
    <row r="28" spans="1:17">
      <c r="A28" s="16" t="s">
        <v>32</v>
      </c>
      <c r="B28" s="242"/>
      <c r="C28" s="16"/>
      <c r="D28" s="244">
        <f t="shared" si="0"/>
        <v>381.1</v>
      </c>
      <c r="E28" s="244">
        <v>23.2</v>
      </c>
      <c r="F28" s="244"/>
      <c r="G28" s="244"/>
      <c r="H28" s="244">
        <f t="shared" si="1"/>
        <v>498.4</v>
      </c>
      <c r="I28" s="244">
        <v>24.1</v>
      </c>
      <c r="J28" s="244"/>
      <c r="K28" s="244"/>
      <c r="L28" s="244" t="str">
        <f t="shared" si="2"/>
        <v>#</v>
      </c>
      <c r="M28" s="244">
        <v>23</v>
      </c>
      <c r="N28" s="244"/>
      <c r="O28" s="244"/>
      <c r="P28" s="244" t="str">
        <f t="shared" si="3"/>
        <v>#</v>
      </c>
      <c r="Q28" s="244">
        <v>11</v>
      </c>
    </row>
    <row r="29" spans="1:17">
      <c r="A29" s="16" t="s">
        <v>33</v>
      </c>
      <c r="B29" s="242"/>
      <c r="C29" s="16"/>
      <c r="D29" s="244">
        <f t="shared" si="0"/>
        <v>406.7</v>
      </c>
      <c r="E29" s="244">
        <v>24.2</v>
      </c>
      <c r="F29" s="244"/>
      <c r="G29" s="244"/>
      <c r="H29" s="244">
        <f t="shared" si="1"/>
        <v>426.9</v>
      </c>
      <c r="I29" s="244">
        <v>25.1</v>
      </c>
      <c r="J29" s="244"/>
      <c r="K29" s="244"/>
      <c r="L29" s="244">
        <f t="shared" si="2"/>
        <v>479.8</v>
      </c>
      <c r="M29" s="244">
        <v>24</v>
      </c>
      <c r="N29" s="244"/>
      <c r="O29" s="244"/>
      <c r="P29" s="244">
        <f t="shared" si="3"/>
        <v>500.5</v>
      </c>
      <c r="Q29" s="244">
        <v>4.9000000000000004</v>
      </c>
    </row>
    <row r="30" spans="1:17">
      <c r="A30" s="16" t="s">
        <v>34</v>
      </c>
      <c r="B30" s="242"/>
      <c r="C30" s="16"/>
      <c r="D30" s="244">
        <f t="shared" si="0"/>
        <v>408.6</v>
      </c>
      <c r="E30" s="244">
        <v>25.2</v>
      </c>
      <c r="F30" s="244"/>
      <c r="G30" s="244"/>
      <c r="H30" s="244">
        <f t="shared" si="1"/>
        <v>431.9</v>
      </c>
      <c r="I30" s="244">
        <v>26.1</v>
      </c>
      <c r="J30" s="244"/>
      <c r="K30" s="244"/>
      <c r="L30" s="244">
        <f t="shared" si="2"/>
        <v>458.9</v>
      </c>
      <c r="M30" s="244">
        <v>25</v>
      </c>
      <c r="N30" s="244"/>
      <c r="O30" s="244"/>
      <c r="P30" s="244">
        <f t="shared" si="3"/>
        <v>508.2</v>
      </c>
      <c r="Q30" s="244">
        <v>3.1</v>
      </c>
    </row>
    <row r="31" spans="1:17">
      <c r="A31" s="16" t="s">
        <v>35</v>
      </c>
      <c r="B31" s="242"/>
      <c r="C31" s="16"/>
      <c r="D31" s="244">
        <f t="shared" si="0"/>
        <v>437.9</v>
      </c>
      <c r="E31" s="244">
        <v>26.2</v>
      </c>
      <c r="F31" s="244"/>
      <c r="G31" s="244"/>
      <c r="H31" s="244">
        <f t="shared" si="1"/>
        <v>419.6</v>
      </c>
      <c r="I31" s="244">
        <v>27.1</v>
      </c>
      <c r="J31" s="244"/>
      <c r="K31" s="244"/>
      <c r="L31" s="244">
        <f t="shared" si="2"/>
        <v>494.7</v>
      </c>
      <c r="M31" s="244">
        <v>26</v>
      </c>
      <c r="N31" s="244"/>
      <c r="O31" s="244"/>
      <c r="P31" s="244">
        <f t="shared" si="3"/>
        <v>565</v>
      </c>
      <c r="Q31" s="244">
        <v>13</v>
      </c>
    </row>
    <row r="32" spans="1:17">
      <c r="A32" s="16" t="s">
        <v>36</v>
      </c>
      <c r="B32" s="242"/>
      <c r="C32" s="16"/>
      <c r="D32" s="244">
        <f t="shared" si="0"/>
        <v>377.5</v>
      </c>
      <c r="E32" s="244">
        <v>27.2</v>
      </c>
      <c r="F32" s="244"/>
      <c r="G32" s="244"/>
      <c r="H32" s="244">
        <f t="shared" si="1"/>
        <v>406.9</v>
      </c>
      <c r="I32" s="244">
        <v>28.1</v>
      </c>
      <c r="J32" s="244"/>
      <c r="K32" s="244"/>
      <c r="L32" s="244">
        <f t="shared" si="2"/>
        <v>438.4</v>
      </c>
      <c r="M32" s="244">
        <v>27</v>
      </c>
      <c r="N32" s="244"/>
      <c r="O32" s="244"/>
      <c r="P32" s="244">
        <f t="shared" si="3"/>
        <v>483.7</v>
      </c>
      <c r="Q32" s="244">
        <v>5.7</v>
      </c>
    </row>
    <row r="33" spans="1:17">
      <c r="A33" s="16" t="s">
        <v>37</v>
      </c>
      <c r="B33" s="242"/>
      <c r="C33" s="16"/>
      <c r="D33" s="244">
        <f t="shared" si="0"/>
        <v>414.7</v>
      </c>
      <c r="E33" s="244">
        <v>28.2</v>
      </c>
      <c r="F33" s="244"/>
      <c r="G33" s="244"/>
      <c r="H33" s="244">
        <f t="shared" si="1"/>
        <v>447.3</v>
      </c>
      <c r="I33" s="244">
        <v>29.1</v>
      </c>
      <c r="J33" s="244"/>
      <c r="K33" s="244"/>
      <c r="L33" s="244">
        <f t="shared" si="2"/>
        <v>464.3</v>
      </c>
      <c r="M33" s="244">
        <v>28</v>
      </c>
      <c r="N33" s="244"/>
      <c r="O33" s="244"/>
      <c r="P33" s="244">
        <f t="shared" si="3"/>
        <v>509.4</v>
      </c>
      <c r="Q33" s="244">
        <v>6</v>
      </c>
    </row>
    <row r="34" spans="1:17">
      <c r="A34" s="16" t="s">
        <v>38</v>
      </c>
      <c r="B34" s="242"/>
      <c r="C34" s="16"/>
      <c r="D34" s="244">
        <f t="shared" si="0"/>
        <v>359.5</v>
      </c>
      <c r="E34" s="244">
        <v>29.2</v>
      </c>
      <c r="F34" s="244"/>
      <c r="G34" s="244"/>
      <c r="H34" s="244">
        <f t="shared" si="1"/>
        <v>398.4</v>
      </c>
      <c r="I34" s="244">
        <v>30.1</v>
      </c>
      <c r="J34" s="244"/>
      <c r="K34" s="244"/>
      <c r="L34" s="244">
        <f t="shared" si="2"/>
        <v>420</v>
      </c>
      <c r="M34" s="244">
        <v>29</v>
      </c>
      <c r="N34" s="244"/>
      <c r="O34" s="244"/>
      <c r="P34" s="244">
        <f t="shared" si="3"/>
        <v>469.5</v>
      </c>
      <c r="Q34" s="244">
        <v>6.6</v>
      </c>
    </row>
    <row r="35" spans="1:17">
      <c r="A35" s="16" t="s">
        <v>39</v>
      </c>
      <c r="B35" s="242"/>
      <c r="C35" s="16"/>
      <c r="D35" s="244">
        <f t="shared" si="0"/>
        <v>448.6</v>
      </c>
      <c r="E35" s="244">
        <v>30.2</v>
      </c>
      <c r="F35" s="244"/>
      <c r="G35" s="244"/>
      <c r="H35" s="244">
        <f t="shared" si="1"/>
        <v>488.3</v>
      </c>
      <c r="I35" s="244">
        <v>31.1</v>
      </c>
      <c r="J35" s="244"/>
      <c r="K35" s="244"/>
      <c r="L35" s="244">
        <f t="shared" si="2"/>
        <v>534.4</v>
      </c>
      <c r="M35" s="244">
        <v>30</v>
      </c>
      <c r="N35" s="244"/>
      <c r="O35" s="244"/>
      <c r="P35" s="244">
        <f t="shared" si="3"/>
        <v>635.20000000000005</v>
      </c>
      <c r="Q35" s="244">
        <v>12</v>
      </c>
    </row>
    <row r="36" spans="1:17">
      <c r="A36" s="16" t="s">
        <v>40</v>
      </c>
      <c r="B36" s="242"/>
      <c r="C36" s="16"/>
      <c r="D36" s="244">
        <f t="shared" si="0"/>
        <v>381.8</v>
      </c>
      <c r="E36" s="244">
        <v>31.2</v>
      </c>
      <c r="F36" s="244"/>
      <c r="G36" s="244"/>
      <c r="H36" s="244">
        <f t="shared" si="1"/>
        <v>406.9</v>
      </c>
      <c r="I36" s="244">
        <v>32.1</v>
      </c>
      <c r="J36" s="244"/>
      <c r="K36" s="244"/>
      <c r="L36" s="244">
        <f t="shared" si="2"/>
        <v>446.2</v>
      </c>
      <c r="M36" s="244">
        <v>31</v>
      </c>
      <c r="N36" s="244"/>
      <c r="O36" s="244"/>
      <c r="P36" s="244">
        <f t="shared" si="3"/>
        <v>474.8</v>
      </c>
      <c r="Q36" s="244">
        <v>9.5</v>
      </c>
    </row>
    <row r="37" spans="1:17">
      <c r="A37" s="16" t="s">
        <v>41</v>
      </c>
      <c r="B37" s="242"/>
      <c r="C37" s="16"/>
      <c r="D37" s="244">
        <f t="shared" si="0"/>
        <v>427.8</v>
      </c>
      <c r="E37" s="244">
        <v>32.200000000000003</v>
      </c>
      <c r="F37" s="244"/>
      <c r="G37" s="244"/>
      <c r="H37" s="244">
        <f t="shared" si="1"/>
        <v>439.2</v>
      </c>
      <c r="I37" s="244">
        <v>33.1</v>
      </c>
      <c r="J37" s="244"/>
      <c r="K37" s="244"/>
      <c r="L37" s="244">
        <f t="shared" si="2"/>
        <v>452.4</v>
      </c>
      <c r="M37" s="244">
        <v>32</v>
      </c>
      <c r="N37" s="244"/>
      <c r="O37" s="244"/>
      <c r="P37" s="244">
        <f t="shared" si="3"/>
        <v>525.20000000000005</v>
      </c>
      <c r="Q37" s="244">
        <v>3.8</v>
      </c>
    </row>
    <row r="38" spans="1:17">
      <c r="A38" s="16" t="s">
        <v>42</v>
      </c>
      <c r="B38" s="242"/>
      <c r="C38" s="16"/>
      <c r="D38" s="244">
        <f t="shared" si="0"/>
        <v>398.9</v>
      </c>
      <c r="E38" s="244">
        <v>33.200000000000003</v>
      </c>
      <c r="F38" s="244"/>
      <c r="G38" s="244"/>
      <c r="H38" s="244">
        <f t="shared" si="1"/>
        <v>432.3</v>
      </c>
      <c r="I38" s="244">
        <v>34.1</v>
      </c>
      <c r="J38" s="244"/>
      <c r="K38" s="244"/>
      <c r="L38" s="244">
        <f t="shared" si="2"/>
        <v>449</v>
      </c>
      <c r="M38" s="244">
        <v>33</v>
      </c>
      <c r="N38" s="244"/>
      <c r="O38" s="244"/>
      <c r="P38" s="244">
        <f t="shared" si="3"/>
        <v>502.2</v>
      </c>
      <c r="Q38" s="244">
        <v>7.2</v>
      </c>
    </row>
    <row r="39" spans="1:17">
      <c r="A39" s="16" t="s">
        <v>43</v>
      </c>
      <c r="B39" s="242"/>
      <c r="C39" s="16"/>
      <c r="D39" s="244">
        <f t="shared" si="0"/>
        <v>402.3</v>
      </c>
      <c r="E39" s="244">
        <v>34.200000000000003</v>
      </c>
      <c r="F39" s="244"/>
      <c r="G39" s="244"/>
      <c r="H39" s="244">
        <f t="shared" si="1"/>
        <v>435.6</v>
      </c>
      <c r="I39" s="244">
        <v>35.1</v>
      </c>
      <c r="J39" s="244"/>
      <c r="K39" s="244"/>
      <c r="L39" s="244">
        <f t="shared" si="2"/>
        <v>451.2</v>
      </c>
      <c r="M39" s="244">
        <v>34</v>
      </c>
      <c r="N39" s="244"/>
      <c r="O39" s="244"/>
      <c r="P39" s="244">
        <f t="shared" si="3"/>
        <v>488.1</v>
      </c>
      <c r="Q39" s="244">
        <v>5.7</v>
      </c>
    </row>
    <row r="40" spans="1:17">
      <c r="A40" s="16" t="s">
        <v>44</v>
      </c>
      <c r="B40" s="242"/>
      <c r="C40" s="16"/>
      <c r="D40" s="244">
        <f t="shared" si="0"/>
        <v>424.7</v>
      </c>
      <c r="E40" s="244">
        <v>35.200000000000003</v>
      </c>
      <c r="F40" s="244"/>
      <c r="G40" s="244"/>
      <c r="H40" s="244">
        <f t="shared" si="1"/>
        <v>440.7</v>
      </c>
      <c r="I40" s="244">
        <v>36.1</v>
      </c>
      <c r="J40" s="244"/>
      <c r="K40" s="244"/>
      <c r="L40" s="244">
        <f t="shared" si="2"/>
        <v>459.8</v>
      </c>
      <c r="M40" s="244">
        <v>35</v>
      </c>
      <c r="N40" s="244"/>
      <c r="O40" s="244"/>
      <c r="P40" s="244">
        <f t="shared" si="3"/>
        <v>521.4</v>
      </c>
      <c r="Q40" s="244">
        <v>4.2</v>
      </c>
    </row>
    <row r="41" spans="1:17">
      <c r="A41" s="16" t="s">
        <v>45</v>
      </c>
      <c r="B41" s="242"/>
      <c r="C41" s="16"/>
      <c r="D41" s="244">
        <f t="shared" si="0"/>
        <v>409</v>
      </c>
      <c r="E41" s="244">
        <v>36.200000000000003</v>
      </c>
      <c r="F41" s="244"/>
      <c r="G41" s="244"/>
      <c r="H41" s="244">
        <f t="shared" si="1"/>
        <v>429.6</v>
      </c>
      <c r="I41" s="244">
        <v>37.1</v>
      </c>
      <c r="J41" s="244"/>
      <c r="K41" s="244"/>
      <c r="L41" s="244">
        <f t="shared" si="2"/>
        <v>455.7</v>
      </c>
      <c r="M41" s="244">
        <v>36</v>
      </c>
      <c r="N41" s="244"/>
      <c r="O41" s="244"/>
      <c r="P41" s="244">
        <f t="shared" si="3"/>
        <v>499.7</v>
      </c>
      <c r="Q41" s="244">
        <v>0.7</v>
      </c>
    </row>
    <row r="42" spans="1:17">
      <c r="A42" s="16" t="s">
        <v>46</v>
      </c>
      <c r="B42" s="242"/>
      <c r="C42" s="16"/>
      <c r="D42" s="244">
        <f t="shared" si="0"/>
        <v>401.3</v>
      </c>
      <c r="E42" s="244">
        <v>37.200000000000003</v>
      </c>
      <c r="F42" s="244"/>
      <c r="G42" s="244"/>
      <c r="H42" s="244">
        <f t="shared" si="1"/>
        <v>423.7</v>
      </c>
      <c r="I42" s="244">
        <v>38.1</v>
      </c>
      <c r="J42" s="244"/>
      <c r="K42" s="244"/>
      <c r="L42" s="244">
        <f t="shared" si="2"/>
        <v>454.9</v>
      </c>
      <c r="M42" s="244">
        <v>37</v>
      </c>
      <c r="N42" s="244"/>
      <c r="O42" s="244"/>
      <c r="P42" s="244">
        <f t="shared" si="3"/>
        <v>490.5</v>
      </c>
      <c r="Q42" s="244">
        <v>0.2</v>
      </c>
    </row>
    <row r="43" spans="1:17">
      <c r="A43" s="16" t="s">
        <v>47</v>
      </c>
      <c r="B43" s="16"/>
      <c r="C43" s="16"/>
      <c r="D43" s="397">
        <f>AVERAGE(D18,D20,D23,D25,D30,D33,D37,D39)</f>
        <v>426.28750000000002</v>
      </c>
      <c r="E43" s="10" t="s">
        <v>69</v>
      </c>
      <c r="F43" s="14"/>
      <c r="G43" s="14"/>
      <c r="H43" s="397">
        <f>AVERAGE(H18,H20,H23,H25,H30,H33,H37,H39)</f>
        <v>449.83749999999998</v>
      </c>
      <c r="I43" s="10" t="s">
        <v>69</v>
      </c>
      <c r="J43" s="14"/>
      <c r="K43" s="14"/>
      <c r="L43" s="397">
        <f>AVERAGE(L18,L20,L23,L25,L30,L33,L37,L39)</f>
        <v>474.66250000000002</v>
      </c>
      <c r="M43" s="10" t="s">
        <v>69</v>
      </c>
      <c r="N43" s="14"/>
      <c r="O43" s="14"/>
      <c r="P43" s="397">
        <f>AVERAGE(P18,P20,P23,P25,P30,P33,P37,P39)</f>
        <v>525.27500000000009</v>
      </c>
      <c r="Q43" s="14" t="s">
        <v>69</v>
      </c>
    </row>
    <row r="44" spans="1:17">
      <c r="A44" s="16"/>
      <c r="B44" s="16"/>
      <c r="C44" s="16"/>
      <c r="D44" s="15"/>
      <c r="E44" s="14"/>
      <c r="F44" s="14"/>
      <c r="G44" s="14"/>
      <c r="H44" s="15"/>
      <c r="I44" s="14"/>
      <c r="J44" s="14"/>
      <c r="K44" s="14"/>
      <c r="L44" s="15"/>
      <c r="M44" s="14"/>
      <c r="N44" s="14"/>
      <c r="O44" s="14"/>
      <c r="P44" s="15"/>
      <c r="Q44" s="14"/>
    </row>
    <row r="45" spans="1:17" s="8" customFormat="1">
      <c r="A45" s="108" t="s">
        <v>543</v>
      </c>
      <c r="B45" s="108"/>
      <c r="D45" s="398" cm="1">
        <f t="array" ref="D45">AVERAGE(AVERAGEIFS(D$9:D$40,$A$9:$A$40,{"Na h-Eileanan Siar","Argyll and Bute","Shetland Islands","Highland","Orkney Islands","Scottish Borders","Dumfries and Galloway","Aberdeenshire"}))</f>
        <v>401.72500000000002</v>
      </c>
      <c r="F45" s="108"/>
      <c r="H45" s="398" cm="1">
        <f t="array" ref="H45">AVERAGE(AVERAGEIFS(H$9:H$40,$A$9:$A$40,{"Na h-Eileanan Siar","Argyll and Bute","Shetland Islands","Highland","Orkney Islands","Scottish Borders","Dumfries and Galloway","Aberdeenshire"}))</f>
        <v>438</v>
      </c>
      <c r="J45" s="108"/>
      <c r="L45" s="398" t="e" cm="1">
        <f t="array" ref="L45">AVERAGE(AVERAGEIFS(L$9:L$40,$A$9:$A$40,{"Na h-Eileanan Siar","Argyll and Bute","Shetland Islands","Highland","Orkney Islands","Scottish Borders","Dumfries and Galloway","Aberdeenshire"}))</f>
        <v>#DIV/0!</v>
      </c>
      <c r="N45" s="108"/>
      <c r="P45" s="398" t="e" cm="1">
        <f t="array" ref="P45">AVERAGE(AVERAGEIFS(P$9:P$40,$A$9:$A$40,{"Na h-Eileanan Siar","Argyll and Bute","Shetland Islands","Highland","Orkney Islands","Scottish Borders","Dumfries and Galloway","Aberdeenshire"}))</f>
        <v>#DIV/0!</v>
      </c>
    </row>
    <row r="46" spans="1:17" s="8" customFormat="1">
      <c r="A46" s="108" t="s">
        <v>544</v>
      </c>
      <c r="B46" s="108"/>
      <c r="C46" s="213"/>
      <c r="D46" s="398" cm="1">
        <f t="array" ref="D46">AVERAGE(AVERAGEIFS(D$9:D$40,$A$9:$A$40,{"Perth and Kinross","Stirling","Moray","South Ayrshire","East Ayrshire","East Lothian","North Ayrshire","Fife"}))</f>
        <v>396.16249999999997</v>
      </c>
      <c r="F46" s="108"/>
      <c r="G46" s="213"/>
      <c r="H46" s="398" cm="1">
        <f t="array" ref="H46">AVERAGE(AVERAGEIFS(H$9:H$40,$A$9:$A$40,{"Perth and Kinross","Stirling","Moray","South Ayrshire","East Ayrshire","East Lothian","North Ayrshire","Fife"}))</f>
        <v>422.02500000000003</v>
      </c>
      <c r="J46" s="108"/>
      <c r="K46" s="213"/>
      <c r="L46" s="398" cm="1">
        <f t="array" ref="L46">AVERAGE(AVERAGEIFS(L$9:L$40,$A$9:$A$40,{"Perth and Kinross","Stirling","Moray","South Ayrshire","East Ayrshire","East Lothian","North Ayrshire","Fife"}))</f>
        <v>451.63750000000005</v>
      </c>
      <c r="N46" s="108"/>
      <c r="O46" s="213"/>
      <c r="P46" s="398" cm="1">
        <f t="array" ref="P46">AVERAGE(AVERAGEIFS(P$9:P$40,$A$9:$A$40,{"Perth and Kinross","Stirling","Moray","South Ayrshire","East Ayrshire","East Lothian","North Ayrshire","Fife"}))</f>
        <v>482.58750000000003</v>
      </c>
    </row>
    <row r="47" spans="1:17" s="8" customFormat="1">
      <c r="A47" s="108" t="s">
        <v>545</v>
      </c>
      <c r="B47" s="108"/>
      <c r="C47" s="213"/>
      <c r="D47" s="398" cm="1">
        <f t="array" ref="D47">AVERAGE(AVERAGEIFS(D$9:D$40,$A$9:$A$40,{"Angus","Clackmannanshire","Midlothian","South Lanarkshire","Inverclyde","Renfrewshire","West Lothian","East Renfrewshire"}))</f>
        <v>419.43749999999994</v>
      </c>
      <c r="F47" s="108"/>
      <c r="G47" s="213"/>
      <c r="H47" s="398" cm="1">
        <f t="array" ref="H47">AVERAGE(AVERAGEIFS(H$9:H$40,$A$9:$A$40,{"Angus","Clackmannanshire","Midlothian","South Lanarkshire","Inverclyde","Renfrewshire","West Lothian","East Renfrewshire"}))</f>
        <v>438.6875</v>
      </c>
      <c r="J47" s="108"/>
      <c r="K47" s="213"/>
      <c r="L47" s="398" cm="1">
        <f t="array" ref="L47">AVERAGE(AVERAGEIFS(L$9:L$40,$A$9:$A$40,{"Angus","Clackmannanshire","Midlothian","South Lanarkshire","Inverclyde","Renfrewshire","West Lothian","East Renfrewshire"}))</f>
        <v>470.26250000000005</v>
      </c>
      <c r="N47" s="108"/>
      <c r="O47" s="213"/>
      <c r="P47" s="398" cm="1">
        <f t="array" ref="P47">AVERAGE(AVERAGEIFS(P$9:P$40,$A$9:$A$40,{"Angus","Clackmannanshire","Midlothian","South Lanarkshire","Inverclyde","Renfrewshire","West Lothian","East Renfrewshire"}))</f>
        <v>521.97500000000002</v>
      </c>
    </row>
    <row r="48" spans="1:17" s="8" customFormat="1">
      <c r="A48" s="108" t="s">
        <v>546</v>
      </c>
      <c r="B48" s="108"/>
      <c r="C48" s="213"/>
      <c r="D48" s="398" cm="1">
        <f t="array" ref="D48">AVERAGE(AVERAGEIFS(D$9:D$40,$A$9:$A$40,{"North Lanarkshire","Falkirk","East Dunbartonshire","Aberdeen City","Edinburgh, City of","West Dunbartonshire","Dundee City","Glasgow City"}))</f>
        <v>417.71250000000003</v>
      </c>
      <c r="F48" s="108"/>
      <c r="G48" s="213"/>
      <c r="H48" s="398" cm="1">
        <f t="array" ref="H48">AVERAGE(AVERAGEIFS(H$9:H$40,$A$9:$A$40,{"North Lanarkshire","Falkirk","East Dunbartonshire","Aberdeen City","Edinburgh, City of","West Dunbartonshire","Dundee City","Glasgow City"}))</f>
        <v>435.75</v>
      </c>
      <c r="J48" s="108"/>
      <c r="K48" s="213"/>
      <c r="L48" s="398" cm="1">
        <f t="array" ref="L48">AVERAGE(AVERAGEIFS(L$9:L$40,$A$9:$A$40,{"North Lanarkshire","Falkirk","East Dunbartonshire","Aberdeen City","Edinburgh, City of","West Dunbartonshire","Dundee City","Glasgow City"}))</f>
        <v>461.625</v>
      </c>
      <c r="N48" s="108"/>
      <c r="O48" s="213"/>
      <c r="P48" s="398" cm="1">
        <f t="array" ref="P48">AVERAGE(AVERAGEIFS(P$9:P$40,$A$9:$A$40,{"North Lanarkshire","Falkirk","East Dunbartonshire","Aberdeen City","Edinburgh, City of","West Dunbartonshire","Dundee City","Glasgow City"}))</f>
        <v>507.20000000000005</v>
      </c>
    </row>
    <row r="49" spans="1:9">
      <c r="A49" s="13"/>
      <c r="B49" s="13"/>
      <c r="C49" s="13"/>
    </row>
    <row r="50" spans="1:9">
      <c r="A50" s="13"/>
      <c r="B50" s="13"/>
      <c r="C50" s="13"/>
    </row>
    <row r="51" spans="1:9">
      <c r="A51" s="13"/>
      <c r="B51" s="13"/>
      <c r="C51" s="13"/>
    </row>
    <row r="52" spans="1:9">
      <c r="A52" s="13" t="s">
        <v>68</v>
      </c>
      <c r="B52" s="13"/>
      <c r="C52" s="13"/>
    </row>
    <row r="53" spans="1:9">
      <c r="A53" s="13" t="s">
        <v>67</v>
      </c>
      <c r="B53" s="13"/>
      <c r="C53" s="13"/>
    </row>
    <row r="59" spans="1:9">
      <c r="A59" t="s">
        <v>5</v>
      </c>
      <c r="B59">
        <v>2020</v>
      </c>
      <c r="D59">
        <v>2021</v>
      </c>
      <c r="F59">
        <v>2022</v>
      </c>
      <c r="H59">
        <v>2023</v>
      </c>
    </row>
    <row r="60" spans="1:9">
      <c r="B60" t="s">
        <v>71</v>
      </c>
      <c r="C60" t="s">
        <v>70</v>
      </c>
      <c r="D60" t="s">
        <v>71</v>
      </c>
      <c r="E60" t="s">
        <v>70</v>
      </c>
      <c r="F60" t="s">
        <v>71</v>
      </c>
      <c r="G60" t="s">
        <v>70</v>
      </c>
      <c r="H60" t="s">
        <v>71</v>
      </c>
      <c r="I60" t="s">
        <v>70</v>
      </c>
    </row>
    <row r="61" spans="1:9">
      <c r="A61" t="s">
        <v>14</v>
      </c>
      <c r="B61">
        <v>402.4</v>
      </c>
      <c r="C61">
        <v>3</v>
      </c>
      <c r="D61">
        <v>421.1</v>
      </c>
      <c r="E61">
        <v>3.1</v>
      </c>
      <c r="F61">
        <v>458.1</v>
      </c>
      <c r="G61">
        <v>2.2000000000000002</v>
      </c>
      <c r="H61">
        <v>507.9</v>
      </c>
      <c r="I61">
        <v>2.5</v>
      </c>
    </row>
    <row r="62" spans="1:9">
      <c r="A62" t="s">
        <v>15</v>
      </c>
      <c r="B62">
        <v>422.7</v>
      </c>
      <c r="C62">
        <v>3.6</v>
      </c>
      <c r="D62">
        <v>443.2</v>
      </c>
      <c r="E62">
        <v>3.9</v>
      </c>
      <c r="F62">
        <v>479.6</v>
      </c>
      <c r="G62">
        <v>2.9</v>
      </c>
      <c r="H62">
        <v>508.4</v>
      </c>
      <c r="I62">
        <v>2.6</v>
      </c>
    </row>
    <row r="63" spans="1:9">
      <c r="A63" t="s">
        <v>16</v>
      </c>
      <c r="B63">
        <v>393.1</v>
      </c>
      <c r="C63">
        <v>3.6</v>
      </c>
      <c r="D63">
        <v>400.1</v>
      </c>
      <c r="E63">
        <v>2.2000000000000002</v>
      </c>
      <c r="F63">
        <v>446.5</v>
      </c>
      <c r="G63">
        <v>3.9</v>
      </c>
      <c r="H63">
        <v>487.8</v>
      </c>
      <c r="I63">
        <v>4.5999999999999996</v>
      </c>
    </row>
    <row r="64" spans="1:9">
      <c r="A64" t="s">
        <v>17</v>
      </c>
      <c r="B64">
        <v>396</v>
      </c>
      <c r="C64">
        <v>4.9000000000000004</v>
      </c>
      <c r="D64">
        <v>416.8</v>
      </c>
      <c r="E64">
        <v>4.9000000000000004</v>
      </c>
      <c r="F64">
        <v>449.1</v>
      </c>
      <c r="G64">
        <v>3.7</v>
      </c>
      <c r="H64">
        <v>475.2</v>
      </c>
      <c r="I64">
        <v>3.6</v>
      </c>
    </row>
    <row r="65" spans="1:9">
      <c r="A65" t="s">
        <v>189</v>
      </c>
      <c r="B65">
        <v>432.4</v>
      </c>
      <c r="C65">
        <v>2.7</v>
      </c>
      <c r="D65">
        <v>445.6</v>
      </c>
      <c r="E65">
        <v>2.2000000000000002</v>
      </c>
      <c r="F65">
        <v>466.5</v>
      </c>
      <c r="G65">
        <v>1.8</v>
      </c>
      <c r="H65">
        <v>503.4</v>
      </c>
      <c r="I65">
        <v>2</v>
      </c>
    </row>
    <row r="66" spans="1:9">
      <c r="A66" t="s">
        <v>18</v>
      </c>
      <c r="B66">
        <v>413.1</v>
      </c>
      <c r="C66">
        <v>6.5</v>
      </c>
      <c r="D66">
        <v>411.5</v>
      </c>
      <c r="E66">
        <v>6.2</v>
      </c>
      <c r="F66">
        <v>469.1</v>
      </c>
      <c r="G66">
        <v>4.8</v>
      </c>
      <c r="H66">
        <v>494.8</v>
      </c>
      <c r="I66">
        <v>6.1</v>
      </c>
    </row>
    <row r="67" spans="1:9">
      <c r="A67" t="s">
        <v>19</v>
      </c>
      <c r="B67">
        <v>357.4</v>
      </c>
      <c r="C67">
        <v>3.4</v>
      </c>
      <c r="D67">
        <v>400</v>
      </c>
      <c r="E67">
        <v>4.0999999999999996</v>
      </c>
      <c r="F67">
        <v>433.1</v>
      </c>
      <c r="G67">
        <v>3.7</v>
      </c>
      <c r="H67">
        <v>461</v>
      </c>
      <c r="I67">
        <v>2.6</v>
      </c>
    </row>
    <row r="68" spans="1:9">
      <c r="A68" t="s">
        <v>20</v>
      </c>
      <c r="B68">
        <v>404.1</v>
      </c>
      <c r="C68">
        <v>3.6</v>
      </c>
      <c r="D68">
        <v>408.2</v>
      </c>
      <c r="E68">
        <v>2</v>
      </c>
      <c r="F68">
        <v>428.5</v>
      </c>
      <c r="G68">
        <v>2.9</v>
      </c>
      <c r="H68">
        <v>465.3</v>
      </c>
      <c r="I68">
        <v>2.8</v>
      </c>
    </row>
    <row r="69" spans="1:9">
      <c r="A69" t="s">
        <v>21</v>
      </c>
      <c r="B69">
        <v>394.5</v>
      </c>
      <c r="C69">
        <v>4.3</v>
      </c>
      <c r="D69">
        <v>450.8</v>
      </c>
      <c r="E69">
        <v>4.3</v>
      </c>
      <c r="F69">
        <v>475.6</v>
      </c>
      <c r="G69">
        <v>4.5</v>
      </c>
      <c r="H69">
        <v>463.7</v>
      </c>
      <c r="I69">
        <v>4.0999999999999996</v>
      </c>
    </row>
    <row r="70" spans="1:9">
      <c r="A70" t="s">
        <v>22</v>
      </c>
      <c r="B70">
        <v>464.2</v>
      </c>
      <c r="C70">
        <v>6.8</v>
      </c>
      <c r="D70">
        <v>487</v>
      </c>
      <c r="E70">
        <v>6.2</v>
      </c>
      <c r="F70">
        <v>514.6</v>
      </c>
      <c r="G70">
        <v>6</v>
      </c>
      <c r="H70">
        <v>566.9</v>
      </c>
      <c r="I70">
        <v>5.8</v>
      </c>
    </row>
    <row r="71" spans="1:9">
      <c r="A71" t="s">
        <v>23</v>
      </c>
      <c r="B71">
        <v>402.8</v>
      </c>
      <c r="C71">
        <v>4.7</v>
      </c>
      <c r="D71">
        <v>407.6</v>
      </c>
      <c r="E71">
        <v>4.9000000000000004</v>
      </c>
      <c r="F71">
        <v>442.1</v>
      </c>
      <c r="G71">
        <v>3.6</v>
      </c>
      <c r="H71">
        <v>483.9</v>
      </c>
      <c r="I71">
        <v>4.5</v>
      </c>
    </row>
    <row r="72" spans="1:9">
      <c r="A72" t="s">
        <v>24</v>
      </c>
      <c r="B72">
        <v>511.2</v>
      </c>
      <c r="C72">
        <v>7.2</v>
      </c>
      <c r="D72">
        <v>536.70000000000005</v>
      </c>
      <c r="E72">
        <v>6.2</v>
      </c>
      <c r="F72">
        <v>535.5</v>
      </c>
      <c r="G72">
        <v>5.7</v>
      </c>
      <c r="H72">
        <v>574.9</v>
      </c>
      <c r="I72">
        <v>6.9</v>
      </c>
    </row>
    <row r="73" spans="1:9">
      <c r="A73" t="s">
        <v>25</v>
      </c>
      <c r="B73">
        <v>422.2</v>
      </c>
      <c r="C73">
        <v>3.2</v>
      </c>
      <c r="D73">
        <v>436.8</v>
      </c>
      <c r="E73">
        <v>3.6</v>
      </c>
      <c r="F73">
        <v>462.8</v>
      </c>
      <c r="G73">
        <v>2.8</v>
      </c>
      <c r="H73">
        <v>525.70000000000005</v>
      </c>
      <c r="I73">
        <v>2.9</v>
      </c>
    </row>
    <row r="74" spans="1:9">
      <c r="A74" t="s">
        <v>26</v>
      </c>
      <c r="B74">
        <v>406.4</v>
      </c>
      <c r="C74">
        <v>2.8</v>
      </c>
      <c r="D74">
        <v>428.8</v>
      </c>
      <c r="E74">
        <v>2.4</v>
      </c>
      <c r="F74">
        <v>434.4</v>
      </c>
      <c r="G74">
        <v>1.8</v>
      </c>
      <c r="H74">
        <v>494.4</v>
      </c>
      <c r="I74">
        <v>2.1</v>
      </c>
    </row>
    <row r="75" spans="1:9">
      <c r="A75" t="s">
        <v>27</v>
      </c>
      <c r="B75">
        <v>405.5</v>
      </c>
      <c r="C75">
        <v>1.8</v>
      </c>
      <c r="D75">
        <v>419.8</v>
      </c>
      <c r="E75">
        <v>2.2999999999999998</v>
      </c>
      <c r="F75">
        <v>452.4</v>
      </c>
      <c r="G75">
        <v>1.8</v>
      </c>
      <c r="H75">
        <v>492.1</v>
      </c>
      <c r="I75">
        <v>1.5</v>
      </c>
    </row>
    <row r="76" spans="1:9">
      <c r="A76" t="s">
        <v>28</v>
      </c>
      <c r="B76">
        <v>410.6</v>
      </c>
      <c r="C76">
        <v>3</v>
      </c>
      <c r="D76">
        <v>439.3</v>
      </c>
      <c r="E76">
        <v>2.9</v>
      </c>
      <c r="F76">
        <v>460</v>
      </c>
      <c r="G76">
        <v>3.3</v>
      </c>
      <c r="H76">
        <v>494.6</v>
      </c>
      <c r="I76">
        <v>2.9</v>
      </c>
    </row>
    <row r="77" spans="1:9">
      <c r="A77" t="s">
        <v>29</v>
      </c>
      <c r="B77">
        <v>376</v>
      </c>
      <c r="C77">
        <v>4.7</v>
      </c>
      <c r="D77">
        <v>401.2</v>
      </c>
      <c r="E77">
        <v>7</v>
      </c>
      <c r="F77">
        <v>468</v>
      </c>
      <c r="G77">
        <v>5.3</v>
      </c>
      <c r="H77">
        <v>537.4</v>
      </c>
      <c r="I77">
        <v>4.2</v>
      </c>
    </row>
    <row r="78" spans="1:9">
      <c r="A78" t="s">
        <v>30</v>
      </c>
      <c r="B78">
        <v>394.9</v>
      </c>
      <c r="C78">
        <v>4</v>
      </c>
      <c r="D78">
        <v>432.8</v>
      </c>
      <c r="E78">
        <v>5.6</v>
      </c>
      <c r="F78">
        <v>466.5</v>
      </c>
      <c r="G78">
        <v>5</v>
      </c>
      <c r="H78">
        <v>524.9</v>
      </c>
      <c r="I78">
        <v>4.5</v>
      </c>
    </row>
    <row r="79" spans="1:9">
      <c r="A79" t="s">
        <v>31</v>
      </c>
      <c r="B79">
        <v>400.7</v>
      </c>
      <c r="C79">
        <v>6.3</v>
      </c>
      <c r="D79">
        <v>416</v>
      </c>
      <c r="E79">
        <v>4.4000000000000004</v>
      </c>
      <c r="F79">
        <v>447.6</v>
      </c>
      <c r="G79">
        <v>3.8</v>
      </c>
      <c r="H79">
        <v>457.5</v>
      </c>
      <c r="I79">
        <v>4.8</v>
      </c>
    </row>
    <row r="80" spans="1:9">
      <c r="A80" t="s">
        <v>32</v>
      </c>
      <c r="B80">
        <v>381.1</v>
      </c>
      <c r="C80">
        <v>8.1999999999999993</v>
      </c>
      <c r="D80">
        <v>498.4</v>
      </c>
      <c r="E80">
        <v>9.1</v>
      </c>
      <c r="F80" t="s">
        <v>734</v>
      </c>
      <c r="G80" t="s">
        <v>734</v>
      </c>
      <c r="H80" t="s">
        <v>734</v>
      </c>
      <c r="I80" t="s">
        <v>734</v>
      </c>
    </row>
    <row r="81" spans="1:9">
      <c r="A81" t="s">
        <v>33</v>
      </c>
      <c r="B81">
        <v>406.7</v>
      </c>
      <c r="C81">
        <v>4.9000000000000004</v>
      </c>
      <c r="D81">
        <v>426.9</v>
      </c>
      <c r="E81">
        <v>4.8</v>
      </c>
      <c r="F81">
        <v>479.8</v>
      </c>
      <c r="G81">
        <v>4.8</v>
      </c>
      <c r="H81">
        <v>500.5</v>
      </c>
      <c r="I81">
        <v>3.9</v>
      </c>
    </row>
    <row r="82" spans="1:9">
      <c r="A82" t="s">
        <v>34</v>
      </c>
      <c r="B82">
        <v>408.6</v>
      </c>
      <c r="C82">
        <v>3.1</v>
      </c>
      <c r="D82">
        <v>431.9</v>
      </c>
      <c r="E82">
        <v>2.4</v>
      </c>
      <c r="F82">
        <v>458.9</v>
      </c>
      <c r="G82">
        <v>2.5</v>
      </c>
      <c r="H82">
        <v>508.2</v>
      </c>
      <c r="I82">
        <v>2.4</v>
      </c>
    </row>
    <row r="83" spans="1:9">
      <c r="A83" t="s">
        <v>35</v>
      </c>
      <c r="B83">
        <v>437.9</v>
      </c>
      <c r="C83">
        <v>8.5</v>
      </c>
      <c r="D83">
        <v>419.6</v>
      </c>
      <c r="E83">
        <v>8.1999999999999993</v>
      </c>
      <c r="F83">
        <v>494.7</v>
      </c>
      <c r="G83">
        <v>11</v>
      </c>
      <c r="H83">
        <v>565</v>
      </c>
      <c r="I83">
        <v>11</v>
      </c>
    </row>
    <row r="84" spans="1:9">
      <c r="A84" t="s">
        <v>36</v>
      </c>
      <c r="B84">
        <v>377.5</v>
      </c>
      <c r="C84">
        <v>5.4</v>
      </c>
      <c r="D84">
        <v>406.9</v>
      </c>
      <c r="E84">
        <v>3.4</v>
      </c>
      <c r="F84">
        <v>438.4</v>
      </c>
      <c r="G84">
        <v>3.2</v>
      </c>
      <c r="H84">
        <v>483.7</v>
      </c>
      <c r="I84">
        <v>3.2</v>
      </c>
    </row>
    <row r="85" spans="1:9">
      <c r="A85" t="s">
        <v>37</v>
      </c>
      <c r="B85">
        <v>414.7</v>
      </c>
      <c r="C85">
        <v>4.2</v>
      </c>
      <c r="D85">
        <v>447.3</v>
      </c>
      <c r="E85">
        <v>3.8</v>
      </c>
      <c r="F85">
        <v>464.3</v>
      </c>
      <c r="G85">
        <v>2.6</v>
      </c>
      <c r="H85">
        <v>509.4</v>
      </c>
      <c r="I85">
        <v>2.8</v>
      </c>
    </row>
    <row r="86" spans="1:9">
      <c r="A86" t="s">
        <v>38</v>
      </c>
      <c r="B86">
        <v>359.5</v>
      </c>
      <c r="C86">
        <v>5.0999999999999996</v>
      </c>
      <c r="D86">
        <v>398.4</v>
      </c>
      <c r="E86">
        <v>4.2</v>
      </c>
      <c r="F86">
        <v>420</v>
      </c>
      <c r="G86">
        <v>4.2</v>
      </c>
      <c r="H86">
        <v>469.5</v>
      </c>
      <c r="I86">
        <v>4.5999999999999996</v>
      </c>
    </row>
    <row r="87" spans="1:9">
      <c r="A87" t="s">
        <v>39</v>
      </c>
      <c r="B87">
        <v>448.6</v>
      </c>
      <c r="C87">
        <v>17</v>
      </c>
      <c r="D87">
        <v>488.3</v>
      </c>
      <c r="E87">
        <v>14</v>
      </c>
      <c r="F87">
        <v>534.4</v>
      </c>
      <c r="G87">
        <v>7.5</v>
      </c>
      <c r="H87">
        <v>635.20000000000005</v>
      </c>
      <c r="I87">
        <v>12</v>
      </c>
    </row>
    <row r="88" spans="1:9">
      <c r="A88" t="s">
        <v>40</v>
      </c>
      <c r="B88">
        <v>381.8</v>
      </c>
      <c r="C88">
        <v>5.4</v>
      </c>
      <c r="D88">
        <v>406.9</v>
      </c>
      <c r="E88">
        <v>6.5</v>
      </c>
      <c r="F88">
        <v>446.2</v>
      </c>
      <c r="G88">
        <v>6.4</v>
      </c>
      <c r="H88">
        <v>474.8</v>
      </c>
      <c r="I88">
        <v>7.2</v>
      </c>
    </row>
    <row r="89" spans="1:9">
      <c r="A89" t="s">
        <v>41</v>
      </c>
      <c r="B89">
        <v>427.8</v>
      </c>
      <c r="C89">
        <v>2.8</v>
      </c>
      <c r="D89">
        <v>439.2</v>
      </c>
      <c r="E89">
        <v>2.5</v>
      </c>
      <c r="F89">
        <v>452.4</v>
      </c>
      <c r="G89">
        <v>2.8</v>
      </c>
      <c r="H89">
        <v>525.20000000000005</v>
      </c>
      <c r="I89">
        <v>2.7</v>
      </c>
    </row>
    <row r="90" spans="1:9">
      <c r="A90" t="s">
        <v>42</v>
      </c>
      <c r="B90">
        <v>398.9</v>
      </c>
      <c r="C90">
        <v>5.0999999999999996</v>
      </c>
      <c r="D90">
        <v>432.3</v>
      </c>
      <c r="E90">
        <v>3.4</v>
      </c>
      <c r="F90">
        <v>449</v>
      </c>
      <c r="G90">
        <v>4.5999999999999996</v>
      </c>
      <c r="H90">
        <v>502.2</v>
      </c>
      <c r="I90">
        <v>5.3</v>
      </c>
    </row>
    <row r="91" spans="1:9">
      <c r="A91" t="s">
        <v>43</v>
      </c>
      <c r="B91">
        <v>402.3</v>
      </c>
      <c r="C91">
        <v>6.2</v>
      </c>
      <c r="D91">
        <v>435.6</v>
      </c>
      <c r="E91">
        <v>5</v>
      </c>
      <c r="F91">
        <v>451.2</v>
      </c>
      <c r="G91">
        <v>3.4</v>
      </c>
      <c r="H91">
        <v>488.1</v>
      </c>
      <c r="I91">
        <v>4.8</v>
      </c>
    </row>
    <row r="92" spans="1:9">
      <c r="A92" t="s">
        <v>44</v>
      </c>
      <c r="B92">
        <v>424.7</v>
      </c>
      <c r="C92">
        <v>4.3</v>
      </c>
      <c r="D92">
        <v>440.7</v>
      </c>
      <c r="E92">
        <v>3.8</v>
      </c>
      <c r="F92">
        <v>459.8</v>
      </c>
      <c r="G92">
        <v>3.1</v>
      </c>
      <c r="H92">
        <v>521.4</v>
      </c>
      <c r="I92">
        <v>3.1</v>
      </c>
    </row>
    <row r="93" spans="1:9">
      <c r="A93" t="s">
        <v>45</v>
      </c>
      <c r="B93">
        <v>409</v>
      </c>
      <c r="C93">
        <v>0.7</v>
      </c>
      <c r="D93">
        <v>429.6</v>
      </c>
      <c r="E93">
        <v>0.8</v>
      </c>
      <c r="F93">
        <v>455.7</v>
      </c>
      <c r="G93">
        <v>0.5</v>
      </c>
      <c r="H93">
        <v>499.7</v>
      </c>
      <c r="I93">
        <v>0.6</v>
      </c>
    </row>
    <row r="94" spans="1:9">
      <c r="A94" t="s">
        <v>46</v>
      </c>
      <c r="B94">
        <v>401.3</v>
      </c>
      <c r="C94">
        <v>0.2</v>
      </c>
      <c r="D94">
        <v>423.7</v>
      </c>
      <c r="E94">
        <v>0.2</v>
      </c>
      <c r="F94">
        <v>454.9</v>
      </c>
      <c r="G94">
        <v>0.2</v>
      </c>
      <c r="H94">
        <v>490.5</v>
      </c>
      <c r="I94">
        <v>0.2</v>
      </c>
    </row>
  </sheetData>
  <mergeCells count="3">
    <mergeCell ref="D7:E7"/>
    <mergeCell ref="L7:M7"/>
    <mergeCell ref="P7:Q7"/>
  </mergeCells>
  <conditionalFormatting sqref="D45:D48">
    <cfRule type="expression" dxfId="29" priority="13">
      <formula>$A45="Other"</formula>
    </cfRule>
    <cfRule type="expression" dxfId="28" priority="14">
      <formula>$A45="UK"</formula>
    </cfRule>
    <cfRule type="expression" dxfId="27" priority="15">
      <formula>$A45="NUTS2"</formula>
    </cfRule>
    <cfRule type="expression" dxfId="26" priority="16">
      <formula>$A45="NUTS1"</formula>
    </cfRule>
  </conditionalFormatting>
  <conditionalFormatting sqref="H45:H48">
    <cfRule type="expression" dxfId="25" priority="9">
      <formula>$A45="Other"</formula>
    </cfRule>
    <cfRule type="expression" dxfId="24" priority="10">
      <formula>$A45="UK"</formula>
    </cfRule>
    <cfRule type="expression" dxfId="23" priority="11">
      <formula>$A45="NUTS2"</formula>
    </cfRule>
    <cfRule type="expression" dxfId="22" priority="12">
      <formula>$A45="NUTS1"</formula>
    </cfRule>
  </conditionalFormatting>
  <conditionalFormatting sqref="L45:L48">
    <cfRule type="expression" dxfId="21" priority="5">
      <formula>$A45="Other"</formula>
    </cfRule>
    <cfRule type="expression" dxfId="20" priority="6">
      <formula>$A45="UK"</formula>
    </cfRule>
    <cfRule type="expression" dxfId="19" priority="7">
      <formula>$A45="NUTS2"</formula>
    </cfRule>
    <cfRule type="expression" dxfId="18" priority="8">
      <formula>$A45="NUTS1"</formula>
    </cfRule>
  </conditionalFormatting>
  <conditionalFormatting sqref="P45:P48">
    <cfRule type="expression" dxfId="17" priority="1">
      <formula>$A45="Other"</formula>
    </cfRule>
    <cfRule type="expression" dxfId="16" priority="2">
      <formula>$A45="UK"</formula>
    </cfRule>
    <cfRule type="expression" dxfId="15" priority="3">
      <formula>$A45="NUTS2"</formula>
    </cfRule>
    <cfRule type="expression" dxfId="14" priority="4">
      <formula>$A45="NUTS1"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autoPageBreaks="0"/>
  </sheetPr>
  <dimension ref="A1:Q61"/>
  <sheetViews>
    <sheetView showGridLines="0" zoomScaleNormal="100" workbookViewId="0"/>
  </sheetViews>
  <sheetFormatPr defaultColWidth="9.1796875" defaultRowHeight="14"/>
  <cols>
    <col min="1" max="1" width="25.7265625" style="37" customWidth="1"/>
    <col min="2" max="16" width="13.26953125" style="37" customWidth="1"/>
    <col min="17" max="16384" width="9.1796875" style="37"/>
  </cols>
  <sheetData>
    <row r="1" spans="1:16" ht="15" customHeight="1">
      <c r="A1" s="51" t="s">
        <v>194</v>
      </c>
    </row>
    <row r="2" spans="1:16" ht="15" customHeight="1">
      <c r="A2" s="50"/>
    </row>
    <row r="3" spans="1:16" s="49" customFormat="1" ht="20.149999999999999" customHeight="1">
      <c r="A3" s="56" t="s">
        <v>591</v>
      </c>
      <c r="B3" s="56"/>
      <c r="C3" s="56"/>
      <c r="D3" s="56"/>
      <c r="E3" s="56"/>
      <c r="F3" s="56"/>
      <c r="G3" s="56"/>
      <c r="H3" s="56"/>
      <c r="I3" s="56"/>
      <c r="J3" s="56"/>
      <c r="K3" s="56"/>
      <c r="L3" s="56"/>
      <c r="M3" s="56"/>
      <c r="N3" s="56"/>
      <c r="O3" s="56"/>
      <c r="P3" s="56"/>
    </row>
    <row r="4" spans="1:16" s="49" customFormat="1" ht="20.149999999999999" customHeight="1">
      <c r="A4" s="56"/>
      <c r="B4" s="56"/>
      <c r="C4" s="56"/>
      <c r="D4" s="56"/>
      <c r="E4" s="56"/>
      <c r="F4" s="56"/>
      <c r="G4" s="56"/>
      <c r="H4" s="56"/>
      <c r="I4" s="56"/>
      <c r="J4" s="56"/>
      <c r="K4" s="56"/>
      <c r="L4" s="56"/>
      <c r="M4" s="56"/>
      <c r="N4" s="56"/>
      <c r="O4" s="56"/>
      <c r="P4" s="56"/>
    </row>
    <row r="5" spans="1:16" s="49" customFormat="1" ht="15" customHeight="1">
      <c r="A5" s="57" t="s">
        <v>193</v>
      </c>
      <c r="B5" s="57"/>
      <c r="C5" s="57"/>
      <c r="D5" s="57"/>
      <c r="E5" s="57"/>
      <c r="F5" s="57"/>
      <c r="G5" s="57"/>
      <c r="H5" s="57"/>
      <c r="I5" s="57"/>
      <c r="J5" s="57"/>
      <c r="K5" s="57"/>
      <c r="L5" s="57"/>
      <c r="M5" s="57"/>
      <c r="N5" s="57"/>
      <c r="O5" s="57"/>
      <c r="P5" s="57"/>
    </row>
    <row r="6" spans="1:16" s="41" customFormat="1" ht="15" customHeight="1">
      <c r="B6" s="55"/>
      <c r="C6" s="55"/>
      <c r="D6" s="55">
        <v>2017</v>
      </c>
      <c r="E6" s="55"/>
      <c r="F6" s="55"/>
      <c r="G6" s="55"/>
      <c r="H6" s="55">
        <v>2018</v>
      </c>
      <c r="I6" s="55"/>
      <c r="J6" s="55"/>
      <c r="K6" s="55"/>
      <c r="L6" s="55">
        <v>2019</v>
      </c>
      <c r="M6" s="55"/>
      <c r="N6" s="55"/>
      <c r="O6" s="55"/>
      <c r="P6" s="55">
        <v>2020</v>
      </c>
    </row>
    <row r="7" spans="1:16" s="41" customFormat="1" ht="30" customHeight="1">
      <c r="A7" s="48" t="s">
        <v>192</v>
      </c>
      <c r="B7" s="47" t="s">
        <v>190</v>
      </c>
      <c r="C7" s="47"/>
      <c r="D7" s="47" t="s">
        <v>191</v>
      </c>
      <c r="E7" s="47"/>
      <c r="F7" s="47" t="s">
        <v>190</v>
      </c>
      <c r="G7" s="47"/>
      <c r="H7" s="47" t="s">
        <v>191</v>
      </c>
      <c r="I7" s="47"/>
      <c r="J7" s="47" t="s">
        <v>190</v>
      </c>
      <c r="K7" s="47"/>
      <c r="L7" s="47" t="s">
        <v>191</v>
      </c>
      <c r="M7" s="47"/>
      <c r="N7" s="47" t="s">
        <v>190</v>
      </c>
      <c r="O7" s="47"/>
      <c r="P7" s="47" t="s">
        <v>191</v>
      </c>
    </row>
    <row r="8" spans="1:16" s="41" customFormat="1" ht="15" customHeight="1">
      <c r="A8" s="45" t="s">
        <v>14</v>
      </c>
      <c r="B8" s="223">
        <v>11200</v>
      </c>
      <c r="C8" s="43">
        <v>117894.73684210527</v>
      </c>
      <c r="D8" s="224">
        <v>9.5</v>
      </c>
      <c r="E8" s="44"/>
      <c r="F8" s="223">
        <v>11400</v>
      </c>
      <c r="G8" s="43">
        <v>118750</v>
      </c>
      <c r="H8" s="224">
        <v>9.6</v>
      </c>
      <c r="I8" s="44"/>
      <c r="J8" s="223">
        <v>11400</v>
      </c>
      <c r="K8" s="43">
        <v>126666.66666666667</v>
      </c>
      <c r="L8" s="224">
        <v>9</v>
      </c>
      <c r="M8" s="44"/>
      <c r="N8" s="223">
        <v>8100</v>
      </c>
      <c r="O8" s="43">
        <v>115714.28571428571</v>
      </c>
      <c r="P8" s="224">
        <v>7</v>
      </c>
    </row>
    <row r="9" spans="1:16" s="41" customFormat="1" ht="15" customHeight="1">
      <c r="A9" s="45" t="s">
        <v>15</v>
      </c>
      <c r="B9" s="223">
        <v>12100</v>
      </c>
      <c r="C9" s="43">
        <v>137500</v>
      </c>
      <c r="D9" s="224">
        <v>8.8000000000000007</v>
      </c>
      <c r="E9" s="44"/>
      <c r="F9" s="223">
        <v>7500</v>
      </c>
      <c r="G9" s="43">
        <v>131578.94736842104</v>
      </c>
      <c r="H9" s="224">
        <v>5.7</v>
      </c>
      <c r="I9" s="44"/>
      <c r="J9" s="223">
        <v>7900</v>
      </c>
      <c r="K9" s="43">
        <v>136206.89655172414</v>
      </c>
      <c r="L9" s="224">
        <v>5.8</v>
      </c>
      <c r="M9" s="44"/>
      <c r="N9" s="223">
        <v>9600</v>
      </c>
      <c r="O9" s="43">
        <v>137142.85714285713</v>
      </c>
      <c r="P9" s="224">
        <v>7</v>
      </c>
    </row>
    <row r="10" spans="1:16" s="41" customFormat="1" ht="15" customHeight="1">
      <c r="A10" s="45" t="s">
        <v>16</v>
      </c>
      <c r="B10" s="223">
        <v>4800</v>
      </c>
      <c r="C10" s="43">
        <v>53333.333333333336</v>
      </c>
      <c r="D10" s="224">
        <v>9</v>
      </c>
      <c r="E10" s="44"/>
      <c r="F10" s="223">
        <v>5000</v>
      </c>
      <c r="G10" s="43">
        <v>54347.82608695652</v>
      </c>
      <c r="H10" s="224">
        <v>9.1999999999999993</v>
      </c>
      <c r="I10" s="44"/>
      <c r="J10" s="223">
        <v>5200</v>
      </c>
      <c r="K10" s="43">
        <v>54166.666666666664</v>
      </c>
      <c r="L10" s="224">
        <v>9.6</v>
      </c>
      <c r="M10" s="44"/>
      <c r="N10" s="223">
        <v>5400</v>
      </c>
      <c r="O10" s="43">
        <v>50467.289719626169</v>
      </c>
      <c r="P10" s="224">
        <v>10.7</v>
      </c>
    </row>
    <row r="11" spans="1:16" s="41" customFormat="1" ht="15" customHeight="1">
      <c r="A11" s="45" t="s">
        <v>17</v>
      </c>
      <c r="B11" s="223">
        <v>3000</v>
      </c>
      <c r="C11" s="43">
        <v>39473.68421052632</v>
      </c>
      <c r="D11" s="224">
        <v>7.6</v>
      </c>
      <c r="E11" s="44"/>
      <c r="F11" s="223">
        <v>2600</v>
      </c>
      <c r="G11" s="43">
        <v>40000</v>
      </c>
      <c r="H11" s="224">
        <v>6.5</v>
      </c>
      <c r="I11" s="44"/>
      <c r="J11" s="223">
        <v>3500</v>
      </c>
      <c r="K11" s="43">
        <v>39772.727272727272</v>
      </c>
      <c r="L11" s="224">
        <v>8.8000000000000007</v>
      </c>
      <c r="M11" s="44"/>
      <c r="N11" s="223">
        <v>3100</v>
      </c>
      <c r="O11" s="43">
        <v>38271.604938271601</v>
      </c>
      <c r="P11" s="224">
        <v>8.1</v>
      </c>
    </row>
    <row r="12" spans="1:16" s="41" customFormat="1" ht="15" customHeight="1">
      <c r="A12" s="45" t="s">
        <v>18</v>
      </c>
      <c r="B12" s="223">
        <v>2900</v>
      </c>
      <c r="C12" s="43">
        <v>23577.235772357722</v>
      </c>
      <c r="D12" s="224">
        <v>12.3</v>
      </c>
      <c r="E12" s="44"/>
      <c r="F12" s="223">
        <v>1900</v>
      </c>
      <c r="G12" s="43">
        <v>24050.632911392404</v>
      </c>
      <c r="H12" s="224">
        <v>7.9</v>
      </c>
      <c r="I12" s="44"/>
      <c r="J12" s="223">
        <v>700</v>
      </c>
      <c r="K12" s="43">
        <v>25000.000000000004</v>
      </c>
      <c r="L12" s="224">
        <v>2.8</v>
      </c>
      <c r="M12" s="44"/>
      <c r="N12" s="223">
        <v>2600</v>
      </c>
      <c r="O12" s="43">
        <v>23423.423423423425</v>
      </c>
      <c r="P12" s="224">
        <v>11.1</v>
      </c>
    </row>
    <row r="13" spans="1:16" s="41" customFormat="1" ht="15" customHeight="1">
      <c r="A13" s="45" t="s">
        <v>19</v>
      </c>
      <c r="B13" s="223">
        <v>5300</v>
      </c>
      <c r="C13" s="43">
        <v>69736.84210526316</v>
      </c>
      <c r="D13" s="224">
        <v>7.6</v>
      </c>
      <c r="E13" s="44"/>
      <c r="F13" s="223">
        <v>5600</v>
      </c>
      <c r="G13" s="43">
        <v>65116.27906976745</v>
      </c>
      <c r="H13" s="224">
        <v>8.6</v>
      </c>
      <c r="I13" s="44"/>
      <c r="J13" s="223">
        <v>6000</v>
      </c>
      <c r="K13" s="43">
        <v>68181.818181818177</v>
      </c>
      <c r="L13" s="224">
        <v>8.8000000000000007</v>
      </c>
      <c r="M13" s="44"/>
      <c r="N13" s="223">
        <v>3900</v>
      </c>
      <c r="O13" s="43">
        <v>60000</v>
      </c>
      <c r="P13" s="224">
        <v>6.5</v>
      </c>
    </row>
    <row r="14" spans="1:16" s="41" customFormat="1" ht="15" customHeight="1">
      <c r="A14" s="45" t="s">
        <v>20</v>
      </c>
      <c r="B14" s="223">
        <v>3600</v>
      </c>
      <c r="C14" s="43">
        <v>65454.545454545456</v>
      </c>
      <c r="D14" s="224">
        <v>5.5</v>
      </c>
      <c r="E14" s="44"/>
      <c r="F14" s="223">
        <v>5600</v>
      </c>
      <c r="G14" s="43">
        <v>64367.816091954024</v>
      </c>
      <c r="H14" s="224">
        <v>8.6999999999999993</v>
      </c>
      <c r="I14" s="44"/>
      <c r="J14" s="223">
        <v>6300</v>
      </c>
      <c r="K14" s="43">
        <v>66315.789473684214</v>
      </c>
      <c r="L14" s="224">
        <v>9.5</v>
      </c>
      <c r="M14" s="44"/>
      <c r="N14" s="223">
        <v>7500</v>
      </c>
      <c r="O14" s="43">
        <v>68181.818181818177</v>
      </c>
      <c r="P14" s="224">
        <v>11</v>
      </c>
    </row>
    <row r="15" spans="1:16" s="41" customFormat="1" ht="15" customHeight="1">
      <c r="A15" s="45" t="s">
        <v>21</v>
      </c>
      <c r="B15" s="223">
        <v>3400</v>
      </c>
      <c r="C15" s="43">
        <v>54838.709677419356</v>
      </c>
      <c r="D15" s="224">
        <v>6.2</v>
      </c>
      <c r="E15" s="44"/>
      <c r="F15" s="223">
        <v>4200</v>
      </c>
      <c r="G15" s="43">
        <v>53164.556962025315</v>
      </c>
      <c r="H15" s="224">
        <v>7.9</v>
      </c>
      <c r="I15" s="44"/>
      <c r="J15" s="223">
        <v>3000</v>
      </c>
      <c r="K15" s="43">
        <v>56603.773584905663</v>
      </c>
      <c r="L15" s="224">
        <v>5.3</v>
      </c>
      <c r="M15" s="44"/>
      <c r="N15" s="223">
        <v>6500</v>
      </c>
      <c r="O15" s="43">
        <v>54166.666666666672</v>
      </c>
      <c r="P15" s="224">
        <v>12</v>
      </c>
    </row>
    <row r="16" spans="1:16" s="41" customFormat="1" ht="15" customHeight="1">
      <c r="A16" s="45" t="s">
        <v>22</v>
      </c>
      <c r="B16" s="223">
        <v>3900</v>
      </c>
      <c r="C16" s="43">
        <v>50649.35064935065</v>
      </c>
      <c r="D16" s="224">
        <v>7.7</v>
      </c>
      <c r="E16" s="44"/>
      <c r="F16" s="223">
        <v>2600</v>
      </c>
      <c r="G16" s="43">
        <v>50980.392156862748</v>
      </c>
      <c r="H16" s="224">
        <v>5.0999999999999996</v>
      </c>
      <c r="I16" s="44"/>
      <c r="J16" s="223">
        <v>2400</v>
      </c>
      <c r="K16" s="43">
        <v>52173.913043478264</v>
      </c>
      <c r="L16" s="224">
        <v>4.5999999999999996</v>
      </c>
      <c r="M16" s="44"/>
      <c r="N16" s="223">
        <v>3000</v>
      </c>
      <c r="O16" s="43">
        <v>50847.457627118638</v>
      </c>
      <c r="P16" s="224">
        <v>5.9</v>
      </c>
    </row>
    <row r="17" spans="1:16" s="41" customFormat="1" ht="15" customHeight="1">
      <c r="A17" s="45" t="s">
        <v>23</v>
      </c>
      <c r="B17" s="223">
        <v>4500</v>
      </c>
      <c r="C17" s="43">
        <v>50561.797752808983</v>
      </c>
      <c r="D17" s="224">
        <v>8.9</v>
      </c>
      <c r="E17" s="44"/>
      <c r="F17" s="223">
        <v>3900</v>
      </c>
      <c r="G17" s="43">
        <v>53424.65753424658</v>
      </c>
      <c r="H17" s="224">
        <v>7.3</v>
      </c>
      <c r="I17" s="44"/>
      <c r="J17" s="223">
        <v>3900</v>
      </c>
      <c r="K17" s="43">
        <v>52702.702702702692</v>
      </c>
      <c r="L17" s="224">
        <v>7.4</v>
      </c>
      <c r="M17" s="44"/>
      <c r="N17" s="223">
        <v>3800</v>
      </c>
      <c r="O17" s="43">
        <v>50000</v>
      </c>
      <c r="P17" s="224">
        <v>7.6</v>
      </c>
    </row>
    <row r="18" spans="1:16" s="41" customFormat="1" ht="15" customHeight="1">
      <c r="A18" s="45" t="s">
        <v>24</v>
      </c>
      <c r="B18" s="223">
        <v>4500</v>
      </c>
      <c r="C18" s="43">
        <v>44117.647058823532</v>
      </c>
      <c r="D18" s="224">
        <v>10.199999999999999</v>
      </c>
      <c r="E18" s="44"/>
      <c r="F18" s="223">
        <v>2300</v>
      </c>
      <c r="G18" s="43">
        <v>43396.226415094337</v>
      </c>
      <c r="H18" s="224">
        <v>5.3</v>
      </c>
      <c r="I18" s="44"/>
      <c r="J18" s="223">
        <v>2800</v>
      </c>
      <c r="K18" s="43">
        <v>43750</v>
      </c>
      <c r="L18" s="224">
        <v>6.4</v>
      </c>
      <c r="M18" s="44"/>
      <c r="N18" s="223">
        <v>3600</v>
      </c>
      <c r="O18" s="43">
        <v>43373.493975903613</v>
      </c>
      <c r="P18" s="224">
        <v>8.3000000000000007</v>
      </c>
    </row>
    <row r="19" spans="1:16" s="41" customFormat="1" ht="15" customHeight="1">
      <c r="A19" s="45" t="s">
        <v>189</v>
      </c>
      <c r="B19" s="223">
        <v>17200</v>
      </c>
      <c r="C19" s="43">
        <v>268750</v>
      </c>
      <c r="D19" s="224">
        <v>6.4</v>
      </c>
      <c r="E19" s="44"/>
      <c r="F19" s="223">
        <v>20700</v>
      </c>
      <c r="G19" s="43">
        <v>276000</v>
      </c>
      <c r="H19" s="224">
        <v>7.5</v>
      </c>
      <c r="I19" s="44"/>
      <c r="J19" s="223">
        <v>20500</v>
      </c>
      <c r="K19" s="43">
        <v>269736.84210526315</v>
      </c>
      <c r="L19" s="224">
        <v>7.6</v>
      </c>
      <c r="M19" s="44"/>
      <c r="N19" s="223">
        <v>26700</v>
      </c>
      <c r="O19" s="43">
        <v>272448.97959183675</v>
      </c>
      <c r="P19" s="224">
        <v>9.8000000000000007</v>
      </c>
    </row>
    <row r="20" spans="1:16" s="41" customFormat="1" ht="15" customHeight="1">
      <c r="A20" s="45" t="s">
        <v>25</v>
      </c>
      <c r="B20" s="223">
        <v>4900</v>
      </c>
      <c r="C20" s="43">
        <v>76562.5</v>
      </c>
      <c r="D20" s="224">
        <v>6.4</v>
      </c>
      <c r="E20" s="44"/>
      <c r="F20" s="223">
        <v>5100</v>
      </c>
      <c r="G20" s="43">
        <v>76119.402985074616</v>
      </c>
      <c r="H20" s="224">
        <v>6.7</v>
      </c>
      <c r="I20" s="44"/>
      <c r="J20" s="223">
        <v>5100</v>
      </c>
      <c r="K20" s="43">
        <v>76119.402985074616</v>
      </c>
      <c r="L20" s="224">
        <v>6.7</v>
      </c>
      <c r="M20" s="44"/>
      <c r="N20" s="223">
        <v>2700</v>
      </c>
      <c r="O20" s="43">
        <v>79411.76470588235</v>
      </c>
      <c r="P20" s="224">
        <v>3.4</v>
      </c>
    </row>
    <row r="21" spans="1:16" s="41" customFormat="1" ht="15" customHeight="1">
      <c r="A21" s="45" t="s">
        <v>26</v>
      </c>
      <c r="B21" s="223">
        <v>17100</v>
      </c>
      <c r="C21" s="43">
        <v>172727.27272727271</v>
      </c>
      <c r="D21" s="224">
        <v>9.9</v>
      </c>
      <c r="E21" s="44"/>
      <c r="F21" s="223">
        <v>13800</v>
      </c>
      <c r="G21" s="43">
        <v>174683.54430379748</v>
      </c>
      <c r="H21" s="224">
        <v>7.9</v>
      </c>
      <c r="I21" s="44"/>
      <c r="J21" s="223">
        <v>12200</v>
      </c>
      <c r="K21" s="43">
        <v>169444.44444444444</v>
      </c>
      <c r="L21" s="224">
        <v>7.2</v>
      </c>
      <c r="M21" s="44"/>
      <c r="N21" s="223">
        <v>16900</v>
      </c>
      <c r="O21" s="43">
        <v>162500</v>
      </c>
      <c r="P21" s="224">
        <v>10.4</v>
      </c>
    </row>
    <row r="22" spans="1:16" s="41" customFormat="1" ht="15" customHeight="1">
      <c r="A22" s="45" t="s">
        <v>27</v>
      </c>
      <c r="B22" s="223">
        <v>21800</v>
      </c>
      <c r="C22" s="43">
        <v>286842.10526315792</v>
      </c>
      <c r="D22" s="224">
        <v>7.6</v>
      </c>
      <c r="E22" s="44"/>
      <c r="F22" s="223">
        <v>24100</v>
      </c>
      <c r="G22" s="43">
        <v>280232.5581395349</v>
      </c>
      <c r="H22" s="224">
        <v>8.6</v>
      </c>
      <c r="I22" s="44"/>
      <c r="J22" s="223">
        <v>25500</v>
      </c>
      <c r="K22" s="43">
        <v>296511.62790697679</v>
      </c>
      <c r="L22" s="224">
        <v>8.6</v>
      </c>
      <c r="M22" s="44"/>
      <c r="N22" s="223">
        <v>19300</v>
      </c>
      <c r="O22" s="43">
        <v>306349.20634920633</v>
      </c>
      <c r="P22" s="224">
        <v>6.3</v>
      </c>
    </row>
    <row r="23" spans="1:16" s="41" customFormat="1" ht="15" customHeight="1">
      <c r="A23" s="45" t="s">
        <v>28</v>
      </c>
      <c r="B23" s="223">
        <v>9900</v>
      </c>
      <c r="C23" s="43">
        <v>119277.10843373493</v>
      </c>
      <c r="D23" s="224">
        <v>8.3000000000000007</v>
      </c>
      <c r="E23" s="44"/>
      <c r="F23" s="223">
        <v>9100</v>
      </c>
      <c r="G23" s="43">
        <v>118181.81818181818</v>
      </c>
      <c r="H23" s="224">
        <v>7.7</v>
      </c>
      <c r="I23" s="44"/>
      <c r="J23" s="223">
        <v>7000</v>
      </c>
      <c r="K23" s="43">
        <v>116666.66666666667</v>
      </c>
      <c r="L23" s="224">
        <v>6</v>
      </c>
      <c r="M23" s="44"/>
      <c r="N23" s="223">
        <v>5700</v>
      </c>
      <c r="O23" s="43">
        <v>116326.5306122449</v>
      </c>
      <c r="P23" s="224">
        <v>4.9000000000000004</v>
      </c>
    </row>
    <row r="24" spans="1:16" s="41" customFormat="1" ht="15" customHeight="1">
      <c r="A24" s="45" t="s">
        <v>29</v>
      </c>
      <c r="B24" s="223">
        <v>2900</v>
      </c>
      <c r="C24" s="43">
        <v>36250</v>
      </c>
      <c r="D24" s="224">
        <v>8</v>
      </c>
      <c r="E24" s="44"/>
      <c r="F24" s="223">
        <v>3400</v>
      </c>
      <c r="G24" s="43">
        <v>35789.473684210527</v>
      </c>
      <c r="H24" s="224">
        <v>9.5</v>
      </c>
      <c r="I24" s="44"/>
      <c r="J24" s="223">
        <v>2500</v>
      </c>
      <c r="K24" s="43">
        <v>33333.333333333336</v>
      </c>
      <c r="L24" s="224">
        <v>7.5</v>
      </c>
      <c r="M24" s="44"/>
      <c r="N24" s="223">
        <v>2400</v>
      </c>
      <c r="O24" s="43">
        <v>33333.333333333328</v>
      </c>
      <c r="P24" s="224">
        <v>7.2</v>
      </c>
    </row>
    <row r="25" spans="1:16" s="41" customFormat="1" ht="15" customHeight="1">
      <c r="A25" s="45" t="s">
        <v>30</v>
      </c>
      <c r="B25" s="223">
        <v>3100</v>
      </c>
      <c r="C25" s="43">
        <v>44285.714285714283</v>
      </c>
      <c r="D25" s="224">
        <v>7</v>
      </c>
      <c r="E25" s="44"/>
      <c r="F25" s="223">
        <v>3100</v>
      </c>
      <c r="G25" s="43">
        <v>46268.656716417907</v>
      </c>
      <c r="H25" s="224">
        <v>6.7</v>
      </c>
      <c r="I25" s="44"/>
      <c r="J25" s="223">
        <v>3500</v>
      </c>
      <c r="K25" s="43">
        <v>46666.666666666672</v>
      </c>
      <c r="L25" s="224">
        <v>7.5</v>
      </c>
      <c r="M25" s="44"/>
      <c r="N25" s="223">
        <v>3400</v>
      </c>
      <c r="O25" s="43">
        <v>43589.743589743586</v>
      </c>
      <c r="P25" s="224">
        <v>7.8</v>
      </c>
    </row>
    <row r="26" spans="1:16" s="41" customFormat="1" ht="15" customHeight="1">
      <c r="A26" s="45" t="s">
        <v>31</v>
      </c>
      <c r="B26" s="223">
        <v>3800</v>
      </c>
      <c r="C26" s="43">
        <v>45783.132530120478</v>
      </c>
      <c r="D26" s="224">
        <v>8.3000000000000007</v>
      </c>
      <c r="E26" s="44"/>
      <c r="F26" s="223">
        <v>2800</v>
      </c>
      <c r="G26" s="43">
        <v>45161.290322580644</v>
      </c>
      <c r="H26" s="224">
        <v>6.2</v>
      </c>
      <c r="I26" s="44"/>
      <c r="J26" s="223">
        <v>4100</v>
      </c>
      <c r="K26" s="43">
        <v>46590.909090909088</v>
      </c>
      <c r="L26" s="224">
        <v>8.8000000000000007</v>
      </c>
      <c r="M26" s="44"/>
      <c r="N26" s="223">
        <v>4800</v>
      </c>
      <c r="O26" s="43">
        <v>46153.846153846149</v>
      </c>
      <c r="P26" s="224">
        <v>10.4</v>
      </c>
    </row>
    <row r="27" spans="1:16" s="41" customFormat="1" ht="15" customHeight="1">
      <c r="A27" s="45" t="s">
        <v>32</v>
      </c>
      <c r="B27" s="223">
        <v>900</v>
      </c>
      <c r="C27" s="43">
        <v>12328.767123287673</v>
      </c>
      <c r="D27" s="224">
        <v>7.3</v>
      </c>
      <c r="E27" s="44"/>
      <c r="F27" s="223">
        <v>1700</v>
      </c>
      <c r="G27" s="43">
        <v>12592.592592592591</v>
      </c>
      <c r="H27" s="224">
        <v>13.5</v>
      </c>
      <c r="I27" s="44"/>
      <c r="J27" s="223">
        <v>1500</v>
      </c>
      <c r="K27" s="43">
        <v>13274.336283185841</v>
      </c>
      <c r="L27" s="224">
        <v>11.3</v>
      </c>
      <c r="M27" s="44"/>
      <c r="N27" s="223">
        <v>1700</v>
      </c>
      <c r="O27" s="43">
        <v>12592.592592592591</v>
      </c>
      <c r="P27" s="224">
        <v>13.5</v>
      </c>
    </row>
    <row r="28" spans="1:16" s="41" customFormat="1" ht="15" customHeight="1">
      <c r="A28" s="45" t="s">
        <v>33</v>
      </c>
      <c r="B28" s="223">
        <v>6700</v>
      </c>
      <c r="C28" s="43">
        <v>56779.661016949147</v>
      </c>
      <c r="D28" s="224">
        <v>11.8</v>
      </c>
      <c r="E28" s="44"/>
      <c r="F28" s="223">
        <v>7800</v>
      </c>
      <c r="G28" s="43">
        <v>59090.909090909088</v>
      </c>
      <c r="H28" s="224">
        <v>13.2</v>
      </c>
      <c r="I28" s="44"/>
      <c r="J28" s="223">
        <v>4600</v>
      </c>
      <c r="K28" s="43">
        <v>58227.848101265823</v>
      </c>
      <c r="L28" s="224">
        <v>7.9</v>
      </c>
      <c r="M28" s="44"/>
      <c r="N28" s="223">
        <v>6000</v>
      </c>
      <c r="O28" s="43">
        <v>56074.766355140186</v>
      </c>
      <c r="P28" s="224">
        <v>10.7</v>
      </c>
    </row>
    <row r="29" spans="1:16" s="41" customFormat="1" ht="15" customHeight="1">
      <c r="A29" s="45" t="s">
        <v>34</v>
      </c>
      <c r="B29" s="223">
        <v>8700</v>
      </c>
      <c r="C29" s="43">
        <v>161111.11111111109</v>
      </c>
      <c r="D29" s="224">
        <v>5.4</v>
      </c>
      <c r="E29" s="44"/>
      <c r="F29" s="223">
        <v>9300</v>
      </c>
      <c r="G29" s="43">
        <v>166071.42857142858</v>
      </c>
      <c r="H29" s="224">
        <v>5.6</v>
      </c>
      <c r="I29" s="44"/>
      <c r="J29" s="223">
        <v>7200</v>
      </c>
      <c r="K29" s="43">
        <v>163636.36363636362</v>
      </c>
      <c r="L29" s="224">
        <v>4.4000000000000004</v>
      </c>
      <c r="M29" s="44"/>
      <c r="N29" s="223">
        <v>13900</v>
      </c>
      <c r="O29" s="43">
        <v>152747.25274725276</v>
      </c>
      <c r="P29" s="224">
        <v>9.1</v>
      </c>
    </row>
    <row r="30" spans="1:16" s="41" customFormat="1" ht="15" customHeight="1">
      <c r="A30" s="45" t="s">
        <v>35</v>
      </c>
      <c r="B30" s="223">
        <v>1600</v>
      </c>
      <c r="C30" s="43">
        <v>11428.571428571428</v>
      </c>
      <c r="D30" s="224">
        <v>14</v>
      </c>
      <c r="E30" s="44"/>
      <c r="F30" s="223">
        <v>1300</v>
      </c>
      <c r="G30" s="43">
        <v>12149.532710280375</v>
      </c>
      <c r="H30" s="224">
        <v>10.7</v>
      </c>
      <c r="I30" s="44"/>
      <c r="J30" s="223">
        <v>1100</v>
      </c>
      <c r="K30" s="43">
        <v>11827.95698924731</v>
      </c>
      <c r="L30" s="224">
        <v>9.3000000000000007</v>
      </c>
      <c r="M30" s="44"/>
      <c r="N30" s="223">
        <v>1500</v>
      </c>
      <c r="O30" s="43">
        <v>10489.510489510489</v>
      </c>
      <c r="P30" s="224">
        <v>14.3</v>
      </c>
    </row>
    <row r="31" spans="1:16" s="41" customFormat="1" ht="15" customHeight="1">
      <c r="A31" s="45" t="s">
        <v>36</v>
      </c>
      <c r="B31" s="223">
        <v>6400</v>
      </c>
      <c r="C31" s="43">
        <v>71111.111111111109</v>
      </c>
      <c r="D31" s="224">
        <v>9</v>
      </c>
      <c r="E31" s="44"/>
      <c r="F31" s="223">
        <v>5000</v>
      </c>
      <c r="G31" s="43">
        <v>72463.768115942017</v>
      </c>
      <c r="H31" s="224">
        <v>6.9</v>
      </c>
      <c r="I31" s="44"/>
      <c r="J31" s="223">
        <v>6300</v>
      </c>
      <c r="K31" s="43">
        <v>78750</v>
      </c>
      <c r="L31" s="224">
        <v>8</v>
      </c>
      <c r="M31" s="44"/>
      <c r="N31" s="223">
        <v>4300</v>
      </c>
      <c r="O31" s="43">
        <v>70491.803278688531</v>
      </c>
      <c r="P31" s="224">
        <v>6.1</v>
      </c>
    </row>
    <row r="32" spans="1:16" s="41" customFormat="1" ht="15" customHeight="1">
      <c r="A32" s="45" t="s">
        <v>37</v>
      </c>
      <c r="B32" s="223">
        <v>8200</v>
      </c>
      <c r="C32" s="43">
        <v>86315.789473684214</v>
      </c>
      <c r="D32" s="224">
        <v>9.5</v>
      </c>
      <c r="E32" s="44"/>
      <c r="F32" s="223">
        <v>5900</v>
      </c>
      <c r="G32" s="43">
        <v>85507.246376811585</v>
      </c>
      <c r="H32" s="224">
        <v>6.9</v>
      </c>
      <c r="I32" s="44"/>
      <c r="J32" s="223">
        <v>7100</v>
      </c>
      <c r="K32" s="43">
        <v>86585.365853658543</v>
      </c>
      <c r="L32" s="224">
        <v>8.1999999999999993</v>
      </c>
      <c r="M32" s="44"/>
      <c r="N32" s="223">
        <v>8500</v>
      </c>
      <c r="O32" s="43">
        <v>89473.68421052632</v>
      </c>
      <c r="P32" s="224">
        <v>9.5</v>
      </c>
    </row>
    <row r="33" spans="1:17" s="41" customFormat="1" ht="15" customHeight="1">
      <c r="A33" s="45" t="s">
        <v>38</v>
      </c>
      <c r="B33" s="223">
        <v>7100</v>
      </c>
      <c r="C33" s="43">
        <v>53383.458646616542</v>
      </c>
      <c r="D33" s="224">
        <v>13.3</v>
      </c>
      <c r="E33" s="44"/>
      <c r="F33" s="223">
        <v>4400</v>
      </c>
      <c r="G33" s="43">
        <v>51162.79069767442</v>
      </c>
      <c r="H33" s="224">
        <v>8.6</v>
      </c>
      <c r="I33" s="44"/>
      <c r="J33" s="223">
        <v>4400</v>
      </c>
      <c r="K33" s="43">
        <v>53658.536585365859</v>
      </c>
      <c r="L33" s="224">
        <v>8.1999999999999993</v>
      </c>
      <c r="M33" s="44"/>
      <c r="N33" s="223">
        <v>6400</v>
      </c>
      <c r="O33" s="43">
        <v>54237.288135593219</v>
      </c>
      <c r="P33" s="224">
        <v>11.8</v>
      </c>
    </row>
    <row r="34" spans="1:17" s="41" customFormat="1" ht="15" customHeight="1">
      <c r="A34" s="45" t="s">
        <v>39</v>
      </c>
      <c r="B34" s="223">
        <v>1800</v>
      </c>
      <c r="C34" s="43">
        <v>12080.536912751679</v>
      </c>
      <c r="D34" s="224">
        <v>14.9</v>
      </c>
      <c r="E34" s="44"/>
      <c r="F34" s="223">
        <v>700</v>
      </c>
      <c r="G34" s="43">
        <v>13461.538461538461</v>
      </c>
      <c r="H34" s="224">
        <v>5.2</v>
      </c>
      <c r="I34" s="44"/>
      <c r="J34" s="223">
        <v>1500</v>
      </c>
      <c r="K34" s="43">
        <v>11538.461538461537</v>
      </c>
      <c r="L34" s="224">
        <v>13</v>
      </c>
      <c r="M34" s="44"/>
      <c r="N34" s="223">
        <v>1000</v>
      </c>
      <c r="O34" s="43">
        <v>12048.192771084337</v>
      </c>
      <c r="P34" s="224">
        <v>8.3000000000000007</v>
      </c>
    </row>
    <row r="35" spans="1:17" s="41" customFormat="1" ht="15" customHeight="1">
      <c r="A35" s="45" t="s">
        <v>40</v>
      </c>
      <c r="B35" s="223">
        <v>4000</v>
      </c>
      <c r="C35" s="43">
        <v>50632.911392405062</v>
      </c>
      <c r="D35" s="224">
        <v>7.9</v>
      </c>
      <c r="E35" s="44"/>
      <c r="F35" s="223">
        <v>4800</v>
      </c>
      <c r="G35" s="43">
        <v>47058.823529411769</v>
      </c>
      <c r="H35" s="224">
        <v>10.199999999999999</v>
      </c>
      <c r="I35" s="44"/>
      <c r="J35" s="223">
        <v>3200</v>
      </c>
      <c r="K35" s="43">
        <v>50000</v>
      </c>
      <c r="L35" s="224">
        <v>6.4</v>
      </c>
      <c r="M35" s="44"/>
      <c r="N35" s="223">
        <v>4700</v>
      </c>
      <c r="O35" s="43">
        <v>47959.183673469386</v>
      </c>
      <c r="P35" s="224">
        <v>9.8000000000000007</v>
      </c>
    </row>
    <row r="36" spans="1:17" s="41" customFormat="1" ht="15" customHeight="1">
      <c r="A36" s="45" t="s">
        <v>41</v>
      </c>
      <c r="B36" s="223">
        <v>9500</v>
      </c>
      <c r="C36" s="43">
        <v>153225.80645161291</v>
      </c>
      <c r="D36" s="224">
        <v>6.2</v>
      </c>
      <c r="E36" s="44"/>
      <c r="F36" s="223">
        <v>5900</v>
      </c>
      <c r="G36" s="43">
        <v>155263.15789473685</v>
      </c>
      <c r="H36" s="224">
        <v>3.8</v>
      </c>
      <c r="I36" s="44"/>
      <c r="J36" s="223">
        <v>6700</v>
      </c>
      <c r="K36" s="43">
        <v>152272.72727272726</v>
      </c>
      <c r="L36" s="224">
        <v>4.4000000000000004</v>
      </c>
      <c r="M36" s="44"/>
      <c r="N36" s="223">
        <v>11300</v>
      </c>
      <c r="O36" s="43">
        <v>154794.52054794523</v>
      </c>
      <c r="P36" s="224">
        <v>7.3</v>
      </c>
    </row>
    <row r="37" spans="1:17" s="41" customFormat="1" ht="15" customHeight="1">
      <c r="A37" s="45" t="s">
        <v>42</v>
      </c>
      <c r="B37" s="223">
        <v>2900</v>
      </c>
      <c r="C37" s="43">
        <v>44615.384615384617</v>
      </c>
      <c r="D37" s="224">
        <v>6.5</v>
      </c>
      <c r="E37" s="44"/>
      <c r="F37" s="223">
        <v>3000</v>
      </c>
      <c r="G37" s="43">
        <v>44117.647058823524</v>
      </c>
      <c r="H37" s="224">
        <v>6.8</v>
      </c>
      <c r="I37" s="44"/>
      <c r="J37" s="223">
        <v>3100</v>
      </c>
      <c r="K37" s="43">
        <v>45588.235294117643</v>
      </c>
      <c r="L37" s="224">
        <v>6.8</v>
      </c>
      <c r="M37" s="44"/>
      <c r="N37" s="223">
        <v>3200</v>
      </c>
      <c r="O37" s="43">
        <v>45070.42253521127</v>
      </c>
      <c r="P37" s="224">
        <v>7.1</v>
      </c>
    </row>
    <row r="38" spans="1:17" s="41" customFormat="1" ht="15" customHeight="1">
      <c r="A38" s="45" t="s">
        <v>43</v>
      </c>
      <c r="B38" s="223">
        <v>3200</v>
      </c>
      <c r="C38" s="43">
        <v>41025.641025641024</v>
      </c>
      <c r="D38" s="224">
        <v>7.8</v>
      </c>
      <c r="E38" s="44"/>
      <c r="F38" s="223">
        <v>2900</v>
      </c>
      <c r="G38" s="43">
        <v>40845.070422535216</v>
      </c>
      <c r="H38" s="224">
        <v>7.1</v>
      </c>
      <c r="I38" s="44"/>
      <c r="J38" s="223">
        <v>3400</v>
      </c>
      <c r="K38" s="43">
        <v>41975.308641975309</v>
      </c>
      <c r="L38" s="224">
        <v>8.1</v>
      </c>
      <c r="M38" s="44"/>
      <c r="N38" s="223">
        <v>2500</v>
      </c>
      <c r="O38" s="43">
        <v>41666.666666666672</v>
      </c>
      <c r="P38" s="224">
        <v>6</v>
      </c>
    </row>
    <row r="39" spans="1:17" s="41" customFormat="1" ht="15" customHeight="1">
      <c r="A39" s="42" t="s">
        <v>44</v>
      </c>
      <c r="B39" s="223">
        <v>7700</v>
      </c>
      <c r="C39" s="43">
        <v>90588.235294117636</v>
      </c>
      <c r="D39" s="224">
        <v>8.5</v>
      </c>
      <c r="E39" s="44"/>
      <c r="F39" s="223">
        <v>6000</v>
      </c>
      <c r="G39" s="43">
        <v>88235.294117647049</v>
      </c>
      <c r="H39" s="224">
        <v>6.8</v>
      </c>
      <c r="I39" s="44"/>
      <c r="J39" s="223">
        <v>3900</v>
      </c>
      <c r="K39" s="43">
        <v>92857.142857142855</v>
      </c>
      <c r="L39" s="224">
        <v>4.2</v>
      </c>
      <c r="M39" s="44"/>
      <c r="N39" s="223">
        <v>6100</v>
      </c>
      <c r="O39" s="43">
        <v>89705.882352941175</v>
      </c>
      <c r="P39" s="224">
        <v>6.8</v>
      </c>
    </row>
    <row r="40" spans="1:17" s="41" customFormat="1" ht="15" customHeight="1">
      <c r="A40" s="45"/>
      <c r="B40" s="223"/>
      <c r="C40" s="43"/>
      <c r="D40" s="224"/>
      <c r="E40" s="44"/>
      <c r="F40" s="223"/>
      <c r="G40" s="43"/>
      <c r="H40" s="224"/>
      <c r="I40" s="44"/>
      <c r="J40" s="223"/>
      <c r="K40" s="43"/>
      <c r="L40" s="224"/>
      <c r="M40" s="44"/>
      <c r="N40" s="223"/>
      <c r="O40" s="43"/>
      <c r="P40" s="224"/>
    </row>
    <row r="41" spans="1:17" s="41" customFormat="1" ht="15" customHeight="1">
      <c r="A41" s="45" t="s">
        <v>45</v>
      </c>
      <c r="B41" s="223">
        <v>208600</v>
      </c>
      <c r="C41" s="43">
        <v>2607500</v>
      </c>
      <c r="D41" s="224">
        <v>8</v>
      </c>
      <c r="E41" s="44"/>
      <c r="F41" s="223">
        <v>193500</v>
      </c>
      <c r="G41" s="43">
        <v>2614864.8648648644</v>
      </c>
      <c r="H41" s="224">
        <v>7.4</v>
      </c>
      <c r="I41" s="44"/>
      <c r="J41" s="223">
        <v>187400</v>
      </c>
      <c r="K41" s="43">
        <v>2639436.61971831</v>
      </c>
      <c r="L41" s="224">
        <v>7.1</v>
      </c>
      <c r="M41" s="44"/>
      <c r="N41" s="223">
        <v>210200</v>
      </c>
      <c r="O41" s="43">
        <v>2595061.7283950616</v>
      </c>
      <c r="P41" s="224">
        <v>8.1</v>
      </c>
    </row>
    <row r="42" spans="1:17" s="41" customFormat="1" ht="15" customHeight="1">
      <c r="A42" s="6" t="s">
        <v>543</v>
      </c>
      <c r="B42" s="385">
        <f>SUM(SUMIFS(B$8:B$39,$A$8:$A$39,{"Na h-Eileanan Siar","Argyll and Bute","Shetland Islands","Highland","Orkney Islands","Scottish Borders","Dumfries and Galloway","Aberdeenshire"}))</f>
        <v>41700</v>
      </c>
      <c r="C42" s="385">
        <f>SUM(SUMIFS(C$8:C$39,$A$8:$A$39,{"Na h-Eileanan Siar","Argyll and Bute","Shetland Islands","Highland","Orkney Islands","Scottish Borders","Dumfries and Galloway","Aberdeenshire"}))</f>
        <v>455208.96886075172</v>
      </c>
      <c r="D42" s="399">
        <f>SUM(B42/C42)*100</f>
        <v>9.1606279428901196</v>
      </c>
      <c r="E42" s="44"/>
      <c r="F42" s="385">
        <f>SUM(SUMIFS(F$8:F$39,$A$8:$A$39,{"Na h-Eileanan Siar","Argyll and Bute","Shetland Islands","Highland","Orkney Islands","Scottish Borders","Dumfries and Galloway","Aberdeenshire"}))</f>
        <v>32900</v>
      </c>
      <c r="G42" s="385">
        <f>SUM(SUMIFS(G$8:G$39,$A$8:$A$39,{"Na h-Eileanan Siar","Argyll and Bute","Shetland Islands","Highland","Orkney Islands","Scottish Borders","Dumfries and Galloway","Aberdeenshire"}))</f>
        <v>444243.49908209254</v>
      </c>
      <c r="H42" s="399">
        <f>SUM(F42/G42)*100</f>
        <v>7.4058483844960774</v>
      </c>
      <c r="I42" s="44"/>
      <c r="J42" s="385">
        <f>SUM(SUMIFS(J$8:J$39,$A$8:$A$39,{"Na h-Eileanan Siar","Argyll and Bute","Shetland Islands","Highland","Orkney Islands","Scottish Borders","Dumfries and Galloway","Aberdeenshire"}))</f>
        <v>32900</v>
      </c>
      <c r="K42" s="385">
        <f>SUM(SUMIFS(K$8:K$39,$A$8:$A$39,{"Na h-Eileanan Siar","Argyll and Bute","Shetland Islands","Highland","Orkney Islands","Scottish Borders","Dumfries and Galloway","Aberdeenshire"}))</f>
        <v>451127.40006919682</v>
      </c>
      <c r="L42" s="399">
        <f>SUM(J42/K42)*100</f>
        <v>7.292840114556018</v>
      </c>
      <c r="M42" s="44"/>
      <c r="N42" s="385">
        <f>SUM(SUMIFS(N$8:N$39,$A$8:$A$39,{"Na h-Eileanan Siar","Argyll and Bute","Shetland Islands","Highland","Orkney Islands","Scottish Borders","Dumfries and Galloway","Aberdeenshire"}))</f>
        <v>32900</v>
      </c>
      <c r="O42" s="385">
        <f>SUM(SUMIFS(O$8:O$39,$A$8:$A$39,{"Na h-Eileanan Siar","Argyll and Bute","Shetland Islands","Highland","Orkney Islands","Scottish Borders","Dumfries and Galloway","Aberdeenshire"}))</f>
        <v>441108.57668215432</v>
      </c>
      <c r="P42" s="399">
        <f>SUM(N42/O42)*100</f>
        <v>7.4584811402809024</v>
      </c>
      <c r="Q42" s="44"/>
    </row>
    <row r="43" spans="1:17" s="41" customFormat="1" ht="15" customHeight="1">
      <c r="A43" s="6" t="s">
        <v>544</v>
      </c>
      <c r="B43" s="385">
        <f>SUM(SUMIFS(B$8:B$39,$A$8:$A$39,{"Perth and Kinross","Stirling","Moray","South Ayrshire","East Ayrshire","East Lothian","North Ayrshire","Fife"}))</f>
        <v>48800</v>
      </c>
      <c r="C43" s="385">
        <f>SUM(SUMIFS(C$8:C$39,$A$8:$A$39,{"Perth and Kinross","Stirling","Moray","South Ayrshire","East Ayrshire","East Lothian","North Ayrshire","Fife"}))</f>
        <v>547049.98082347144</v>
      </c>
      <c r="D43" s="399">
        <f>SUM(B43/C43)*100</f>
        <v>8.9205743004581812</v>
      </c>
      <c r="E43" s="44"/>
      <c r="F43" s="385">
        <f>SUM(SUMIFS(F$8:F$39,$A$8:$A$39,{"Perth and Kinross","Stirling","Moray","South Ayrshire","East Ayrshire","East Lothian","North Ayrshire","Fife"}))</f>
        <v>45300</v>
      </c>
      <c r="G43" s="385">
        <f>SUM(SUMIFS(G$8:G$39,$A$8:$A$39,{"Perth and Kinross","Stirling","Moray","South Ayrshire","East Ayrshire","East Lothian","North Ayrshire","Fife"}))</f>
        <v>549165.19691773644</v>
      </c>
      <c r="H43" s="399">
        <f>SUM(F43/G43)*100</f>
        <v>8.2488839886890766</v>
      </c>
      <c r="I43" s="44"/>
      <c r="J43" s="385">
        <f>SUM(SUMIFS(J$8:J$39,$A$8:$A$39,{"Perth and Kinross","Stirling","Moray","South Ayrshire","East Ayrshire","East Lothian","North Ayrshire","Fife"}))</f>
        <v>40400</v>
      </c>
      <c r="K43" s="385">
        <f>SUM(SUMIFS(K$8:K$39,$A$8:$A$39,{"Perth and Kinross","Stirling","Moray","South Ayrshire","East Ayrshire","East Lothian","North Ayrshire","Fife"}))</f>
        <v>557907.91321834549</v>
      </c>
      <c r="L43" s="399">
        <f>SUM(J43/K43)*100</f>
        <v>7.2413384077936289</v>
      </c>
      <c r="M43" s="44"/>
      <c r="N43" s="385">
        <f>SUM(SUMIFS(N$8:N$39,$A$8:$A$39,{"Perth and Kinross","Stirling","Moray","South Ayrshire","East Ayrshire","East Lothian","North Ayrshire","Fife"}))</f>
        <v>50200</v>
      </c>
      <c r="O43" s="385">
        <f>SUM(SUMIFS(O$8:O$39,$A$8:$A$39,{"Perth and Kinross","Stirling","Moray","South Ayrshire","East Ayrshire","East Lothian","North Ayrshire","Fife"}))</f>
        <v>532416.68866302213</v>
      </c>
      <c r="P43" s="399">
        <f>SUM(N43/O43)*100</f>
        <v>9.4287051981897303</v>
      </c>
      <c r="Q43" s="44"/>
    </row>
    <row r="44" spans="1:17" s="41" customFormat="1" ht="15" customHeight="1">
      <c r="A44" s="6" t="s">
        <v>545</v>
      </c>
      <c r="B44" s="385">
        <f>SUM(SUMIFS(B$8:B$39,$A$8:$A$39,{"Angus","Clackmannanshire","Midlothian","South Lanarkshire","Inverclyde","Renfrewshire","West Lothian","East Renfrewshire"}))</f>
        <v>43600</v>
      </c>
      <c r="C44" s="385">
        <f>SUM(SUMIFS(C$8:C$39,$A$8:$A$39,{"Angus","Clackmannanshire","Midlothian","South Lanarkshire","Inverclyde","Renfrewshire","West Lothian","East Renfrewshire"}))</f>
        <v>531693.76166964357</v>
      </c>
      <c r="D44" s="399">
        <f>SUM(B44/C44)*100</f>
        <v>8.2002090570116408</v>
      </c>
      <c r="E44" s="44"/>
      <c r="F44" s="385">
        <f>SUM(SUMIFS(F$8:F$39,$A$8:$A$39,{"Angus","Clackmannanshire","Midlothian","South Lanarkshire","Inverclyde","Renfrewshire","West Lothian","East Renfrewshire"}))</f>
        <v>33500</v>
      </c>
      <c r="G44" s="385">
        <f>SUM(SUMIFS(G$8:G$39,$A$8:$A$39,{"Angus","Clackmannanshire","Midlothian","South Lanarkshire","Inverclyde","Renfrewshire","West Lothian","East Renfrewshire"}))</f>
        <v>532858.51420326717</v>
      </c>
      <c r="H44" s="399">
        <f>SUM(F44/G44)*100</f>
        <v>6.2868470911249998</v>
      </c>
      <c r="I44" s="44"/>
      <c r="J44" s="385">
        <f>SUM(SUMIFS(J$8:J$39,$A$8:$A$39,{"Angus","Clackmannanshire","Midlothian","South Lanarkshire","Inverclyde","Renfrewshire","West Lothian","East Renfrewshire"}))</f>
        <v>32400</v>
      </c>
      <c r="K44" s="385">
        <f>SUM(SUMIFS(K$8:K$39,$A$8:$A$39,{"Angus","Clackmannanshire","Midlothian","South Lanarkshire","Inverclyde","Renfrewshire","West Lothian","East Renfrewshire"}))</f>
        <v>534631.90265019529</v>
      </c>
      <c r="L44" s="399">
        <f>SUM(J44/K44)*100</f>
        <v>6.060244411040884</v>
      </c>
      <c r="M44" s="44"/>
      <c r="N44" s="385">
        <f>SUM(SUMIFS(N$8:N$39,$A$8:$A$39,{"Angus","Clackmannanshire","Midlothian","South Lanarkshire","Inverclyde","Renfrewshire","West Lothian","East Renfrewshire"}))</f>
        <v>43300</v>
      </c>
      <c r="O44" s="385">
        <f>SUM(SUMIFS(O$8:O$39,$A$8:$A$39,{"Angus","Clackmannanshire","Midlothian","South Lanarkshire","Inverclyde","Renfrewshire","West Lothian","East Renfrewshire"}))</f>
        <v>528161.37115344289</v>
      </c>
      <c r="P44" s="399">
        <f>SUM(N44/O44)*100</f>
        <v>8.1982519670906342</v>
      </c>
      <c r="Q44" s="44"/>
    </row>
    <row r="45" spans="1:17" s="41" customFormat="1" ht="15" customHeight="1">
      <c r="A45" s="6" t="s">
        <v>546</v>
      </c>
      <c r="B45" s="385">
        <f>SUM(SUMIFS(B$8:B$39,$A$8:$A$39,{"North Lanarkshire","Falkirk","East Dunbartonshire","Aberdeen City","Edinburgh, City of","West Dunbartonshire","Dundee City","Glasgow City"}))</f>
        <v>74500</v>
      </c>
      <c r="C45" s="385">
        <f>SUM(SUMIFS(C$8:C$39,$A$8:$A$39,{"North Lanarkshire","Falkirk","East Dunbartonshire","Aberdeen City","Edinburgh, City of","West Dunbartonshire","Dundee City","Glasgow City"}))</f>
        <v>1068289.9903459114</v>
      </c>
      <c r="D45" s="399">
        <f>SUM(B45/C45)*100</f>
        <v>6.9737618692726837</v>
      </c>
      <c r="E45" s="44"/>
      <c r="F45" s="385">
        <f>SUM(SUMIFS(F$8:F$39,$A$8:$A$39,{"North Lanarkshire","Falkirk","East Dunbartonshire","Aberdeen City","Edinburgh, City of","West Dunbartonshire","Dundee City","Glasgow City"}))</f>
        <v>81700</v>
      </c>
      <c r="G45" s="385">
        <f>SUM(SUMIFS(G$8:G$39,$A$8:$A$39,{"North Lanarkshire","Falkirk","East Dunbartonshire","Aberdeen City","Edinburgh, City of","West Dunbartonshire","Dundee City","Glasgow City"}))</f>
        <v>1073366.6683673901</v>
      </c>
      <c r="H45" s="399">
        <f>SUM(F45/G45)*100</f>
        <v>7.6115648461738763</v>
      </c>
      <c r="I45" s="44"/>
      <c r="J45" s="385">
        <f>SUM(SUMIFS(J$8:J$39,$A$8:$A$39,{"North Lanarkshire","Falkirk","East Dunbartonshire","Aberdeen City","Edinburgh, City of","West Dunbartonshire","Dundee City","Glasgow City"}))</f>
        <v>81800</v>
      </c>
      <c r="K45" s="385">
        <f>SUM(SUMIFS(K$8:K$39,$A$8:$A$39,{"North Lanarkshire","Falkirk","East Dunbartonshire","Aberdeen City","Edinburgh, City of","West Dunbartonshire","Dundee City","Glasgow City"}))</f>
        <v>1093135.9144594825</v>
      </c>
      <c r="L45" s="399">
        <f>SUM(J45/K45)*100</f>
        <v>7.4830585033378245</v>
      </c>
      <c r="M45" s="44"/>
      <c r="N45" s="385">
        <f>SUM(SUMIFS(N$8:N$39,$A$8:$A$39,{"North Lanarkshire","Falkirk","East Dunbartonshire","Aberdeen City","Edinburgh, City of","West Dunbartonshire","Dundee City","Glasgow City"}))</f>
        <v>83700</v>
      </c>
      <c r="O45" s="385">
        <f>SUM(SUMIFS(O$8:O$39,$A$8:$A$39,{"North Lanarkshire","Falkirk","East Dunbartonshire","Aberdeen City","Edinburgh, City of","West Dunbartonshire","Dundee City","Glasgow City"}))</f>
        <v>1087367.4315840674</v>
      </c>
      <c r="P45" s="399">
        <f>SUM(N45/O45)*100</f>
        <v>7.6974900635074732</v>
      </c>
      <c r="Q45" s="44"/>
    </row>
    <row r="46" spans="1:17" s="41" customFormat="1" ht="15" customHeight="1">
      <c r="A46" s="46" t="s">
        <v>47</v>
      </c>
      <c r="B46" s="400">
        <f>SUM(B38+B36+B32+B29+B24+B22+B18+B16)</f>
        <v>62700</v>
      </c>
      <c r="C46" s="400">
        <f>SUM(C38+C36+C32+C29+C24+C22+C18+C16)</f>
        <v>859537.45103338128</v>
      </c>
      <c r="D46" s="399">
        <f>SUM(B46/C46)*100</f>
        <v>7.2946210691132478</v>
      </c>
      <c r="E46" s="44"/>
      <c r="F46" s="400">
        <f>SUM(F38+F36+F32+F29+F24+F22+F18+F16)</f>
        <v>56400</v>
      </c>
      <c r="G46" s="400">
        <f>SUM(G38+G36+G32+G29+G24+G22+G18+G16)</f>
        <v>858085.55366121477</v>
      </c>
      <c r="H46" s="399">
        <f>SUM(F46/G46)*100</f>
        <v>6.5727711834043507</v>
      </c>
      <c r="I46" s="44"/>
      <c r="J46" s="400">
        <f>SUM(J38+J36+J32+J29+J24+J22+J18+J16)</f>
        <v>57600</v>
      </c>
      <c r="K46" s="400">
        <f>SUM(K38+K36+K32+K29+K24+K22+K18+K16)</f>
        <v>870238.63968851313</v>
      </c>
      <c r="L46" s="399">
        <f>SUM(J46/K46)*100</f>
        <v>6.6188741079822577</v>
      </c>
      <c r="M46" s="44"/>
      <c r="N46" s="400">
        <f>SUM(N38+N36+N32+N29+N24+N22+N18+N16)</f>
        <v>64500</v>
      </c>
      <c r="O46" s="400">
        <f>SUM(O38+O36+O32+O29+O24+O22+O18+O16)</f>
        <v>872585.61545795284</v>
      </c>
      <c r="P46" s="399">
        <f>SUM(N46/O46)*100</f>
        <v>7.391824808634845</v>
      </c>
    </row>
    <row r="47" spans="1:17" ht="15" customHeight="1">
      <c r="A47" s="40"/>
      <c r="B47" s="39"/>
      <c r="C47" s="39"/>
      <c r="D47" s="39"/>
      <c r="E47" s="39"/>
      <c r="F47" s="39"/>
      <c r="G47" s="39"/>
      <c r="H47" s="39"/>
      <c r="I47" s="39"/>
      <c r="J47" s="39"/>
      <c r="K47" s="39"/>
      <c r="L47" s="39"/>
      <c r="M47" s="39"/>
      <c r="N47" s="39"/>
      <c r="O47" s="39"/>
      <c r="P47" s="39"/>
    </row>
    <row r="48" spans="1:17" ht="15" customHeight="1">
      <c r="A48" s="52" t="s">
        <v>188</v>
      </c>
    </row>
    <row r="49" spans="1:1" ht="15" customHeight="1">
      <c r="A49" s="38" t="s">
        <v>187</v>
      </c>
    </row>
    <row r="50" spans="1:1" ht="15" customHeight="1">
      <c r="A50" s="53" t="s">
        <v>186</v>
      </c>
    </row>
    <row r="51" spans="1:1" ht="15" customHeight="1">
      <c r="A51" s="53" t="s">
        <v>185</v>
      </c>
    </row>
    <row r="52" spans="1:1" ht="15" customHeight="1">
      <c r="A52" s="53" t="s">
        <v>184</v>
      </c>
    </row>
    <row r="53" spans="1:1" ht="15" customHeight="1">
      <c r="A53" s="53" t="s">
        <v>183</v>
      </c>
    </row>
    <row r="54" spans="1:1" ht="15" customHeight="1">
      <c r="A54" s="53" t="s">
        <v>182</v>
      </c>
    </row>
    <row r="55" spans="1:1" ht="15" customHeight="1">
      <c r="A55" s="53" t="s">
        <v>181</v>
      </c>
    </row>
    <row r="56" spans="1:1" ht="15" customHeight="1">
      <c r="A56" s="53" t="s">
        <v>180</v>
      </c>
    </row>
    <row r="57" spans="1:1" ht="15" customHeight="1">
      <c r="A57" s="53" t="s">
        <v>179</v>
      </c>
    </row>
    <row r="58" spans="1:1" ht="15" customHeight="1">
      <c r="A58" s="53" t="s">
        <v>178</v>
      </c>
    </row>
    <row r="59" spans="1:1" ht="15" customHeight="1">
      <c r="A59" s="54" t="s">
        <v>177</v>
      </c>
    </row>
    <row r="60" spans="1:1" ht="15" customHeight="1">
      <c r="A60" s="54" t="s">
        <v>176</v>
      </c>
    </row>
    <row r="61" spans="1:1" ht="15" customHeight="1">
      <c r="A61" s="54" t="s">
        <v>175</v>
      </c>
    </row>
  </sheetData>
  <hyperlinks>
    <hyperlink ref="A1" location="Index!A1" display="Return to index" xr:uid="{00000000-0004-0000-4800-000000000000}"/>
  </hyperlinks>
  <pageMargins left="0.75" right="0.75" top="1" bottom="1" header="0.5" footer="0.5"/>
  <pageSetup paperSize="9" scale="55"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autoPageBreaks="0"/>
  </sheetPr>
  <dimension ref="A1:Q49"/>
  <sheetViews>
    <sheetView zoomScale="70" zoomScaleNormal="70" workbookViewId="0">
      <selection activeCell="A18" sqref="A18:N18"/>
    </sheetView>
  </sheetViews>
  <sheetFormatPr defaultColWidth="8.7265625" defaultRowHeight="14.5"/>
  <cols>
    <col min="1" max="1" width="25" customWidth="1" collapsed="1"/>
    <col min="2" max="17" width="14" customWidth="1" collapsed="1"/>
  </cols>
  <sheetData>
    <row r="1" spans="1:17" ht="15.5">
      <c r="A1" s="36" t="s">
        <v>0</v>
      </c>
    </row>
    <row r="2" spans="1:17">
      <c r="A2" s="35" t="s">
        <v>170</v>
      </c>
    </row>
    <row r="4" spans="1:17">
      <c r="A4" s="34" t="s">
        <v>1</v>
      </c>
      <c r="B4" s="34" t="s">
        <v>2</v>
      </c>
    </row>
    <row r="5" spans="1:17">
      <c r="A5" s="34" t="s">
        <v>3</v>
      </c>
      <c r="B5" s="34" t="s">
        <v>173</v>
      </c>
    </row>
    <row r="7" spans="1:17" s="196" customFormat="1" ht="22" customHeight="1">
      <c r="A7" s="236" t="s">
        <v>5</v>
      </c>
      <c r="B7" s="607" t="s">
        <v>525</v>
      </c>
      <c r="C7" s="604"/>
      <c r="D7" s="604"/>
      <c r="E7" s="604"/>
      <c r="F7" s="607" t="s">
        <v>598</v>
      </c>
      <c r="G7" s="604"/>
      <c r="H7" s="604"/>
      <c r="I7" s="604"/>
      <c r="J7" s="607" t="s">
        <v>705</v>
      </c>
      <c r="K7" s="604"/>
      <c r="L7" s="604"/>
      <c r="M7" s="604"/>
      <c r="N7" s="607" t="s">
        <v>754</v>
      </c>
      <c r="O7" s="604"/>
      <c r="P7" s="604"/>
      <c r="Q7" s="604"/>
    </row>
    <row r="8" spans="1:17" s="196" customFormat="1" ht="26.15" customHeight="1">
      <c r="A8"/>
      <c r="B8" s="454" t="s">
        <v>6</v>
      </c>
      <c r="C8" s="454" t="s">
        <v>7</v>
      </c>
      <c r="D8" s="454" t="s">
        <v>8</v>
      </c>
      <c r="E8" s="454" t="s">
        <v>9</v>
      </c>
      <c r="F8" s="454" t="s">
        <v>6</v>
      </c>
      <c r="G8" s="454" t="s">
        <v>7</v>
      </c>
      <c r="H8" s="454" t="s">
        <v>8</v>
      </c>
      <c r="I8" s="454" t="s">
        <v>9</v>
      </c>
      <c r="J8" s="454" t="s">
        <v>6</v>
      </c>
      <c r="K8" s="454" t="s">
        <v>7</v>
      </c>
      <c r="L8" s="454" t="s">
        <v>8</v>
      </c>
      <c r="M8" s="454" t="s">
        <v>9</v>
      </c>
      <c r="N8" s="454" t="s">
        <v>6</v>
      </c>
      <c r="O8" s="454" t="s">
        <v>7</v>
      </c>
      <c r="P8" s="454" t="s">
        <v>8</v>
      </c>
      <c r="Q8" s="454" t="s">
        <v>9</v>
      </c>
    </row>
    <row r="9" spans="1:17" s="196" customFormat="1">
      <c r="A9" s="238" t="s">
        <v>14</v>
      </c>
      <c r="B9" s="435" t="s">
        <v>69</v>
      </c>
      <c r="C9" s="435" t="s">
        <v>69</v>
      </c>
      <c r="D9" s="435" t="s">
        <v>69</v>
      </c>
      <c r="E9" s="435" t="s">
        <v>69</v>
      </c>
      <c r="F9" s="435">
        <v>10300</v>
      </c>
      <c r="G9" s="435">
        <v>123500</v>
      </c>
      <c r="H9" s="436">
        <v>8.3000000000000007</v>
      </c>
      <c r="I9" s="436">
        <v>2.9</v>
      </c>
      <c r="J9" s="435">
        <v>7900</v>
      </c>
      <c r="K9" s="435">
        <v>116000</v>
      </c>
      <c r="L9" s="436">
        <v>6.8</v>
      </c>
      <c r="M9" s="436">
        <v>2.9</v>
      </c>
      <c r="N9" s="435">
        <v>8500</v>
      </c>
      <c r="O9" s="435">
        <v>119600</v>
      </c>
      <c r="P9" s="436">
        <v>7.1</v>
      </c>
      <c r="Q9" s="436">
        <v>3.4</v>
      </c>
    </row>
    <row r="10" spans="1:17" s="196" customFormat="1">
      <c r="A10" s="238" t="s">
        <v>15</v>
      </c>
      <c r="B10" s="435" t="s">
        <v>69</v>
      </c>
      <c r="C10" s="435" t="s">
        <v>69</v>
      </c>
      <c r="D10" s="435" t="s">
        <v>69</v>
      </c>
      <c r="E10" s="435" t="s">
        <v>69</v>
      </c>
      <c r="F10" s="435">
        <v>10000</v>
      </c>
      <c r="G10" s="435">
        <v>128700</v>
      </c>
      <c r="H10" s="436">
        <v>7.8</v>
      </c>
      <c r="I10" s="436">
        <v>2.7</v>
      </c>
      <c r="J10" s="435">
        <v>12600</v>
      </c>
      <c r="K10" s="435">
        <v>136800</v>
      </c>
      <c r="L10" s="436">
        <v>9.1999999999999993</v>
      </c>
      <c r="M10" s="436">
        <v>3.1</v>
      </c>
      <c r="N10" s="435">
        <v>14500</v>
      </c>
      <c r="O10" s="435">
        <v>150100</v>
      </c>
      <c r="P10" s="436">
        <v>9.6</v>
      </c>
      <c r="Q10" s="436">
        <v>3.8</v>
      </c>
    </row>
    <row r="11" spans="1:17" s="196" customFormat="1">
      <c r="A11" s="238" t="s">
        <v>16</v>
      </c>
      <c r="B11" s="435" t="s">
        <v>69</v>
      </c>
      <c r="C11" s="435" t="s">
        <v>69</v>
      </c>
      <c r="D11" s="435" t="s">
        <v>69</v>
      </c>
      <c r="E11" s="435" t="s">
        <v>69</v>
      </c>
      <c r="F11" s="435">
        <v>6300</v>
      </c>
      <c r="G11" s="435">
        <v>53700</v>
      </c>
      <c r="H11" s="436">
        <v>11.6</v>
      </c>
      <c r="I11" s="436">
        <v>3.5</v>
      </c>
      <c r="J11" s="435">
        <v>3700</v>
      </c>
      <c r="K11" s="435">
        <v>53500</v>
      </c>
      <c r="L11" s="436">
        <v>6.8</v>
      </c>
      <c r="M11" s="436">
        <v>2.8</v>
      </c>
      <c r="N11" s="435">
        <v>4400</v>
      </c>
      <c r="O11" s="435">
        <v>52200</v>
      </c>
      <c r="P11" s="436">
        <v>8.5</v>
      </c>
      <c r="Q11" s="436">
        <v>4.2</v>
      </c>
    </row>
    <row r="12" spans="1:17" s="196" customFormat="1">
      <c r="A12" s="238" t="s">
        <v>17</v>
      </c>
      <c r="B12" s="435" t="s">
        <v>69</v>
      </c>
      <c r="C12" s="435" t="s">
        <v>69</v>
      </c>
      <c r="D12" s="435" t="s">
        <v>69</v>
      </c>
      <c r="E12" s="435" t="s">
        <v>69</v>
      </c>
      <c r="F12" s="435">
        <v>4900</v>
      </c>
      <c r="G12" s="435">
        <v>37900</v>
      </c>
      <c r="H12" s="436">
        <v>12.9</v>
      </c>
      <c r="I12" s="436">
        <v>3.8</v>
      </c>
      <c r="J12" s="435">
        <v>4900</v>
      </c>
      <c r="K12" s="435">
        <v>39800</v>
      </c>
      <c r="L12" s="436">
        <v>12.4</v>
      </c>
      <c r="M12" s="436">
        <v>4</v>
      </c>
      <c r="N12" s="435">
        <v>2200</v>
      </c>
      <c r="O12" s="435">
        <v>35500</v>
      </c>
      <c r="P12" s="436">
        <v>6.2</v>
      </c>
      <c r="Q12" s="436">
        <v>4</v>
      </c>
    </row>
    <row r="13" spans="1:17" s="196" customFormat="1">
      <c r="A13" s="238" t="s">
        <v>586</v>
      </c>
      <c r="B13" s="435" t="s">
        <v>69</v>
      </c>
      <c r="C13" s="435" t="s">
        <v>69</v>
      </c>
      <c r="D13" s="435" t="s">
        <v>69</v>
      </c>
      <c r="E13" s="435" t="s">
        <v>69</v>
      </c>
      <c r="F13" s="435">
        <v>31400</v>
      </c>
      <c r="G13" s="435">
        <v>281800</v>
      </c>
      <c r="H13" s="436">
        <v>11.1</v>
      </c>
      <c r="I13" s="436">
        <v>2.8</v>
      </c>
      <c r="J13" s="435">
        <v>25600</v>
      </c>
      <c r="K13" s="435">
        <v>288900</v>
      </c>
      <c r="L13" s="436">
        <v>8.9</v>
      </c>
      <c r="M13" s="436">
        <v>2.8</v>
      </c>
      <c r="N13" s="435">
        <v>28100</v>
      </c>
      <c r="O13" s="435">
        <v>299100</v>
      </c>
      <c r="P13" s="436">
        <v>9.4</v>
      </c>
      <c r="Q13" s="436">
        <v>3.1</v>
      </c>
    </row>
    <row r="14" spans="1:17" s="196" customFormat="1">
      <c r="A14" s="238" t="s">
        <v>18</v>
      </c>
      <c r="B14" s="435" t="s">
        <v>69</v>
      </c>
      <c r="C14" s="435" t="s">
        <v>69</v>
      </c>
      <c r="D14" s="435" t="s">
        <v>69</v>
      </c>
      <c r="E14" s="435" t="s">
        <v>69</v>
      </c>
      <c r="F14" s="435">
        <v>2300</v>
      </c>
      <c r="G14" s="435">
        <v>23000</v>
      </c>
      <c r="H14" s="436">
        <v>10</v>
      </c>
      <c r="I14" s="436">
        <v>5.3</v>
      </c>
      <c r="J14" s="435">
        <v>2400</v>
      </c>
      <c r="K14" s="435">
        <v>21900</v>
      </c>
      <c r="L14" s="436">
        <v>10.8</v>
      </c>
      <c r="M14" s="436">
        <v>4.5</v>
      </c>
      <c r="N14" s="435">
        <v>1500</v>
      </c>
      <c r="O14" s="435">
        <v>22600</v>
      </c>
      <c r="P14" s="436">
        <v>6.4</v>
      </c>
      <c r="Q14" s="436">
        <v>4.0999999999999996</v>
      </c>
    </row>
    <row r="15" spans="1:17" s="196" customFormat="1">
      <c r="A15" s="238" t="s">
        <v>19</v>
      </c>
      <c r="B15" s="435" t="s">
        <v>69</v>
      </c>
      <c r="C15" s="435" t="s">
        <v>69</v>
      </c>
      <c r="D15" s="435" t="s">
        <v>69</v>
      </c>
      <c r="E15" s="435" t="s">
        <v>69</v>
      </c>
      <c r="F15" s="435">
        <v>5700</v>
      </c>
      <c r="G15" s="435">
        <v>61800</v>
      </c>
      <c r="H15" s="436">
        <v>9.1999999999999993</v>
      </c>
      <c r="I15" s="436">
        <v>3.1</v>
      </c>
      <c r="J15" s="435">
        <v>5300</v>
      </c>
      <c r="K15" s="435">
        <v>59500</v>
      </c>
      <c r="L15" s="436">
        <v>9</v>
      </c>
      <c r="M15" s="436">
        <v>3.4</v>
      </c>
      <c r="N15" s="435">
        <v>6600</v>
      </c>
      <c r="O15" s="435">
        <v>61100</v>
      </c>
      <c r="P15" s="436">
        <v>10.7</v>
      </c>
      <c r="Q15" s="436">
        <v>5</v>
      </c>
    </row>
    <row r="16" spans="1:17" s="196" customFormat="1">
      <c r="A16" s="238" t="s">
        <v>20</v>
      </c>
      <c r="B16" s="435" t="s">
        <v>69</v>
      </c>
      <c r="C16" s="435" t="s">
        <v>69</v>
      </c>
      <c r="D16" s="435" t="s">
        <v>69</v>
      </c>
      <c r="E16" s="435" t="s">
        <v>69</v>
      </c>
      <c r="F16" s="435">
        <v>5100</v>
      </c>
      <c r="G16" s="435">
        <v>69600</v>
      </c>
      <c r="H16" s="436">
        <v>7.4</v>
      </c>
      <c r="I16" s="436">
        <v>2.9</v>
      </c>
      <c r="J16" s="435">
        <v>5100</v>
      </c>
      <c r="K16" s="435">
        <v>67400</v>
      </c>
      <c r="L16" s="436">
        <v>7.6</v>
      </c>
      <c r="M16" s="436">
        <v>3</v>
      </c>
      <c r="N16" s="435">
        <v>2300</v>
      </c>
      <c r="O16" s="435">
        <v>62700</v>
      </c>
      <c r="P16" s="436">
        <v>3.7</v>
      </c>
      <c r="Q16" s="435" t="s">
        <v>10</v>
      </c>
    </row>
    <row r="17" spans="1:17" s="196" customFormat="1">
      <c r="A17" s="238" t="s">
        <v>21</v>
      </c>
      <c r="B17" s="435" t="s">
        <v>69</v>
      </c>
      <c r="C17" s="435" t="s">
        <v>69</v>
      </c>
      <c r="D17" s="435" t="s">
        <v>69</v>
      </c>
      <c r="E17" s="435" t="s">
        <v>69</v>
      </c>
      <c r="F17" s="435">
        <v>5000</v>
      </c>
      <c r="G17" s="435">
        <v>57600</v>
      </c>
      <c r="H17" s="436">
        <v>8.6</v>
      </c>
      <c r="I17" s="436">
        <v>3.1</v>
      </c>
      <c r="J17" s="435">
        <v>3400</v>
      </c>
      <c r="K17" s="435">
        <v>54500</v>
      </c>
      <c r="L17" s="436">
        <v>6.2</v>
      </c>
      <c r="M17" s="436">
        <v>2.7</v>
      </c>
      <c r="N17" s="435">
        <v>4300</v>
      </c>
      <c r="O17" s="435">
        <v>55600</v>
      </c>
      <c r="P17" s="436">
        <v>7.7</v>
      </c>
      <c r="Q17" s="436">
        <v>3.8</v>
      </c>
    </row>
    <row r="18" spans="1:17" s="196" customFormat="1">
      <c r="A18" s="238" t="s">
        <v>22</v>
      </c>
      <c r="B18" s="435" t="s">
        <v>69</v>
      </c>
      <c r="C18" s="435" t="s">
        <v>69</v>
      </c>
      <c r="D18" s="435" t="s">
        <v>69</v>
      </c>
      <c r="E18" s="435" t="s">
        <v>69</v>
      </c>
      <c r="F18" s="435">
        <v>4500</v>
      </c>
      <c r="G18" s="435">
        <v>48700</v>
      </c>
      <c r="H18" s="436">
        <v>9.1999999999999993</v>
      </c>
      <c r="I18" s="436">
        <v>2.8</v>
      </c>
      <c r="J18" s="435">
        <v>5300</v>
      </c>
      <c r="K18" s="435">
        <v>50800</v>
      </c>
      <c r="L18" s="436">
        <v>10.4</v>
      </c>
      <c r="M18" s="436">
        <v>3</v>
      </c>
      <c r="N18" s="435">
        <v>4300</v>
      </c>
      <c r="O18" s="435">
        <v>48000</v>
      </c>
      <c r="P18" s="436">
        <v>8.9</v>
      </c>
      <c r="Q18" s="436">
        <v>3.4</v>
      </c>
    </row>
    <row r="19" spans="1:17" s="196" customFormat="1">
      <c r="A19" s="238" t="s">
        <v>23</v>
      </c>
      <c r="B19" s="435" t="s">
        <v>69</v>
      </c>
      <c r="C19" s="435" t="s">
        <v>69</v>
      </c>
      <c r="D19" s="435" t="s">
        <v>69</v>
      </c>
      <c r="E19" s="435" t="s">
        <v>69</v>
      </c>
      <c r="F19" s="435">
        <v>6000</v>
      </c>
      <c r="G19" s="435">
        <v>54500</v>
      </c>
      <c r="H19" s="436">
        <v>10.9</v>
      </c>
      <c r="I19" s="436">
        <v>3.7</v>
      </c>
      <c r="J19" s="435">
        <v>5600</v>
      </c>
      <c r="K19" s="435">
        <v>52000</v>
      </c>
      <c r="L19" s="436">
        <v>10.7</v>
      </c>
      <c r="M19" s="436">
        <v>3.7</v>
      </c>
      <c r="N19" s="435">
        <v>5200</v>
      </c>
      <c r="O19" s="435">
        <v>54200</v>
      </c>
      <c r="P19" s="436">
        <v>9.6</v>
      </c>
      <c r="Q19" s="436">
        <v>4.2</v>
      </c>
    </row>
    <row r="20" spans="1:17" s="196" customFormat="1">
      <c r="A20" s="238" t="s">
        <v>24</v>
      </c>
      <c r="B20" s="435" t="s">
        <v>69</v>
      </c>
      <c r="C20" s="435" t="s">
        <v>69</v>
      </c>
      <c r="D20" s="435" t="s">
        <v>69</v>
      </c>
      <c r="E20" s="435" t="s">
        <v>69</v>
      </c>
      <c r="F20" s="435">
        <v>6000</v>
      </c>
      <c r="G20" s="435">
        <v>40200</v>
      </c>
      <c r="H20" s="436">
        <v>14.9</v>
      </c>
      <c r="I20" s="436">
        <v>4.0999999999999996</v>
      </c>
      <c r="J20" s="435">
        <v>7000</v>
      </c>
      <c r="K20" s="435">
        <v>45000</v>
      </c>
      <c r="L20" s="436">
        <v>15.5</v>
      </c>
      <c r="M20" s="436">
        <v>4.5</v>
      </c>
      <c r="N20" s="435">
        <v>5600</v>
      </c>
      <c r="O20" s="435">
        <v>43700</v>
      </c>
      <c r="P20" s="436">
        <v>12.8</v>
      </c>
      <c r="Q20" s="436">
        <v>5</v>
      </c>
    </row>
    <row r="21" spans="1:17" s="196" customFormat="1">
      <c r="A21" s="238" t="s">
        <v>25</v>
      </c>
      <c r="B21" s="435" t="s">
        <v>69</v>
      </c>
      <c r="C21" s="435" t="s">
        <v>69</v>
      </c>
      <c r="D21" s="435" t="s">
        <v>69</v>
      </c>
      <c r="E21" s="435" t="s">
        <v>69</v>
      </c>
      <c r="F21" s="435">
        <v>4300</v>
      </c>
      <c r="G21" s="435">
        <v>78900</v>
      </c>
      <c r="H21" s="436">
        <v>5.5</v>
      </c>
      <c r="I21" s="436">
        <v>2.6</v>
      </c>
      <c r="J21" s="435">
        <v>7400</v>
      </c>
      <c r="K21" s="435">
        <v>78500</v>
      </c>
      <c r="L21" s="436">
        <v>9.5</v>
      </c>
      <c r="M21" s="436">
        <v>3.3</v>
      </c>
      <c r="N21" s="435">
        <v>5000</v>
      </c>
      <c r="O21" s="435">
        <v>74800</v>
      </c>
      <c r="P21" s="436">
        <v>6.7</v>
      </c>
      <c r="Q21" s="436">
        <v>3.2</v>
      </c>
    </row>
    <row r="22" spans="1:17" s="196" customFormat="1">
      <c r="A22" s="238" t="s">
        <v>26</v>
      </c>
      <c r="B22" s="435" t="s">
        <v>69</v>
      </c>
      <c r="C22" s="435" t="s">
        <v>69</v>
      </c>
      <c r="D22" s="435" t="s">
        <v>69</v>
      </c>
      <c r="E22" s="435" t="s">
        <v>69</v>
      </c>
      <c r="F22" s="435">
        <v>12100</v>
      </c>
      <c r="G22" s="435">
        <v>156600</v>
      </c>
      <c r="H22" s="436">
        <v>7.7</v>
      </c>
      <c r="I22" s="436">
        <v>2.6</v>
      </c>
      <c r="J22" s="435">
        <v>18700</v>
      </c>
      <c r="K22" s="435">
        <v>174200</v>
      </c>
      <c r="L22" s="436">
        <v>10.8</v>
      </c>
      <c r="M22" s="436">
        <v>3</v>
      </c>
      <c r="N22" s="435">
        <v>11100</v>
      </c>
      <c r="O22" s="435">
        <v>172600</v>
      </c>
      <c r="P22" s="436">
        <v>6.4</v>
      </c>
      <c r="Q22" s="436">
        <v>2.5</v>
      </c>
    </row>
    <row r="23" spans="1:17" s="196" customFormat="1">
      <c r="A23" s="238" t="s">
        <v>27</v>
      </c>
      <c r="B23" s="435" t="s">
        <v>69</v>
      </c>
      <c r="C23" s="435" t="s">
        <v>69</v>
      </c>
      <c r="D23" s="435" t="s">
        <v>69</v>
      </c>
      <c r="E23" s="435" t="s">
        <v>69</v>
      </c>
      <c r="F23" s="435">
        <v>25000</v>
      </c>
      <c r="G23" s="435">
        <v>311900</v>
      </c>
      <c r="H23" s="436">
        <v>8</v>
      </c>
      <c r="I23" s="436">
        <v>2.4</v>
      </c>
      <c r="J23" s="435">
        <v>22000</v>
      </c>
      <c r="K23" s="435">
        <v>317100</v>
      </c>
      <c r="L23" s="436">
        <v>6.9</v>
      </c>
      <c r="M23" s="436">
        <v>2.4</v>
      </c>
      <c r="N23" s="435">
        <v>10500</v>
      </c>
      <c r="O23" s="435">
        <v>313200</v>
      </c>
      <c r="P23" s="436">
        <v>3.4</v>
      </c>
      <c r="Q23" s="436">
        <v>2.1</v>
      </c>
    </row>
    <row r="24" spans="1:17" s="196" customFormat="1">
      <c r="A24" s="238" t="s">
        <v>28</v>
      </c>
      <c r="B24" s="435" t="s">
        <v>69</v>
      </c>
      <c r="C24" s="435" t="s">
        <v>69</v>
      </c>
      <c r="D24" s="435" t="s">
        <v>69</v>
      </c>
      <c r="E24" s="435" t="s">
        <v>69</v>
      </c>
      <c r="F24" s="435">
        <v>10700</v>
      </c>
      <c r="G24" s="435">
        <v>111300</v>
      </c>
      <c r="H24" s="436">
        <v>9.6</v>
      </c>
      <c r="I24" s="436">
        <v>4</v>
      </c>
      <c r="J24" s="435">
        <v>11100</v>
      </c>
      <c r="K24" s="435">
        <v>107700</v>
      </c>
      <c r="L24" s="436">
        <v>10.3</v>
      </c>
      <c r="M24" s="436">
        <v>4.4000000000000004</v>
      </c>
      <c r="N24" s="435">
        <v>11600</v>
      </c>
      <c r="O24" s="435">
        <v>121600</v>
      </c>
      <c r="P24" s="436">
        <v>9.6</v>
      </c>
      <c r="Q24" s="436">
        <v>4.4000000000000004</v>
      </c>
    </row>
    <row r="25" spans="1:17" s="196" customFormat="1">
      <c r="A25" s="238" t="s">
        <v>29</v>
      </c>
      <c r="B25" s="435" t="s">
        <v>69</v>
      </c>
      <c r="C25" s="435" t="s">
        <v>69</v>
      </c>
      <c r="D25" s="435" t="s">
        <v>69</v>
      </c>
      <c r="E25" s="435" t="s">
        <v>69</v>
      </c>
      <c r="F25" s="435">
        <v>2000</v>
      </c>
      <c r="G25" s="435">
        <v>36800</v>
      </c>
      <c r="H25" s="436">
        <v>5.3</v>
      </c>
      <c r="I25" s="436">
        <v>2.6</v>
      </c>
      <c r="J25" s="435">
        <v>2300</v>
      </c>
      <c r="K25" s="435">
        <v>37000</v>
      </c>
      <c r="L25" s="436">
        <v>6.1</v>
      </c>
      <c r="M25" s="436">
        <v>3</v>
      </c>
      <c r="N25" s="435">
        <v>2400</v>
      </c>
      <c r="O25" s="435">
        <v>33800</v>
      </c>
      <c r="P25" s="436">
        <v>7</v>
      </c>
      <c r="Q25" s="436">
        <v>4.3</v>
      </c>
    </row>
    <row r="26" spans="1:17" s="196" customFormat="1">
      <c r="A26" s="238" t="s">
        <v>30</v>
      </c>
      <c r="B26" s="435" t="s">
        <v>69</v>
      </c>
      <c r="C26" s="435" t="s">
        <v>69</v>
      </c>
      <c r="D26" s="435" t="s">
        <v>69</v>
      </c>
      <c r="E26" s="435" t="s">
        <v>69</v>
      </c>
      <c r="F26" s="435">
        <v>4400</v>
      </c>
      <c r="G26" s="435">
        <v>48200</v>
      </c>
      <c r="H26" s="436">
        <v>9.1999999999999993</v>
      </c>
      <c r="I26" s="436">
        <v>3.5</v>
      </c>
      <c r="J26" s="435">
        <v>4800</v>
      </c>
      <c r="K26" s="435">
        <v>47200</v>
      </c>
      <c r="L26" s="436">
        <v>10.199999999999999</v>
      </c>
      <c r="M26" s="436">
        <v>4.0999999999999996</v>
      </c>
      <c r="N26" s="435">
        <v>3200</v>
      </c>
      <c r="O26" s="435">
        <v>50900</v>
      </c>
      <c r="P26" s="436">
        <v>6.3</v>
      </c>
      <c r="Q26" s="436">
        <v>3.8</v>
      </c>
    </row>
    <row r="27" spans="1:17" s="196" customFormat="1">
      <c r="A27" s="238" t="s">
        <v>31</v>
      </c>
      <c r="B27" s="435" t="s">
        <v>69</v>
      </c>
      <c r="C27" s="435" t="s">
        <v>69</v>
      </c>
      <c r="D27" s="435" t="s">
        <v>69</v>
      </c>
      <c r="E27" s="435" t="s">
        <v>69</v>
      </c>
      <c r="F27" s="435">
        <v>3700</v>
      </c>
      <c r="G27" s="435">
        <v>45300</v>
      </c>
      <c r="H27" s="436">
        <v>8.1999999999999993</v>
      </c>
      <c r="I27" s="436">
        <v>3.2</v>
      </c>
      <c r="J27" s="435">
        <v>5900</v>
      </c>
      <c r="K27" s="435">
        <v>47400</v>
      </c>
      <c r="L27" s="436">
        <v>12.5</v>
      </c>
      <c r="M27" s="436">
        <v>3.8</v>
      </c>
      <c r="N27" s="435">
        <v>3900</v>
      </c>
      <c r="O27" s="435">
        <v>45200</v>
      </c>
      <c r="P27" s="436">
        <v>8.6999999999999993</v>
      </c>
      <c r="Q27" s="436">
        <v>4</v>
      </c>
    </row>
    <row r="28" spans="1:17" s="196" customFormat="1">
      <c r="A28" s="238" t="s">
        <v>32</v>
      </c>
      <c r="B28" s="435" t="s">
        <v>69</v>
      </c>
      <c r="C28" s="435" t="s">
        <v>69</v>
      </c>
      <c r="D28" s="435" t="s">
        <v>69</v>
      </c>
      <c r="E28" s="435" t="s">
        <v>69</v>
      </c>
      <c r="F28" s="435">
        <v>900</v>
      </c>
      <c r="G28" s="435">
        <v>13100</v>
      </c>
      <c r="H28" s="436">
        <v>6.9</v>
      </c>
      <c r="I28" s="436">
        <v>3.9</v>
      </c>
      <c r="J28" s="435">
        <v>900</v>
      </c>
      <c r="K28" s="435">
        <v>13900</v>
      </c>
      <c r="L28" s="436">
        <v>6.3</v>
      </c>
      <c r="M28" s="436">
        <v>4.0999999999999996</v>
      </c>
      <c r="N28" s="435" t="s">
        <v>707</v>
      </c>
      <c r="O28" s="435">
        <v>12700</v>
      </c>
      <c r="P28" s="435" t="s">
        <v>707</v>
      </c>
      <c r="Q28" s="435" t="s">
        <v>707</v>
      </c>
    </row>
    <row r="29" spans="1:17" s="196" customFormat="1">
      <c r="A29" s="238" t="s">
        <v>33</v>
      </c>
      <c r="B29" s="435" t="s">
        <v>69</v>
      </c>
      <c r="C29" s="435" t="s">
        <v>69</v>
      </c>
      <c r="D29" s="435" t="s">
        <v>69</v>
      </c>
      <c r="E29" s="435" t="s">
        <v>69</v>
      </c>
      <c r="F29" s="435">
        <v>3300</v>
      </c>
      <c r="G29" s="435">
        <v>52900</v>
      </c>
      <c r="H29" s="436">
        <v>6.2</v>
      </c>
      <c r="I29" s="436">
        <v>2.8</v>
      </c>
      <c r="J29" s="435">
        <v>3100</v>
      </c>
      <c r="K29" s="435">
        <v>60200</v>
      </c>
      <c r="L29" s="436">
        <v>5.2</v>
      </c>
      <c r="M29" s="436">
        <v>2.5</v>
      </c>
      <c r="N29" s="435">
        <v>4400</v>
      </c>
      <c r="O29" s="435">
        <v>58300</v>
      </c>
      <c r="P29" s="436">
        <v>7.5</v>
      </c>
      <c r="Q29" s="436">
        <v>3.8</v>
      </c>
    </row>
    <row r="30" spans="1:17" s="196" customFormat="1">
      <c r="A30" s="238" t="s">
        <v>34</v>
      </c>
      <c r="B30" s="435" t="s">
        <v>69</v>
      </c>
      <c r="C30" s="435" t="s">
        <v>69</v>
      </c>
      <c r="D30" s="435" t="s">
        <v>69</v>
      </c>
      <c r="E30" s="435" t="s">
        <v>69</v>
      </c>
      <c r="F30" s="435">
        <v>8600</v>
      </c>
      <c r="G30" s="435">
        <v>153900</v>
      </c>
      <c r="H30" s="436">
        <v>5.6</v>
      </c>
      <c r="I30" s="436">
        <v>2.5</v>
      </c>
      <c r="J30" s="435">
        <v>9700</v>
      </c>
      <c r="K30" s="435">
        <v>152500</v>
      </c>
      <c r="L30" s="436">
        <v>6.3</v>
      </c>
      <c r="M30" s="436">
        <v>2.9</v>
      </c>
      <c r="N30" s="435">
        <v>11300</v>
      </c>
      <c r="O30" s="435">
        <v>160300</v>
      </c>
      <c r="P30" s="436">
        <v>7</v>
      </c>
      <c r="Q30" s="436">
        <v>3.5</v>
      </c>
    </row>
    <row r="31" spans="1:17" s="196" customFormat="1">
      <c r="A31" s="238" t="s">
        <v>35</v>
      </c>
      <c r="B31" s="435" t="s">
        <v>69</v>
      </c>
      <c r="C31" s="435" t="s">
        <v>69</v>
      </c>
      <c r="D31" s="435" t="s">
        <v>69</v>
      </c>
      <c r="E31" s="435" t="s">
        <v>69</v>
      </c>
      <c r="F31" s="435" t="s">
        <v>707</v>
      </c>
      <c r="G31" s="435">
        <v>10300</v>
      </c>
      <c r="H31" s="435" t="s">
        <v>707</v>
      </c>
      <c r="I31" s="435" t="s">
        <v>707</v>
      </c>
      <c r="J31" s="435" t="s">
        <v>707</v>
      </c>
      <c r="K31" s="435">
        <v>11500</v>
      </c>
      <c r="L31" s="435" t="s">
        <v>707</v>
      </c>
      <c r="M31" s="435" t="s">
        <v>707</v>
      </c>
      <c r="N31" s="435" t="s">
        <v>707</v>
      </c>
      <c r="O31" s="435">
        <v>14300</v>
      </c>
      <c r="P31" s="435" t="s">
        <v>707</v>
      </c>
      <c r="Q31" s="435" t="s">
        <v>707</v>
      </c>
    </row>
    <row r="32" spans="1:17" s="196" customFormat="1">
      <c r="A32" s="238" t="s">
        <v>36</v>
      </c>
      <c r="B32" s="435" t="s">
        <v>69</v>
      </c>
      <c r="C32" s="435" t="s">
        <v>69</v>
      </c>
      <c r="D32" s="435" t="s">
        <v>69</v>
      </c>
      <c r="E32" s="435" t="s">
        <v>69</v>
      </c>
      <c r="F32" s="435">
        <v>9500</v>
      </c>
      <c r="G32" s="435">
        <v>74300</v>
      </c>
      <c r="H32" s="436">
        <v>12.8</v>
      </c>
      <c r="I32" s="436">
        <v>3.3</v>
      </c>
      <c r="J32" s="435">
        <v>7100</v>
      </c>
      <c r="K32" s="435">
        <v>70300</v>
      </c>
      <c r="L32" s="436">
        <v>10.1</v>
      </c>
      <c r="M32" s="436">
        <v>3.3</v>
      </c>
      <c r="N32" s="435">
        <v>6700</v>
      </c>
      <c r="O32" s="435">
        <v>74300</v>
      </c>
      <c r="P32" s="436">
        <v>9</v>
      </c>
      <c r="Q32" s="436">
        <v>3.6</v>
      </c>
    </row>
    <row r="33" spans="1:17" s="196" customFormat="1">
      <c r="A33" s="238" t="s">
        <v>37</v>
      </c>
      <c r="B33" s="435" t="s">
        <v>69</v>
      </c>
      <c r="C33" s="435" t="s">
        <v>69</v>
      </c>
      <c r="D33" s="435" t="s">
        <v>69</v>
      </c>
      <c r="E33" s="435" t="s">
        <v>69</v>
      </c>
      <c r="F33" s="435">
        <v>9300</v>
      </c>
      <c r="G33" s="435">
        <v>86900</v>
      </c>
      <c r="H33" s="436">
        <v>10.8</v>
      </c>
      <c r="I33" s="436">
        <v>3.4</v>
      </c>
      <c r="J33" s="435">
        <v>6300</v>
      </c>
      <c r="K33" s="435">
        <v>83900</v>
      </c>
      <c r="L33" s="436">
        <v>7.6</v>
      </c>
      <c r="M33" s="436">
        <v>3.2</v>
      </c>
      <c r="N33" s="435">
        <v>5900</v>
      </c>
      <c r="O33" s="435">
        <v>89100</v>
      </c>
      <c r="P33" s="436">
        <v>6.6</v>
      </c>
      <c r="Q33" s="436">
        <v>3.3</v>
      </c>
    </row>
    <row r="34" spans="1:17" s="196" customFormat="1">
      <c r="A34" s="238" t="s">
        <v>38</v>
      </c>
      <c r="B34" s="435" t="s">
        <v>69</v>
      </c>
      <c r="C34" s="435" t="s">
        <v>69</v>
      </c>
      <c r="D34" s="435" t="s">
        <v>69</v>
      </c>
      <c r="E34" s="435" t="s">
        <v>69</v>
      </c>
      <c r="F34" s="435">
        <v>5600</v>
      </c>
      <c r="G34" s="435">
        <v>47800</v>
      </c>
      <c r="H34" s="436">
        <v>11.7</v>
      </c>
      <c r="I34" s="436">
        <v>3.8</v>
      </c>
      <c r="J34" s="435">
        <v>6300</v>
      </c>
      <c r="K34" s="435">
        <v>56000</v>
      </c>
      <c r="L34" s="436">
        <v>11.3</v>
      </c>
      <c r="M34" s="436">
        <v>3.4</v>
      </c>
      <c r="N34" s="435">
        <v>4700</v>
      </c>
      <c r="O34" s="435">
        <v>51500</v>
      </c>
      <c r="P34" s="436">
        <v>9.1</v>
      </c>
      <c r="Q34" s="436">
        <v>4.0999999999999996</v>
      </c>
    </row>
    <row r="35" spans="1:17" s="196" customFormat="1">
      <c r="A35" s="238" t="s">
        <v>39</v>
      </c>
      <c r="B35" s="435" t="s">
        <v>69</v>
      </c>
      <c r="C35" s="435" t="s">
        <v>69</v>
      </c>
      <c r="D35" s="435" t="s">
        <v>69</v>
      </c>
      <c r="E35" s="435" t="s">
        <v>69</v>
      </c>
      <c r="F35" s="435">
        <v>2100</v>
      </c>
      <c r="G35" s="435">
        <v>11600</v>
      </c>
      <c r="H35" s="436">
        <v>18.2</v>
      </c>
      <c r="I35" s="435" t="s">
        <v>10</v>
      </c>
      <c r="J35" s="435">
        <v>1200</v>
      </c>
      <c r="K35" s="435">
        <v>12800</v>
      </c>
      <c r="L35" s="436">
        <v>9.3000000000000007</v>
      </c>
      <c r="M35" s="435" t="s">
        <v>10</v>
      </c>
      <c r="N35" s="435" t="s">
        <v>707</v>
      </c>
      <c r="O35" s="435">
        <v>13400</v>
      </c>
      <c r="P35" s="435" t="s">
        <v>707</v>
      </c>
      <c r="Q35" s="435" t="s">
        <v>707</v>
      </c>
    </row>
    <row r="36" spans="1:17" s="196" customFormat="1">
      <c r="A36" s="238" t="s">
        <v>40</v>
      </c>
      <c r="B36" s="435" t="s">
        <v>69</v>
      </c>
      <c r="C36" s="435" t="s">
        <v>69</v>
      </c>
      <c r="D36" s="435" t="s">
        <v>69</v>
      </c>
      <c r="E36" s="435" t="s">
        <v>69</v>
      </c>
      <c r="F36" s="435">
        <v>3100</v>
      </c>
      <c r="G36" s="435">
        <v>47400</v>
      </c>
      <c r="H36" s="436">
        <v>6.6</v>
      </c>
      <c r="I36" s="436">
        <v>2.9</v>
      </c>
      <c r="J36" s="435">
        <v>4500</v>
      </c>
      <c r="K36" s="435">
        <v>45400</v>
      </c>
      <c r="L36" s="436">
        <v>10</v>
      </c>
      <c r="M36" s="436">
        <v>3.7</v>
      </c>
      <c r="N36" s="435">
        <v>4100</v>
      </c>
      <c r="O36" s="435">
        <v>44700</v>
      </c>
      <c r="P36" s="436">
        <v>9.1</v>
      </c>
      <c r="Q36" s="436">
        <v>4.4000000000000004</v>
      </c>
    </row>
    <row r="37" spans="1:17" s="196" customFormat="1">
      <c r="A37" s="238" t="s">
        <v>41</v>
      </c>
      <c r="B37" s="435" t="s">
        <v>69</v>
      </c>
      <c r="C37" s="435" t="s">
        <v>69</v>
      </c>
      <c r="D37" s="435" t="s">
        <v>69</v>
      </c>
      <c r="E37" s="435" t="s">
        <v>69</v>
      </c>
      <c r="F37" s="435">
        <v>12300</v>
      </c>
      <c r="G37" s="435">
        <v>158800</v>
      </c>
      <c r="H37" s="436">
        <v>7.7</v>
      </c>
      <c r="I37" s="436">
        <v>2.7</v>
      </c>
      <c r="J37" s="435">
        <v>15900</v>
      </c>
      <c r="K37" s="435">
        <v>161200</v>
      </c>
      <c r="L37" s="436">
        <v>9.9</v>
      </c>
      <c r="M37" s="436">
        <v>3.1</v>
      </c>
      <c r="N37" s="435">
        <v>12600</v>
      </c>
      <c r="O37" s="435">
        <v>156800</v>
      </c>
      <c r="P37" s="436">
        <v>8.1</v>
      </c>
      <c r="Q37" s="436">
        <v>3.5</v>
      </c>
    </row>
    <row r="38" spans="1:17" s="196" customFormat="1">
      <c r="A38" s="238" t="s">
        <v>42</v>
      </c>
      <c r="B38" s="435" t="s">
        <v>69</v>
      </c>
      <c r="C38" s="435" t="s">
        <v>69</v>
      </c>
      <c r="D38" s="435" t="s">
        <v>69</v>
      </c>
      <c r="E38" s="435" t="s">
        <v>69</v>
      </c>
      <c r="F38" s="435">
        <v>4800</v>
      </c>
      <c r="G38" s="435">
        <v>45200</v>
      </c>
      <c r="H38" s="436">
        <v>10.6</v>
      </c>
      <c r="I38" s="436">
        <v>3.6</v>
      </c>
      <c r="J38" s="435">
        <v>6200</v>
      </c>
      <c r="K38" s="435">
        <v>46100</v>
      </c>
      <c r="L38" s="436">
        <v>13.4</v>
      </c>
      <c r="M38" s="436">
        <v>3.5</v>
      </c>
      <c r="N38" s="435">
        <v>5800</v>
      </c>
      <c r="O38" s="435">
        <v>49200</v>
      </c>
      <c r="P38" s="436">
        <v>11.8</v>
      </c>
      <c r="Q38" s="436">
        <v>3.7</v>
      </c>
    </row>
    <row r="39" spans="1:17" s="196" customFormat="1">
      <c r="A39" s="238" t="s">
        <v>43</v>
      </c>
      <c r="B39" s="435" t="s">
        <v>69</v>
      </c>
      <c r="C39" s="435" t="s">
        <v>69</v>
      </c>
      <c r="D39" s="435" t="s">
        <v>69</v>
      </c>
      <c r="E39" s="435" t="s">
        <v>69</v>
      </c>
      <c r="F39" s="435">
        <v>3300</v>
      </c>
      <c r="G39" s="435">
        <v>40600</v>
      </c>
      <c r="H39" s="436">
        <v>8.1</v>
      </c>
      <c r="I39" s="436">
        <v>3</v>
      </c>
      <c r="J39" s="435">
        <v>3500</v>
      </c>
      <c r="K39" s="435">
        <v>44200</v>
      </c>
      <c r="L39" s="436">
        <v>8</v>
      </c>
      <c r="M39" s="436">
        <v>3</v>
      </c>
      <c r="N39" s="435">
        <v>4400</v>
      </c>
      <c r="O39" s="435">
        <v>41200</v>
      </c>
      <c r="P39" s="436">
        <v>10.6</v>
      </c>
      <c r="Q39" s="436">
        <v>3.8</v>
      </c>
    </row>
    <row r="40" spans="1:17" s="196" customFormat="1">
      <c r="A40" s="238" t="s">
        <v>44</v>
      </c>
      <c r="B40" s="435" t="s">
        <v>69</v>
      </c>
      <c r="C40" s="435" t="s">
        <v>69</v>
      </c>
      <c r="D40" s="435" t="s">
        <v>69</v>
      </c>
      <c r="E40" s="435" t="s">
        <v>69</v>
      </c>
      <c r="F40" s="435">
        <v>8500</v>
      </c>
      <c r="G40" s="435">
        <v>88800</v>
      </c>
      <c r="H40" s="436">
        <v>9.5</v>
      </c>
      <c r="I40" s="436">
        <v>3.4</v>
      </c>
      <c r="J40" s="435">
        <v>6100</v>
      </c>
      <c r="K40" s="435">
        <v>91000</v>
      </c>
      <c r="L40" s="436">
        <v>6.7</v>
      </c>
      <c r="M40" s="436">
        <v>2.8</v>
      </c>
      <c r="N40" s="435">
        <v>7500</v>
      </c>
      <c r="O40" s="435">
        <v>90100</v>
      </c>
      <c r="P40" s="436">
        <v>8.3000000000000007</v>
      </c>
      <c r="Q40" s="436">
        <v>3.6</v>
      </c>
    </row>
    <row r="41" spans="1:17" s="196" customFormat="1">
      <c r="A41" s="238" t="s">
        <v>45</v>
      </c>
      <c r="B41" s="435" t="s">
        <v>69</v>
      </c>
      <c r="C41" s="435" t="s">
        <v>69</v>
      </c>
      <c r="D41" s="435" t="s">
        <v>69</v>
      </c>
      <c r="E41" s="435" t="s">
        <v>69</v>
      </c>
      <c r="F41" s="435">
        <v>231100</v>
      </c>
      <c r="G41" s="435">
        <v>2601800</v>
      </c>
      <c r="H41" s="436">
        <v>8.9</v>
      </c>
      <c r="I41" s="436">
        <v>0.6</v>
      </c>
      <c r="J41" s="435">
        <v>232500</v>
      </c>
      <c r="K41" s="435">
        <v>2643900</v>
      </c>
      <c r="L41" s="436">
        <v>8.8000000000000007</v>
      </c>
      <c r="M41" s="436">
        <v>0.6</v>
      </c>
      <c r="N41" s="435">
        <v>204500</v>
      </c>
      <c r="O41" s="435">
        <v>2672600</v>
      </c>
      <c r="P41" s="436">
        <v>7.7</v>
      </c>
      <c r="Q41" s="436">
        <v>0.7</v>
      </c>
    </row>
    <row r="42" spans="1:17" s="196" customFormat="1">
      <c r="A42" s="238" t="s">
        <v>46</v>
      </c>
      <c r="B42" s="435" t="s">
        <v>69</v>
      </c>
      <c r="C42" s="435" t="s">
        <v>69</v>
      </c>
      <c r="D42" s="435" t="s">
        <v>69</v>
      </c>
      <c r="E42" s="435" t="s">
        <v>69</v>
      </c>
      <c r="F42" s="435">
        <v>3586700</v>
      </c>
      <c r="G42" s="435">
        <v>32172900</v>
      </c>
      <c r="H42" s="436">
        <v>11.1</v>
      </c>
      <c r="I42" s="436">
        <v>0.2</v>
      </c>
      <c r="J42" s="435">
        <v>3551100</v>
      </c>
      <c r="K42" s="435">
        <v>32680900</v>
      </c>
      <c r="L42" s="436">
        <v>10.9</v>
      </c>
      <c r="M42" s="436">
        <v>0.2</v>
      </c>
      <c r="N42" s="435">
        <v>3518900</v>
      </c>
      <c r="O42" s="435">
        <v>32965300</v>
      </c>
      <c r="P42" s="436">
        <v>10.7</v>
      </c>
      <c r="Q42" s="436">
        <v>0.2</v>
      </c>
    </row>
    <row r="43" spans="1:17" s="196" customFormat="1">
      <c r="A43" s="198" t="s">
        <v>47</v>
      </c>
      <c r="B43" s="435" t="s">
        <v>69</v>
      </c>
      <c r="C43" s="435" t="s">
        <v>69</v>
      </c>
      <c r="D43" s="435" t="s">
        <v>69</v>
      </c>
      <c r="E43" s="435" t="s">
        <v>69</v>
      </c>
      <c r="F43" s="435">
        <v>70900</v>
      </c>
      <c r="G43" s="435">
        <v>877900</v>
      </c>
      <c r="H43" s="436">
        <v>8.1</v>
      </c>
      <c r="I43" s="436">
        <v>1</v>
      </c>
      <c r="J43" s="435">
        <v>71900</v>
      </c>
      <c r="K43" s="435">
        <v>891600</v>
      </c>
      <c r="L43" s="436">
        <v>8.1</v>
      </c>
      <c r="M43" s="436">
        <v>1.1000000000000001</v>
      </c>
      <c r="N43" s="435">
        <v>57000</v>
      </c>
      <c r="O43" s="435">
        <v>886000</v>
      </c>
      <c r="P43" s="436">
        <v>6.4</v>
      </c>
      <c r="Q43" s="436">
        <v>1.1000000000000001</v>
      </c>
    </row>
    <row r="44" spans="1:17">
      <c r="A44" s="6" t="s">
        <v>543</v>
      </c>
      <c r="B44" s="385" cm="1">
        <f t="array" ref="B44">SUM(SUMIFS($B$9:$B$40,$A$9:$A$40,{"Na h-Eileanan Siar","Argyll and Bute","Shetland Islands","Highland","Orkney Islands","Scottish Borders","Dumfries and Galloway","Aberdeenshire"}))</f>
        <v>0</v>
      </c>
      <c r="C44" s="385" cm="1">
        <f t="array" ref="C44">SUM(SUMIFS($C$9:$C$40,$A$9:$A$40,{"Na h-Eileanan Siar","Argyll and Bute","Shetland Islands","Highland","Orkney Islands","Scottish Borders","Dumfries and Galloway","Aberdeenshire"}))</f>
        <v>0</v>
      </c>
      <c r="D44" s="389" t="s">
        <v>69</v>
      </c>
      <c r="E44" s="4"/>
      <c r="F44" s="385" cm="1">
        <f t="array" ref="F44">SUM(SUMIFS(F$9:F$40,$A$9:$A$40,{"Na h-Eileanan Siar","Argyll and Bute","Shetland Islands","Highland","Orkney Islands","Scottish Borders","Dumfries and Galloway","Aberdeenshire"}))</f>
        <v>39900</v>
      </c>
      <c r="G44" s="385" cm="1">
        <f t="array" ref="G44">SUM(SUMIFS(G$9:G$40,$A$9:$A$40,{"Na h-Eileanan Siar","Argyll and Bute","Shetland Islands","Highland","Orkney Islands","Scottish Borders","Dumfries and Galloway","Aberdeenshire"}))</f>
        <v>422500</v>
      </c>
      <c r="H44" s="390">
        <f>SUM(F44/G44)*100</f>
        <v>9.4437869822485219</v>
      </c>
      <c r="I44" s="4"/>
      <c r="J44" s="385">
        <f>SUM(SUMIFS(J$9:J$40,$A$9:$A$40,{"Na h-Eileanan Siar","Argyll and Bute","Shetland Islands","Highland","Orkney Islands","Scottish Borders","Dumfries and Galloway","Aberdeenshire"}))</f>
        <v>42300</v>
      </c>
      <c r="K44" s="385">
        <f>SUM(SUMIFS(K$9:K$40,$A$9:$A$40,{"Na h-Eileanan Siar","Argyll and Bute","Shetland Islands","Highland","Orkney Islands","Scottish Borders","Dumfries and Galloway","Aberdeenshire"}))</f>
        <v>438000</v>
      </c>
      <c r="L44" s="390">
        <f>SUM(J44/K44)*100</f>
        <v>9.6575342465753433</v>
      </c>
      <c r="M44" s="4"/>
      <c r="N44" s="385">
        <f>SUM(SUMIFS(N$9:N$40,$A$9:$A$40,{"Na h-Eileanan Siar","Argyll and Bute","Shetland Islands","Highland","Orkney Islands","Scottish Borders","Dumfries and Galloway","Aberdeenshire"}))</f>
        <v>39600</v>
      </c>
      <c r="O44" s="385">
        <f>SUM(SUMIFS(O$9:O$40,$A$9:$A$40,{"Na h-Eileanan Siar","Argyll and Bute","Shetland Islands","Highland","Orkney Islands","Scottish Borders","Dumfries and Galloway","Aberdeenshire"}))</f>
        <v>460200</v>
      </c>
      <c r="P44" s="390">
        <f>SUM(N44/O44)*100</f>
        <v>8.604954367666231</v>
      </c>
      <c r="Q44" s="4"/>
    </row>
    <row r="45" spans="1:17">
      <c r="A45" s="6" t="s">
        <v>544</v>
      </c>
      <c r="B45" s="385" cm="1">
        <f t="array" ref="B45">SUM(SUMIFS($B$9:$B$40,$A$9:$A$40,{"Perth and Kinross","Stirling","Moray","South Ayrshire","East Ayrshire","East Lothian","North Ayrshire","Fife"}))</f>
        <v>0</v>
      </c>
      <c r="C45" s="385" cm="1">
        <f t="array" ref="C45">SUM(SUMIFS($C$9:$C$40,$A$9:$A$40,{"Perth and Kinross","Stirling","Moray","South Ayrshire","East Ayrshire","East Lothian","North Ayrshire","Fife"}))</f>
        <v>0</v>
      </c>
      <c r="D45" s="389" t="s">
        <v>69</v>
      </c>
      <c r="E45" s="4"/>
      <c r="F45" s="385" cm="1">
        <f t="array" ref="F45">SUM(SUMIFS(F$9:F$40,$A$9:$A$40,{"Perth and Kinross","Stirling","Moray","South Ayrshire","East Ayrshire","East Lothian","North Ayrshire","Fife"}))</f>
        <v>47500</v>
      </c>
      <c r="G45" s="385" cm="1">
        <f t="array" ref="G45">SUM(SUMIFS(G$9:G$40,$A$9:$A$40,{"Perth and Kinross","Stirling","Moray","South Ayrshire","East Ayrshire","East Lothian","North Ayrshire","Fife"}))</f>
        <v>533800</v>
      </c>
      <c r="H45" s="390">
        <f>SUM(F45/G45)*100</f>
        <v>8.8984638441363817</v>
      </c>
      <c r="I45" s="4"/>
      <c r="J45" s="385">
        <f>SUM(SUMIFS(J$9:J$40,$A$9:$A$40,{"Perth and Kinross","Stirling","Moray","South Ayrshire","East Ayrshire","East Lothian","North Ayrshire","Fife"}))</f>
        <v>54500</v>
      </c>
      <c r="K45" s="385">
        <f>SUM(SUMIFS(K$9:K$40,$A$9:$A$40,{"Perth and Kinross","Stirling","Moray","South Ayrshire","East Ayrshire","East Lothian","North Ayrshire","Fife"}))</f>
        <v>550100</v>
      </c>
      <c r="L45" s="390">
        <f>SUM(J45/K45)*100</f>
        <v>9.9072895837120516</v>
      </c>
      <c r="M45" s="4"/>
      <c r="N45" s="385">
        <f>SUM(SUMIFS(N$9:N$40,$A$9:$A$40,{"Perth and Kinross","Stirling","Moray","South Ayrshire","East Ayrshire","East Lothian","North Ayrshire","Fife"}))</f>
        <v>45500</v>
      </c>
      <c r="O45" s="385">
        <f>SUM(SUMIFS(O$9:O$40,$A$9:$A$40,{"Perth and Kinross","Stirling","Moray","South Ayrshire","East Ayrshire","East Lothian","North Ayrshire","Fife"}))</f>
        <v>554100</v>
      </c>
      <c r="P45" s="390">
        <f>SUM(N45/O45)*100</f>
        <v>8.2115141671178495</v>
      </c>
      <c r="Q45" s="4"/>
    </row>
    <row r="46" spans="1:17">
      <c r="A46" s="6" t="s">
        <v>545</v>
      </c>
      <c r="B46" s="385" cm="1">
        <f t="array" ref="B46">SUM(SUMIFS($B$9:$B$40,$A$9:$A$40,{"Angus","Clackmannanshire","Midlothian","South Lanarkshire","Inverclyde","Renfrewshire","West Lothian","East Renfrewshire"}))</f>
        <v>0</v>
      </c>
      <c r="C46" s="385" cm="1">
        <f t="array" ref="C46">SUM(SUMIFS($C$9:$C$40,$A$9:$A$40,{"Angus","Clackmannanshire","Midlothian","South Lanarkshire","Inverclyde","Renfrewshire","West Lothian","East Renfrewshire"}))</f>
        <v>0</v>
      </c>
      <c r="D46" s="389" t="s">
        <v>69</v>
      </c>
      <c r="E46" s="4"/>
      <c r="F46" s="385" cm="1">
        <f t="array" ref="F46">SUM(SUMIFS(F$9:F$40,$A$9:$A$40,{"Angus","Clackmannanshire","Midlothian","South Lanarkshire","Inverclyde","Renfrewshire","West Lothian","East Renfrewshire"}))</f>
        <v>51100</v>
      </c>
      <c r="G46" s="385" cm="1">
        <f t="array" ref="G46">SUM(SUMIFS(G$9:G$40,$A$9:$A$40,{"Angus","Clackmannanshire","Midlothian","South Lanarkshire","Inverclyde","Renfrewshire","West Lothian","East Renfrewshire"}))</f>
        <v>536400</v>
      </c>
      <c r="H46" s="390">
        <f>SUM(F46/G46)*100</f>
        <v>9.5264727815063388</v>
      </c>
      <c r="I46" s="4"/>
      <c r="J46" s="385">
        <f>SUM(SUMIFS(J$9:J$40,$A$9:$A$40,{"Angus","Clackmannanshire","Midlothian","South Lanarkshire","Inverclyde","Renfrewshire","West Lothian","East Renfrewshire"}))</f>
        <v>48500</v>
      </c>
      <c r="K46" s="385">
        <f>SUM(SUMIFS(K$9:K$40,$A$9:$A$40,{"Angus","Clackmannanshire","Midlothian","South Lanarkshire","Inverclyde","Renfrewshire","West Lothian","East Renfrewshire"}))</f>
        <v>540700</v>
      </c>
      <c r="L46" s="390">
        <f>SUM(J46/K46)*100</f>
        <v>8.9698538931015364</v>
      </c>
      <c r="M46" s="4"/>
      <c r="N46" s="385">
        <f>SUM(SUMIFS(N$9:N$40,$A$9:$A$40,{"Angus","Clackmannanshire","Midlothian","South Lanarkshire","Inverclyde","Renfrewshire","West Lothian","East Renfrewshire"}))</f>
        <v>43100</v>
      </c>
      <c r="O46" s="385">
        <f>SUM(SUMIFS(O$9:O$40,$A$9:$A$40,{"Angus","Clackmannanshire","Midlothian","South Lanarkshire","Inverclyde","Renfrewshire","West Lothian","East Renfrewshire"}))</f>
        <v>539200</v>
      </c>
      <c r="P46" s="390">
        <f>SUM(N46/O46)*100</f>
        <v>7.9933234421364991</v>
      </c>
      <c r="Q46" s="4"/>
    </row>
    <row r="47" spans="1:17">
      <c r="A47" s="6" t="s">
        <v>546</v>
      </c>
      <c r="B47" s="385" cm="1">
        <f t="array" ref="B47">SUM(SUMIFS($B$9:$B$40,$A$9:$A$40,{"North Lanarkshire","Falkirk","East Dunbartonshire","Aberdeen City","Edinburgh, City of","West Dunbartonshire","Dundee City","Glasgow City"}))</f>
        <v>0</v>
      </c>
      <c r="C47" s="385" cm="1">
        <f t="array" ref="C47">SUM(SUMIFS($C$9:$C$40,$A$9:$A$40,{"North Lanarkshire","Falkirk","East Dunbartonshire","Aberdeen City","Edinburgh, City of","West Dunbartonshire","Dundee City","Glasgow City"}))</f>
        <v>0</v>
      </c>
      <c r="D47" s="389" t="s">
        <v>69</v>
      </c>
      <c r="E47" s="4"/>
      <c r="F47" s="385" cm="1">
        <f t="array" ref="F47">SUM(SUMIFS(F$9:F$40,$A$9:$A$40,{"North Lanarkshire","Falkirk","East Dunbartonshire","Aberdeen City","Edinburgh, City of","West Dunbartonshire","Dundee City","Glasgow City"}))</f>
        <v>61100</v>
      </c>
      <c r="G47" s="385" cm="1">
        <f t="array" ref="G47">SUM(SUMIFS(G$9:G$40,$A$9:$A$40,{"North Lanarkshire","Falkirk","East Dunbartonshire","Aberdeen City","Edinburgh, City of","West Dunbartonshire","Dundee City","Glasgow City"}))</f>
        <v>827100</v>
      </c>
      <c r="H47" s="390">
        <f>SUM(F47/G47)*100</f>
        <v>7.3872566799661463</v>
      </c>
      <c r="I47" s="4"/>
      <c r="J47" s="385">
        <f>SUM(SUMIFS(J$9:J$40,$A$9:$A$40,{"North Lanarkshire","Falkirk","East Dunbartonshire","Aberdeen City","Edinburgh, City of","West Dunbartonshire","Dundee City","Glasgow City"}))</f>
        <v>60900</v>
      </c>
      <c r="K47" s="385">
        <f>SUM(SUMIFS(K$9:K$40,$A$9:$A$40,{"North Lanarkshire","Falkirk","East Dunbartonshire","Aberdeen City","Edinburgh, City of","West Dunbartonshire","Dundee City","Glasgow City"}))</f>
        <v>826500</v>
      </c>
      <c r="L47" s="390">
        <f>SUM(J47/K47)*100</f>
        <v>7.3684210526315779</v>
      </c>
      <c r="M47" s="4"/>
      <c r="N47" s="385">
        <f>SUM(SUMIFS(N$9:N$40,$A$9:$A$40,{"North Lanarkshire","Falkirk","East Dunbartonshire","Aberdeen City","Edinburgh, City of","West Dunbartonshire","Dundee City","Glasgow City"}))</f>
        <v>46300</v>
      </c>
      <c r="O47" s="385">
        <f>SUM(SUMIFS(O$9:O$40,$A$9:$A$40,{"North Lanarkshire","Falkirk","East Dunbartonshire","Aberdeen City","Edinburgh, City of","West Dunbartonshire","Dundee City","Glasgow City"}))</f>
        <v>819800</v>
      </c>
      <c r="P47" s="390">
        <f>SUM(N47/O47)*100</f>
        <v>5.6477189558428886</v>
      </c>
      <c r="Q47" s="4"/>
    </row>
    <row r="49" spans="1:1">
      <c r="A49" s="35" t="s">
        <v>12</v>
      </c>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26FA-F7CB-49D0-86C6-D875784612A4}">
  <sheetPr>
    <pageSetUpPr autoPageBreaks="0"/>
  </sheetPr>
  <dimension ref="A1:Q197"/>
  <sheetViews>
    <sheetView zoomScale="55" zoomScaleNormal="55" workbookViewId="0">
      <selection activeCell="N9" sqref="N9"/>
    </sheetView>
  </sheetViews>
  <sheetFormatPr defaultColWidth="8.7265625" defaultRowHeight="14.5"/>
  <cols>
    <col min="1" max="1" width="27.7265625" customWidth="1" collapsed="1"/>
    <col min="2" max="17" width="14" customWidth="1" collapsed="1"/>
  </cols>
  <sheetData>
    <row r="1" spans="1:17" ht="15.5">
      <c r="A1" s="1" t="s">
        <v>0</v>
      </c>
    </row>
    <row r="2" spans="1:17">
      <c r="A2" s="2" t="s">
        <v>170</v>
      </c>
    </row>
    <row r="4" spans="1:17">
      <c r="A4" s="6" t="s">
        <v>1</v>
      </c>
      <c r="B4" s="6" t="s">
        <v>2</v>
      </c>
    </row>
    <row r="5" spans="1:17">
      <c r="A5" s="6" t="s">
        <v>3</v>
      </c>
      <c r="B5" s="6"/>
    </row>
    <row r="7" spans="1:17" s="196" customFormat="1" ht="22" customHeight="1">
      <c r="A7" s="12" t="s">
        <v>5</v>
      </c>
      <c r="B7" s="65"/>
      <c r="C7" s="65"/>
      <c r="D7" s="65"/>
      <c r="E7" s="65"/>
      <c r="F7" s="65"/>
      <c r="G7" s="65"/>
      <c r="H7" s="11"/>
      <c r="I7" s="11"/>
      <c r="J7" s="65"/>
      <c r="K7" s="65"/>
      <c r="L7" s="65"/>
      <c r="M7" s="65"/>
      <c r="N7" s="65"/>
      <c r="O7" s="65"/>
      <c r="P7" s="65"/>
      <c r="Q7" s="65"/>
    </row>
    <row r="8" spans="1:17" s="196" customFormat="1" ht="26.15" customHeight="1">
      <c r="A8"/>
      <c r="B8" s="11" t="s">
        <v>6</v>
      </c>
      <c r="C8" s="11" t="s">
        <v>7</v>
      </c>
      <c r="D8" s="11" t="s">
        <v>8</v>
      </c>
      <c r="E8" s="11"/>
      <c r="F8" s="11"/>
      <c r="G8" s="365"/>
      <c r="K8" s="11"/>
      <c r="L8" s="11"/>
      <c r="M8" s="11"/>
      <c r="N8" s="11"/>
      <c r="O8" s="11"/>
      <c r="P8" s="11"/>
      <c r="Q8" s="11"/>
    </row>
    <row r="9" spans="1:17" s="196" customFormat="1">
      <c r="A9" s="242" t="s">
        <v>14</v>
      </c>
      <c r="B9" s="401">
        <f>C9*(D9/100)</f>
        <v>139672</v>
      </c>
      <c r="C9" s="243">
        <v>158000</v>
      </c>
      <c r="D9" s="244">
        <v>88.4</v>
      </c>
      <c r="E9" s="244"/>
      <c r="F9" s="243"/>
      <c r="G9" s="366"/>
      <c r="K9" s="11"/>
      <c r="L9" s="244"/>
      <c r="M9" s="244"/>
      <c r="N9" s="243"/>
      <c r="O9" s="243"/>
      <c r="P9" s="244"/>
      <c r="Q9" s="244"/>
    </row>
    <row r="10" spans="1:17" s="196" customFormat="1">
      <c r="A10" s="242" t="s">
        <v>15</v>
      </c>
      <c r="B10" s="401">
        <f t="shared" ref="B10:B40" si="0">C10*(D10/100)</f>
        <v>86829</v>
      </c>
      <c r="C10" s="243">
        <v>103000</v>
      </c>
      <c r="D10" s="244">
        <v>84.3</v>
      </c>
      <c r="E10" s="244"/>
      <c r="F10" s="243"/>
      <c r="G10" s="366"/>
      <c r="K10" s="11"/>
      <c r="L10" s="244"/>
      <c r="M10" s="244"/>
      <c r="N10" s="243"/>
      <c r="O10" s="243"/>
      <c r="P10" s="244"/>
      <c r="Q10" s="244"/>
    </row>
    <row r="11" spans="1:17" s="196" customFormat="1">
      <c r="A11" s="242" t="s">
        <v>16</v>
      </c>
      <c r="B11" s="401">
        <f t="shared" si="0"/>
        <v>27324</v>
      </c>
      <c r="C11" s="243">
        <v>36000</v>
      </c>
      <c r="D11" s="244">
        <v>75.900000000000006</v>
      </c>
      <c r="E11" s="244"/>
      <c r="F11" s="243"/>
      <c r="G11" s="366"/>
      <c r="K11" s="11"/>
      <c r="L11" s="244"/>
      <c r="M11" s="244"/>
      <c r="N11" s="243"/>
      <c r="O11" s="243"/>
      <c r="P11" s="244"/>
      <c r="Q11" s="244"/>
    </row>
    <row r="12" spans="1:17" s="196" customFormat="1">
      <c r="A12" s="242" t="s">
        <v>17</v>
      </c>
      <c r="B12" s="401">
        <f t="shared" si="0"/>
        <v>30118.000000000004</v>
      </c>
      <c r="C12" s="243">
        <v>37000</v>
      </c>
      <c r="D12" s="244">
        <v>81.400000000000006</v>
      </c>
      <c r="E12" s="244"/>
      <c r="F12" s="243"/>
      <c r="G12" s="366"/>
      <c r="K12" s="11"/>
      <c r="L12" s="244"/>
      <c r="M12" s="244"/>
      <c r="N12" s="243"/>
      <c r="O12" s="243"/>
      <c r="P12" s="244"/>
      <c r="Q12" s="244"/>
    </row>
    <row r="13" spans="1:17" s="196" customFormat="1">
      <c r="A13" s="242" t="s">
        <v>189</v>
      </c>
      <c r="B13" s="401">
        <f t="shared" si="0"/>
        <v>298328</v>
      </c>
      <c r="C13" s="243">
        <v>356000</v>
      </c>
      <c r="D13" s="244">
        <v>83.8</v>
      </c>
      <c r="E13" s="244"/>
      <c r="F13" s="243"/>
      <c r="G13" s="366"/>
      <c r="K13" s="11"/>
      <c r="L13" s="244"/>
      <c r="M13" s="244"/>
      <c r="N13" s="243"/>
      <c r="O13" s="243"/>
      <c r="P13" s="244"/>
      <c r="Q13" s="244"/>
    </row>
    <row r="14" spans="1:17" s="196" customFormat="1">
      <c r="A14" s="242" t="s">
        <v>18</v>
      </c>
      <c r="B14" s="401">
        <f t="shared" si="0"/>
        <v>13095</v>
      </c>
      <c r="C14" s="243">
        <v>15000</v>
      </c>
      <c r="D14" s="244">
        <v>87.3</v>
      </c>
      <c r="E14" s="244"/>
      <c r="F14" s="243"/>
      <c r="G14" s="366"/>
      <c r="K14" s="11"/>
      <c r="L14" s="244"/>
      <c r="M14" s="243"/>
      <c r="N14" s="243"/>
      <c r="O14" s="243"/>
      <c r="P14" s="244"/>
      <c r="Q14" s="244"/>
    </row>
    <row r="15" spans="1:17" s="196" customFormat="1">
      <c r="A15" s="242" t="s">
        <v>19</v>
      </c>
      <c r="B15" s="401">
        <f t="shared" si="0"/>
        <v>46632</v>
      </c>
      <c r="C15" s="243">
        <v>58000</v>
      </c>
      <c r="D15" s="244">
        <v>80.400000000000006</v>
      </c>
      <c r="E15" s="244"/>
      <c r="F15" s="243"/>
      <c r="G15" s="366"/>
      <c r="K15" s="11"/>
      <c r="L15" s="244"/>
      <c r="M15" s="244"/>
      <c r="N15" s="243"/>
      <c r="O15" s="243"/>
      <c r="P15" s="244"/>
      <c r="Q15" s="244"/>
    </row>
    <row r="16" spans="1:17" s="196" customFormat="1">
      <c r="A16" s="242" t="s">
        <v>20</v>
      </c>
      <c r="B16" s="401">
        <f t="shared" si="0"/>
        <v>62928</v>
      </c>
      <c r="C16" s="243">
        <v>76000</v>
      </c>
      <c r="D16" s="244">
        <v>82.8</v>
      </c>
      <c r="E16" s="244"/>
      <c r="F16" s="243"/>
      <c r="G16" s="366"/>
      <c r="K16" s="11"/>
      <c r="L16" s="244"/>
      <c r="M16" s="244"/>
      <c r="N16" s="243"/>
      <c r="O16" s="243"/>
      <c r="P16" s="244"/>
      <c r="Q16" s="244"/>
    </row>
    <row r="17" spans="1:17" s="196" customFormat="1">
      <c r="A17" s="242" t="s">
        <v>21</v>
      </c>
      <c r="B17" s="401">
        <f t="shared" si="0"/>
        <v>34686</v>
      </c>
      <c r="C17" s="243">
        <v>41000</v>
      </c>
      <c r="D17" s="244">
        <v>84.6</v>
      </c>
      <c r="E17" s="244"/>
      <c r="F17" s="243"/>
      <c r="G17" s="366"/>
      <c r="H17" s="244"/>
      <c r="I17" s="244"/>
      <c r="J17" s="6"/>
      <c r="K17" s="11"/>
      <c r="L17" s="244"/>
      <c r="M17" s="244"/>
      <c r="N17" s="243"/>
      <c r="O17" s="243"/>
      <c r="P17" s="244"/>
      <c r="Q17" s="244"/>
    </row>
    <row r="18" spans="1:17" s="196" customFormat="1">
      <c r="A18" s="242" t="s">
        <v>22</v>
      </c>
      <c r="B18" s="401">
        <f t="shared" si="0"/>
        <v>22646</v>
      </c>
      <c r="C18" s="243">
        <v>26000</v>
      </c>
      <c r="D18" s="244">
        <v>87.1</v>
      </c>
      <c r="E18" s="244"/>
      <c r="F18" s="243"/>
      <c r="G18" s="365"/>
      <c r="H18" s="244"/>
      <c r="I18" s="244"/>
      <c r="J18" s="367"/>
      <c r="K18" s="11"/>
      <c r="L18" s="244"/>
      <c r="M18" s="244"/>
      <c r="N18" s="243"/>
      <c r="O18" s="243"/>
      <c r="P18" s="244"/>
      <c r="Q18" s="244"/>
    </row>
    <row r="19" spans="1:17" s="196" customFormat="1">
      <c r="A19" s="242" t="s">
        <v>23</v>
      </c>
      <c r="B19" s="401">
        <f t="shared" si="0"/>
        <v>28446</v>
      </c>
      <c r="C19" s="243">
        <v>33000</v>
      </c>
      <c r="D19" s="244">
        <v>86.2</v>
      </c>
      <c r="E19" s="244"/>
      <c r="F19" s="243"/>
      <c r="G19" s="368"/>
      <c r="I19" s="244"/>
      <c r="J19" s="367"/>
      <c r="K19" s="11"/>
      <c r="L19" s="244"/>
      <c r="M19" s="244"/>
      <c r="N19" s="243"/>
      <c r="O19" s="243"/>
      <c r="P19" s="244"/>
      <c r="Q19" s="244"/>
    </row>
    <row r="20" spans="1:17" s="196" customFormat="1">
      <c r="A20" s="242" t="s">
        <v>24</v>
      </c>
      <c r="B20" s="401">
        <f t="shared" si="0"/>
        <v>18502</v>
      </c>
      <c r="C20" s="243">
        <v>22000</v>
      </c>
      <c r="D20" s="244">
        <v>84.1</v>
      </c>
      <c r="E20" s="244"/>
      <c r="F20" s="243"/>
      <c r="G20" s="368"/>
      <c r="I20" s="244"/>
      <c r="J20" s="367"/>
      <c r="K20" s="11"/>
      <c r="L20" s="244"/>
      <c r="M20" s="244"/>
      <c r="N20" s="243"/>
      <c r="O20" s="243"/>
      <c r="P20" s="244"/>
      <c r="Q20" s="244"/>
    </row>
    <row r="21" spans="1:17" s="196" customFormat="1">
      <c r="A21" s="242" t="s">
        <v>25</v>
      </c>
      <c r="B21" s="401">
        <f t="shared" si="0"/>
        <v>58893</v>
      </c>
      <c r="C21" s="243">
        <v>67000</v>
      </c>
      <c r="D21" s="244">
        <v>87.9</v>
      </c>
      <c r="E21" s="244"/>
      <c r="F21" s="243"/>
      <c r="G21" s="368"/>
      <c r="I21" s="244"/>
      <c r="J21" s="367"/>
      <c r="K21" s="11"/>
      <c r="L21" s="244"/>
      <c r="M21" s="244"/>
      <c r="N21" s="243"/>
      <c r="O21" s="243"/>
      <c r="P21" s="244"/>
      <c r="Q21" s="244"/>
    </row>
    <row r="22" spans="1:17" s="196" customFormat="1">
      <c r="A22" s="242" t="s">
        <v>26</v>
      </c>
      <c r="B22" s="401">
        <f t="shared" si="0"/>
        <v>113162</v>
      </c>
      <c r="C22" s="243">
        <v>137000</v>
      </c>
      <c r="D22" s="244">
        <v>82.6</v>
      </c>
      <c r="E22" s="244"/>
      <c r="F22" s="243"/>
      <c r="G22" s="368"/>
      <c r="I22" s="244"/>
      <c r="J22" s="243"/>
      <c r="K22" s="11"/>
      <c r="L22" s="244"/>
      <c r="M22" s="244"/>
      <c r="N22" s="243"/>
      <c r="O22" s="243"/>
      <c r="P22" s="244"/>
      <c r="Q22" s="244"/>
    </row>
    <row r="23" spans="1:17" s="196" customFormat="1">
      <c r="A23" s="242" t="s">
        <v>27</v>
      </c>
      <c r="B23" s="401">
        <f t="shared" si="0"/>
        <v>344745</v>
      </c>
      <c r="C23" s="243">
        <v>423000</v>
      </c>
      <c r="D23" s="244">
        <v>81.5</v>
      </c>
      <c r="E23" s="244"/>
      <c r="F23" s="243"/>
      <c r="G23" s="368"/>
      <c r="I23" s="244"/>
      <c r="J23" s="6"/>
      <c r="K23" s="11"/>
      <c r="L23" s="244"/>
      <c r="M23" s="244"/>
      <c r="N23" s="243"/>
      <c r="O23" s="243"/>
      <c r="P23" s="244"/>
      <c r="Q23" s="244"/>
    </row>
    <row r="24" spans="1:17" s="196" customFormat="1">
      <c r="A24" s="242" t="s">
        <v>28</v>
      </c>
      <c r="B24" s="401">
        <f t="shared" si="0"/>
        <v>93408.000000000015</v>
      </c>
      <c r="C24" s="243">
        <v>112000</v>
      </c>
      <c r="D24" s="244">
        <v>83.4</v>
      </c>
      <c r="E24" s="244"/>
      <c r="F24" s="243"/>
      <c r="G24" s="368"/>
      <c r="I24" s="244"/>
      <c r="J24" s="242"/>
      <c r="K24" s="11"/>
      <c r="L24" s="244"/>
      <c r="M24" s="244"/>
      <c r="N24" s="243"/>
      <c r="O24" s="243"/>
      <c r="P24" s="244"/>
      <c r="Q24" s="244"/>
    </row>
    <row r="25" spans="1:17" s="196" customFormat="1">
      <c r="A25" s="242" t="s">
        <v>29</v>
      </c>
      <c r="B25" s="401">
        <f t="shared" si="0"/>
        <v>22256</v>
      </c>
      <c r="C25" s="243">
        <v>26000</v>
      </c>
      <c r="D25" s="244">
        <v>85.6</v>
      </c>
      <c r="E25" s="244"/>
      <c r="F25" s="243"/>
      <c r="G25" s="368"/>
      <c r="I25" s="244"/>
      <c r="J25" s="367"/>
      <c r="K25" s="11"/>
      <c r="L25" s="244"/>
      <c r="M25" s="244"/>
      <c r="N25" s="243"/>
      <c r="O25" s="243"/>
      <c r="P25" s="244"/>
      <c r="Q25" s="244"/>
    </row>
    <row r="26" spans="1:17" s="196" customFormat="1">
      <c r="A26" s="242" t="s">
        <v>30</v>
      </c>
      <c r="B26" s="401">
        <f t="shared" si="0"/>
        <v>28710</v>
      </c>
      <c r="C26" s="243">
        <v>33000</v>
      </c>
      <c r="D26" s="244">
        <v>87</v>
      </c>
      <c r="E26" s="244"/>
      <c r="F26" s="243"/>
      <c r="G26" s="368"/>
      <c r="I26" s="244"/>
      <c r="J26" s="367"/>
      <c r="K26" s="11"/>
      <c r="L26" s="244"/>
      <c r="M26" s="244"/>
      <c r="N26" s="243"/>
      <c r="O26" s="243"/>
      <c r="P26" s="244"/>
      <c r="Q26" s="244"/>
    </row>
    <row r="27" spans="1:17" s="196" customFormat="1">
      <c r="A27" s="242" t="s">
        <v>31</v>
      </c>
      <c r="B27" s="401">
        <f t="shared" si="0"/>
        <v>29520</v>
      </c>
      <c r="C27" s="243">
        <v>36000</v>
      </c>
      <c r="D27" s="244">
        <v>82</v>
      </c>
      <c r="E27" s="244"/>
      <c r="F27" s="243"/>
      <c r="G27" s="366"/>
      <c r="H27" s="244"/>
      <c r="I27" s="244"/>
      <c r="J27" s="367"/>
      <c r="K27" s="11"/>
      <c r="L27" s="244"/>
      <c r="M27" s="244"/>
      <c r="N27" s="243"/>
      <c r="O27" s="243"/>
      <c r="P27" s="244"/>
      <c r="Q27" s="244"/>
    </row>
    <row r="28" spans="1:17" s="196" customFormat="1">
      <c r="A28" s="242" t="s">
        <v>32</v>
      </c>
      <c r="B28" s="196" t="s">
        <v>69</v>
      </c>
      <c r="C28" s="243" t="s">
        <v>69</v>
      </c>
      <c r="D28" s="244" t="s">
        <v>69</v>
      </c>
      <c r="E28" s="244"/>
      <c r="F28" s="243"/>
      <c r="G28" s="365"/>
      <c r="H28" s="244"/>
      <c r="I28" s="244"/>
      <c r="J28" s="367"/>
      <c r="K28" s="11"/>
      <c r="L28" s="244"/>
      <c r="M28" s="244"/>
      <c r="N28" s="243"/>
      <c r="O28" s="243"/>
      <c r="P28" s="244"/>
      <c r="Q28" s="244"/>
    </row>
    <row r="29" spans="1:17" s="196" customFormat="1">
      <c r="A29" s="242" t="s">
        <v>33</v>
      </c>
      <c r="B29" s="401">
        <f t="shared" si="0"/>
        <v>34727</v>
      </c>
      <c r="C29" s="243">
        <v>41000</v>
      </c>
      <c r="D29" s="244">
        <v>84.7</v>
      </c>
      <c r="E29" s="244"/>
      <c r="F29" s="243"/>
      <c r="G29" s="368"/>
      <c r="I29" s="244"/>
      <c r="J29" s="367"/>
      <c r="K29" s="11"/>
      <c r="L29" s="244"/>
      <c r="M29" s="244"/>
      <c r="N29" s="243"/>
      <c r="O29" s="243"/>
      <c r="P29" s="244"/>
      <c r="Q29" s="244"/>
    </row>
    <row r="30" spans="1:17" s="196" customFormat="1">
      <c r="A30" s="242" t="s">
        <v>34</v>
      </c>
      <c r="B30" s="401">
        <f t="shared" si="0"/>
        <v>116848</v>
      </c>
      <c r="C30" s="243">
        <v>134000</v>
      </c>
      <c r="D30" s="244">
        <v>87.2</v>
      </c>
      <c r="E30" s="244"/>
      <c r="F30" s="243"/>
      <c r="G30" s="368"/>
      <c r="I30" s="244"/>
      <c r="J30" s="367"/>
      <c r="K30" s="243"/>
      <c r="L30" s="244"/>
      <c r="M30" s="244"/>
      <c r="N30" s="243"/>
      <c r="O30" s="243"/>
      <c r="P30" s="244"/>
      <c r="Q30" s="244"/>
    </row>
    <row r="31" spans="1:17" s="196" customFormat="1">
      <c r="A31" s="242" t="s">
        <v>35</v>
      </c>
      <c r="B31" s="196" t="s">
        <v>69</v>
      </c>
      <c r="C31" s="243" t="s">
        <v>69</v>
      </c>
      <c r="D31" s="244" t="s">
        <v>69</v>
      </c>
      <c r="E31" s="244"/>
      <c r="F31" s="243"/>
      <c r="G31" s="368"/>
      <c r="I31" s="243"/>
      <c r="J31" s="243"/>
      <c r="K31" s="243"/>
      <c r="L31" s="244"/>
      <c r="M31" s="243"/>
      <c r="N31" s="243"/>
      <c r="O31" s="243"/>
      <c r="P31" s="244"/>
      <c r="Q31" s="243"/>
    </row>
    <row r="32" spans="1:17" s="196" customFormat="1">
      <c r="A32" s="242" t="s">
        <v>36</v>
      </c>
      <c r="B32" s="401">
        <f t="shared" si="0"/>
        <v>48960</v>
      </c>
      <c r="C32" s="243">
        <v>64000</v>
      </c>
      <c r="D32" s="244">
        <v>76.5</v>
      </c>
      <c r="E32" s="244"/>
      <c r="F32" s="243"/>
      <c r="G32" s="368"/>
      <c r="I32" s="244"/>
      <c r="J32" s="243"/>
      <c r="K32" s="243"/>
      <c r="L32" s="244"/>
      <c r="M32" s="244"/>
      <c r="N32" s="243"/>
      <c r="O32" s="243"/>
      <c r="P32" s="244"/>
      <c r="Q32" s="244"/>
    </row>
    <row r="33" spans="1:17" s="196" customFormat="1">
      <c r="A33" s="242" t="s">
        <v>37</v>
      </c>
      <c r="B33" s="401">
        <f t="shared" si="0"/>
        <v>69388</v>
      </c>
      <c r="C33" s="243">
        <v>83000</v>
      </c>
      <c r="D33" s="244">
        <v>83.6</v>
      </c>
      <c r="E33" s="244"/>
      <c r="F33" s="243"/>
      <c r="G33" s="368"/>
      <c r="I33" s="244"/>
      <c r="J33" s="243"/>
      <c r="K33" s="243"/>
      <c r="L33" s="244"/>
      <c r="M33" s="244"/>
      <c r="N33" s="243"/>
      <c r="O33" s="243"/>
      <c r="P33" s="244"/>
      <c r="Q33" s="244"/>
    </row>
    <row r="34" spans="1:17" s="196" customFormat="1">
      <c r="A34" s="242" t="s">
        <v>38</v>
      </c>
      <c r="B34" s="401">
        <f t="shared" si="0"/>
        <v>35364</v>
      </c>
      <c r="C34" s="243">
        <v>42000</v>
      </c>
      <c r="D34" s="244">
        <v>84.2</v>
      </c>
      <c r="E34" s="244"/>
      <c r="F34" s="243"/>
      <c r="G34" s="368"/>
      <c r="I34" s="244"/>
      <c r="J34" s="243"/>
      <c r="K34" s="243"/>
      <c r="L34" s="244"/>
      <c r="M34" s="244"/>
      <c r="N34" s="243"/>
      <c r="O34" s="243"/>
      <c r="P34" s="244"/>
      <c r="Q34" s="244"/>
    </row>
    <row r="35" spans="1:17" s="196" customFormat="1">
      <c r="A35" s="242" t="s">
        <v>39</v>
      </c>
      <c r="B35" s="196" t="s">
        <v>69</v>
      </c>
      <c r="C35" s="243" t="s">
        <v>69</v>
      </c>
      <c r="D35" s="244" t="s">
        <v>69</v>
      </c>
      <c r="E35" s="243"/>
      <c r="F35" s="243"/>
      <c r="G35" s="368"/>
      <c r="I35" s="244"/>
      <c r="J35" s="243"/>
      <c r="K35" s="243"/>
      <c r="L35" s="244"/>
      <c r="M35" s="244"/>
      <c r="N35" s="243"/>
      <c r="O35" s="243"/>
      <c r="P35" s="244"/>
      <c r="Q35" s="243"/>
    </row>
    <row r="36" spans="1:17" s="196" customFormat="1">
      <c r="A36" s="242" t="s">
        <v>40</v>
      </c>
      <c r="B36" s="401">
        <f t="shared" si="0"/>
        <v>38548</v>
      </c>
      <c r="C36" s="243">
        <v>46000</v>
      </c>
      <c r="D36" s="244">
        <v>83.8</v>
      </c>
      <c r="E36" s="244"/>
      <c r="F36" s="243"/>
      <c r="G36" s="368"/>
      <c r="I36" s="244"/>
      <c r="J36" s="243"/>
      <c r="K36" s="243"/>
      <c r="L36" s="244"/>
      <c r="M36" s="244"/>
      <c r="N36" s="243"/>
      <c r="O36" s="243"/>
      <c r="P36" s="244"/>
      <c r="Q36" s="244"/>
    </row>
    <row r="37" spans="1:17" s="196" customFormat="1">
      <c r="A37" s="242" t="s">
        <v>41</v>
      </c>
      <c r="B37" s="401">
        <f t="shared" si="0"/>
        <v>103054</v>
      </c>
      <c r="C37" s="243">
        <v>119000</v>
      </c>
      <c r="D37" s="244">
        <v>86.6</v>
      </c>
      <c r="E37" s="241"/>
      <c r="F37" s="200"/>
      <c r="G37" s="369"/>
      <c r="H37" s="241"/>
      <c r="I37" s="241"/>
      <c r="J37" s="200"/>
      <c r="K37" s="200"/>
      <c r="L37" s="241"/>
      <c r="M37" s="241"/>
      <c r="N37" s="200"/>
      <c r="O37" s="200"/>
      <c r="P37" s="241"/>
      <c r="Q37" s="241"/>
    </row>
    <row r="38" spans="1:17" s="196" customFormat="1">
      <c r="A38" s="242" t="s">
        <v>42</v>
      </c>
      <c r="B38" s="401">
        <f t="shared" si="0"/>
        <v>40710</v>
      </c>
      <c r="C38" s="243">
        <v>46000</v>
      </c>
      <c r="D38" s="244">
        <v>88.5</v>
      </c>
      <c r="E38" s="244"/>
      <c r="F38" s="243"/>
      <c r="G38" s="365"/>
      <c r="H38" s="244"/>
      <c r="I38" s="244"/>
      <c r="J38" s="243"/>
      <c r="K38" s="243"/>
      <c r="L38" s="244"/>
      <c r="M38" s="244"/>
      <c r="N38" s="243"/>
      <c r="O38" s="243"/>
      <c r="P38" s="244"/>
      <c r="Q38" s="244"/>
    </row>
    <row r="39" spans="1:17" s="196" customFormat="1">
      <c r="A39" s="242" t="s">
        <v>43</v>
      </c>
      <c r="B39" s="401">
        <f t="shared" si="0"/>
        <v>27951</v>
      </c>
      <c r="C39" s="243">
        <v>33000</v>
      </c>
      <c r="D39" s="244">
        <v>84.7</v>
      </c>
      <c r="E39" s="244"/>
      <c r="F39" s="243"/>
      <c r="G39" s="366"/>
      <c r="I39" s="244"/>
      <c r="J39" s="243"/>
      <c r="K39" s="243"/>
      <c r="L39" s="244"/>
      <c r="M39" s="244"/>
      <c r="N39" s="243"/>
      <c r="O39" s="243"/>
      <c r="P39" s="244"/>
      <c r="Q39" s="244"/>
    </row>
    <row r="40" spans="1:17" s="196" customFormat="1">
      <c r="A40" s="242" t="s">
        <v>44</v>
      </c>
      <c r="B40" s="401">
        <f t="shared" si="0"/>
        <v>71379</v>
      </c>
      <c r="C40" s="243">
        <v>77000</v>
      </c>
      <c r="D40" s="244">
        <v>92.7</v>
      </c>
      <c r="E40" s="244"/>
      <c r="F40" s="243"/>
      <c r="G40" s="366"/>
      <c r="I40" s="244"/>
      <c r="J40" s="243"/>
      <c r="K40" s="243"/>
      <c r="L40" s="244"/>
      <c r="M40" s="244"/>
      <c r="N40" s="243"/>
      <c r="O40" s="243"/>
      <c r="P40" s="244"/>
      <c r="Q40" s="244"/>
    </row>
    <row r="41" spans="1:17" s="196" customFormat="1">
      <c r="A41" s="242"/>
      <c r="C41" s="243"/>
      <c r="D41" s="244"/>
      <c r="E41" s="244"/>
      <c r="F41" s="243"/>
      <c r="G41" s="366"/>
      <c r="I41" s="244"/>
      <c r="J41" s="243"/>
      <c r="K41" s="243"/>
      <c r="L41" s="244"/>
      <c r="M41" s="244"/>
      <c r="N41" s="243"/>
      <c r="O41" s="243"/>
      <c r="P41" s="244"/>
      <c r="Q41" s="244"/>
    </row>
    <row r="42" spans="1:17" s="196" customFormat="1">
      <c r="A42" s="242" t="s">
        <v>45</v>
      </c>
      <c r="B42" s="401">
        <f>SUM(B9:B40)</f>
        <v>2086829</v>
      </c>
      <c r="C42" s="401">
        <f>SUM(C9:C40)</f>
        <v>2480000</v>
      </c>
      <c r="D42" s="420">
        <f>(B42/C42)*100</f>
        <v>84.146330645161299</v>
      </c>
      <c r="E42" s="244"/>
      <c r="F42" s="243"/>
      <c r="G42" s="366"/>
      <c r="I42" s="244"/>
      <c r="J42" s="243"/>
      <c r="K42" s="243"/>
      <c r="L42" s="244"/>
      <c r="M42" s="244"/>
      <c r="N42" s="243"/>
      <c r="O42" s="243"/>
      <c r="P42" s="244"/>
      <c r="Q42" s="244"/>
    </row>
    <row r="43" spans="1:17" s="196" customFormat="1">
      <c r="A43" s="242" t="s">
        <v>279</v>
      </c>
      <c r="C43" s="243">
        <v>30381000</v>
      </c>
      <c r="D43" s="244"/>
      <c r="E43" s="244"/>
      <c r="F43" s="243"/>
      <c r="G43" s="366"/>
      <c r="I43" s="244"/>
      <c r="J43" s="243"/>
      <c r="K43" s="243"/>
      <c r="L43" s="244"/>
      <c r="M43" s="244"/>
      <c r="N43" s="243"/>
      <c r="O43" s="243"/>
      <c r="P43" s="244"/>
      <c r="Q43" s="244"/>
    </row>
    <row r="44" spans="1:17">
      <c r="A44" s="6" t="s">
        <v>543</v>
      </c>
      <c r="B44" s="393" cm="1">
        <f t="array" ref="B44">SUM(SUMIFS(B$9:B$40,$A$9:$A$40,{"Na h-Eileanan Siar","Argyll and Bute","Shetland Islands","Highland","Orkney Islands","Scottish Borders","Dumfries and Galloway","Aberdeenshire"}))</f>
        <v>292351</v>
      </c>
      <c r="C44" s="393">
        <f>SUM(SUMIFS(C$9:C$40,$A$9:$A$40,{"Na h-Eileanan Siar","Argyll and Bute","Shetland Islands","Highland","Orkney Islands","Scottish Borders","Dumfries and Galloway","Aberdeenshire"}))</f>
        <v>352000</v>
      </c>
      <c r="D44" s="394">
        <f>SUM(B44/C44)*100</f>
        <v>83.054261363636357</v>
      </c>
      <c r="E44" s="10"/>
      <c r="F44" s="370"/>
      <c r="G44" s="366"/>
      <c r="H44" s="196"/>
      <c r="I44" s="10"/>
      <c r="J44" s="370"/>
      <c r="K44" s="370"/>
      <c r="L44" s="9"/>
      <c r="M44" s="10"/>
      <c r="N44" s="370"/>
      <c r="O44" s="370"/>
      <c r="P44" s="9"/>
      <c r="Q44" s="10"/>
    </row>
    <row r="45" spans="1:17">
      <c r="A45" s="6" t="s">
        <v>544</v>
      </c>
      <c r="B45" s="393">
        <f>SUM(SUMIFS(B$9:B$40,$A$9:$A$40,{"Perth and Kinross","Stirling","Moray","South Ayrshire","East Ayrshire","East Lothian","North Ayrshire","Fife"}))</f>
        <v>368759</v>
      </c>
      <c r="C45" s="393">
        <f>SUM(SUMIFS(C$9:C$40,$A$9:$A$40,{"Perth and Kinross","Stirling","Moray","South Ayrshire","East Ayrshire","East Lothian","North Ayrshire","Fife"}))</f>
        <v>444000</v>
      </c>
      <c r="D45" s="394">
        <f>SUM(B45/C45)*100</f>
        <v>83.053828828828827</v>
      </c>
      <c r="E45" s="9"/>
      <c r="F45" s="370"/>
      <c r="G45" s="366"/>
      <c r="H45" s="196"/>
      <c r="I45" s="9"/>
      <c r="J45" s="370"/>
      <c r="K45" s="370"/>
      <c r="L45" s="233"/>
      <c r="M45" s="9"/>
      <c r="N45" s="370"/>
      <c r="O45" s="370"/>
      <c r="P45" s="233"/>
      <c r="Q45" s="9"/>
    </row>
    <row r="46" spans="1:17">
      <c r="A46" s="6" t="s">
        <v>545</v>
      </c>
      <c r="B46" s="393">
        <f>SUM(SUMIFS(B$9:B$40,$A$9:$A$40,{"Angus","Clackmannanshire","Midlothian","South Lanarkshire","Inverclyde","Renfrewshire","West Lothian","East Renfrewshire"}))</f>
        <v>353708</v>
      </c>
      <c r="C46" s="393">
        <f>SUM(SUMIFS(C$9:C$40,$A$9:$A$40,{"Angus","Clackmannanshire","Midlothian","South Lanarkshire","Inverclyde","Renfrewshire","West Lothian","East Renfrewshire"}))</f>
        <v>411000</v>
      </c>
      <c r="D46" s="394">
        <f>SUM(B46/C46)*100</f>
        <v>86.060340632603399</v>
      </c>
      <c r="E46" s="9"/>
      <c r="F46" s="370"/>
      <c r="G46" s="366"/>
      <c r="H46" s="196"/>
      <c r="I46" s="9"/>
      <c r="J46" s="370"/>
      <c r="K46" s="370"/>
      <c r="L46" s="233"/>
      <c r="M46" s="9"/>
      <c r="N46" s="370"/>
      <c r="O46" s="370"/>
      <c r="P46" s="233"/>
      <c r="Q46" s="9"/>
    </row>
    <row r="47" spans="1:17">
      <c r="A47" s="6" t="s">
        <v>546</v>
      </c>
      <c r="B47" s="393">
        <f>SUM(SUMIFS(B$9:B$40,$A$9:$A$40,{"North Lanarkshire","Falkirk","East Dunbartonshire","Aberdeen City","Edinburgh, City of","West Dunbartonshire","Dundee City","Glasgow City"}))</f>
        <v>1072011</v>
      </c>
      <c r="C47" s="393">
        <f>SUM(SUMIFS(C$9:C$40,$A$9:$A$40,{"North Lanarkshire","Falkirk","East Dunbartonshire","Aberdeen City","Edinburgh, City of","West Dunbartonshire","Dundee City","Glasgow City"}))</f>
        <v>1273000</v>
      </c>
      <c r="D47" s="394">
        <f>SUM(B47/C47)*100</f>
        <v>84.211390416339356</v>
      </c>
      <c r="E47" s="9"/>
      <c r="F47" s="370"/>
      <c r="G47" s="370"/>
      <c r="H47" s="233"/>
      <c r="I47" s="9"/>
      <c r="J47" s="370"/>
      <c r="K47" s="370"/>
      <c r="L47" s="233"/>
      <c r="M47" s="9"/>
      <c r="N47" s="370"/>
      <c r="O47" s="370"/>
      <c r="P47" s="233"/>
      <c r="Q47" s="9"/>
    </row>
    <row r="48" spans="1:17">
      <c r="A48" s="198" t="s">
        <v>47</v>
      </c>
      <c r="B48" s="393" cm="1">
        <f t="array" ref="B48">SUM(SUMIFS(B$9:B$40,$A$9:$A$40,{"Glasgow City","Inverclyde","Renfrewshire","East Renfrewshire","South Lanarkshire","North Lanarkshire","West Dunbartonshire","East Dunbartonshire"}))</f>
        <v>725390</v>
      </c>
      <c r="C48" s="393" cm="1">
        <f t="array" ref="C48">SUM(SUMIFS(C$9:C$40,$A$9:$A$40,{"Glasgow City","Inverclyde","Renfrewshire","East Renfrewshire","South Lanarkshire","North Lanarkshire","West Dunbartonshire","East Dunbartonshire"}))</f>
        <v>866000</v>
      </c>
      <c r="D48" s="394">
        <f>SUM(B48/C48)*100</f>
        <v>83.763279445727477</v>
      </c>
      <c r="E48" s="9"/>
      <c r="F48" s="370"/>
      <c r="G48" s="370"/>
      <c r="H48" s="233"/>
      <c r="I48" s="9"/>
      <c r="J48" s="370"/>
      <c r="K48" s="370"/>
      <c r="L48" s="233"/>
      <c r="M48" s="9"/>
      <c r="N48" s="370"/>
      <c r="O48" s="370"/>
      <c r="P48" s="233"/>
      <c r="Q48" s="9"/>
    </row>
    <row r="49" spans="1:17" s="6" customFormat="1">
      <c r="B49" s="370"/>
      <c r="C49" s="370"/>
      <c r="D49" s="130"/>
    </row>
    <row r="50" spans="1:17" s="6" customFormat="1" ht="12.5">
      <c r="A50" s="2" t="s">
        <v>12</v>
      </c>
    </row>
    <row r="51" spans="1:17" s="6" customFormat="1" ht="12.5"/>
    <row r="52" spans="1:17" s="6" customFormat="1" ht="12.5"/>
    <row r="53" spans="1:17" s="196" customFormat="1">
      <c r="A53"/>
      <c r="B53"/>
      <c r="C53"/>
      <c r="D53"/>
      <c r="E53" s="241"/>
      <c r="F53" s="200"/>
      <c r="G53" s="200"/>
      <c r="H53" s="241"/>
      <c r="I53" s="241"/>
      <c r="J53" s="200"/>
      <c r="K53" s="200"/>
      <c r="L53" s="241"/>
      <c r="M53" s="241"/>
      <c r="N53" s="200"/>
      <c r="O53" s="200"/>
      <c r="P53" s="241"/>
      <c r="Q53" s="241"/>
    </row>
    <row r="194" spans="8:8">
      <c r="H194" s="242"/>
    </row>
    <row r="197" spans="8:8">
      <c r="H197" s="242"/>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584C7-9A0D-4144-B728-6A5485448E5B}">
  <sheetPr>
    <pageSetUpPr autoPageBreaks="0"/>
  </sheetPr>
  <dimension ref="A1:H53"/>
  <sheetViews>
    <sheetView zoomScale="76" zoomScaleNormal="55" workbookViewId="0">
      <selection activeCell="D9" sqref="D9"/>
    </sheetView>
  </sheetViews>
  <sheetFormatPr defaultColWidth="8.7265625" defaultRowHeight="14.5"/>
  <cols>
    <col min="1" max="1" width="25" customWidth="1" collapsed="1"/>
    <col min="2" max="8" width="14" customWidth="1" collapsed="1"/>
  </cols>
  <sheetData>
    <row r="1" spans="1:8" ht="15.5">
      <c r="A1" s="1" t="s">
        <v>0</v>
      </c>
    </row>
    <row r="2" spans="1:8">
      <c r="A2" s="2" t="s">
        <v>170</v>
      </c>
    </row>
    <row r="4" spans="1:8">
      <c r="A4" s="6" t="s">
        <v>1</v>
      </c>
      <c r="B4" s="6" t="s">
        <v>2</v>
      </c>
    </row>
    <row r="5" spans="1:8">
      <c r="A5" s="6" t="s">
        <v>3</v>
      </c>
      <c r="B5" s="6"/>
    </row>
    <row r="7" spans="1:8" s="196" customFormat="1" ht="22" customHeight="1">
      <c r="A7" s="12" t="s">
        <v>5</v>
      </c>
      <c r="B7" s="65"/>
      <c r="C7" s="65"/>
      <c r="D7" s="65"/>
      <c r="E7" s="65"/>
      <c r="F7" s="65"/>
      <c r="G7" s="65"/>
      <c r="H7" s="65"/>
    </row>
    <row r="8" spans="1:8" s="196" customFormat="1" ht="26.15" customHeight="1">
      <c r="A8"/>
      <c r="B8" s="11" t="s">
        <v>6</v>
      </c>
      <c r="C8" s="11" t="s">
        <v>7</v>
      </c>
      <c r="D8" s="11" t="s">
        <v>8</v>
      </c>
      <c r="E8" s="11"/>
      <c r="F8" s="11"/>
      <c r="G8" s="11"/>
      <c r="H8" s="11"/>
    </row>
    <row r="9" spans="1:8" s="196" customFormat="1">
      <c r="A9" s="242" t="s">
        <v>14</v>
      </c>
      <c r="B9" s="401">
        <f>C9*(D9/100)</f>
        <v>17222</v>
      </c>
      <c r="C9" s="243">
        <v>158000</v>
      </c>
      <c r="D9" s="244">
        <v>10.9</v>
      </c>
      <c r="E9" s="244"/>
      <c r="F9" s="243"/>
      <c r="G9" s="244"/>
      <c r="H9" s="244"/>
    </row>
    <row r="10" spans="1:8" s="196" customFormat="1">
      <c r="A10" s="242" t="s">
        <v>15</v>
      </c>
      <c r="B10" s="401">
        <f t="shared" ref="B10:B40" si="0">C10*(D10/100)</f>
        <v>13699</v>
      </c>
      <c r="C10" s="243">
        <v>103000</v>
      </c>
      <c r="D10" s="244">
        <v>13.3</v>
      </c>
      <c r="E10" s="244"/>
      <c r="F10" s="243"/>
      <c r="G10" s="244"/>
      <c r="H10" s="244"/>
    </row>
    <row r="11" spans="1:8" s="196" customFormat="1">
      <c r="A11" s="242" t="s">
        <v>16</v>
      </c>
      <c r="B11" s="401">
        <f t="shared" si="0"/>
        <v>5796</v>
      </c>
      <c r="C11" s="243">
        <v>36000</v>
      </c>
      <c r="D11" s="244">
        <v>16.100000000000001</v>
      </c>
      <c r="E11" s="244"/>
      <c r="F11" s="243"/>
      <c r="G11" s="244"/>
      <c r="H11" s="244"/>
    </row>
    <row r="12" spans="1:8" s="196" customFormat="1">
      <c r="A12" s="242" t="s">
        <v>17</v>
      </c>
      <c r="B12" s="401">
        <f t="shared" si="0"/>
        <v>6475</v>
      </c>
      <c r="C12" s="243">
        <v>37000</v>
      </c>
      <c r="D12" s="244">
        <v>17.5</v>
      </c>
      <c r="E12" s="244"/>
      <c r="F12" s="243"/>
      <c r="G12" s="244"/>
      <c r="H12" s="244"/>
    </row>
    <row r="13" spans="1:8" s="196" customFormat="1">
      <c r="A13" s="242" t="s">
        <v>189</v>
      </c>
      <c r="B13" s="401">
        <f t="shared" si="0"/>
        <v>23140</v>
      </c>
      <c r="C13" s="243">
        <v>356000</v>
      </c>
      <c r="D13" s="244">
        <v>6.5</v>
      </c>
      <c r="E13" s="244"/>
      <c r="F13" s="243"/>
      <c r="G13" s="244"/>
      <c r="H13" s="244"/>
    </row>
    <row r="14" spans="1:8" s="196" customFormat="1">
      <c r="A14" s="242" t="s">
        <v>18</v>
      </c>
      <c r="B14" s="401">
        <f t="shared" si="0"/>
        <v>1620.0000000000002</v>
      </c>
      <c r="C14" s="243">
        <v>15000</v>
      </c>
      <c r="D14" s="244">
        <v>10.8</v>
      </c>
      <c r="E14" s="244"/>
      <c r="F14" s="243"/>
      <c r="G14" s="244"/>
      <c r="H14" s="243"/>
    </row>
    <row r="15" spans="1:8" s="196" customFormat="1">
      <c r="A15" s="242" t="s">
        <v>19</v>
      </c>
      <c r="B15" s="401">
        <f t="shared" si="0"/>
        <v>12180</v>
      </c>
      <c r="C15" s="243">
        <v>58000</v>
      </c>
      <c r="D15" s="244">
        <v>21</v>
      </c>
      <c r="E15" s="244"/>
      <c r="F15" s="243"/>
      <c r="G15" s="244"/>
      <c r="H15" s="244"/>
    </row>
    <row r="16" spans="1:8" s="196" customFormat="1">
      <c r="A16" s="242" t="s">
        <v>20</v>
      </c>
      <c r="B16" s="401">
        <f t="shared" si="0"/>
        <v>11780</v>
      </c>
      <c r="C16" s="243">
        <v>76000</v>
      </c>
      <c r="D16" s="244">
        <v>15.5</v>
      </c>
      <c r="E16" s="244"/>
      <c r="F16" s="243"/>
      <c r="G16" s="244"/>
      <c r="H16" s="244"/>
    </row>
    <row r="17" spans="1:8" s="196" customFormat="1">
      <c r="A17" s="242" t="s">
        <v>21</v>
      </c>
      <c r="B17" s="401">
        <f t="shared" si="0"/>
        <v>6437</v>
      </c>
      <c r="C17" s="243">
        <v>41000</v>
      </c>
      <c r="D17" s="244">
        <v>15.7</v>
      </c>
      <c r="E17" s="244"/>
      <c r="F17" s="243"/>
      <c r="G17" s="244"/>
      <c r="H17" s="244"/>
    </row>
    <row r="18" spans="1:8" s="196" customFormat="1">
      <c r="A18" s="242" t="s">
        <v>22</v>
      </c>
      <c r="B18" s="401">
        <f t="shared" si="0"/>
        <v>2392</v>
      </c>
      <c r="C18" s="243">
        <v>26000</v>
      </c>
      <c r="D18" s="244">
        <v>9.1999999999999993</v>
      </c>
      <c r="E18" s="244"/>
      <c r="F18" s="243"/>
      <c r="G18" s="244"/>
      <c r="H18" s="244"/>
    </row>
    <row r="19" spans="1:8" s="196" customFormat="1">
      <c r="A19" s="242" t="s">
        <v>23</v>
      </c>
      <c r="B19" s="401">
        <f t="shared" si="0"/>
        <v>4125</v>
      </c>
      <c r="C19" s="243">
        <v>33000</v>
      </c>
      <c r="D19" s="244">
        <v>12.5</v>
      </c>
      <c r="E19" s="244"/>
      <c r="F19" s="243"/>
      <c r="G19" s="244"/>
      <c r="H19" s="244"/>
    </row>
    <row r="20" spans="1:8" s="196" customFormat="1">
      <c r="A20" s="242" t="s">
        <v>24</v>
      </c>
      <c r="B20" s="401">
        <f t="shared" si="0"/>
        <v>1386</v>
      </c>
      <c r="C20" s="243">
        <v>22000</v>
      </c>
      <c r="D20" s="244">
        <v>6.3</v>
      </c>
      <c r="E20" s="244"/>
      <c r="F20" s="243"/>
      <c r="G20" s="244"/>
      <c r="H20" s="244"/>
    </row>
    <row r="21" spans="1:8" s="196" customFormat="1">
      <c r="A21" s="242" t="s">
        <v>25</v>
      </c>
      <c r="B21" s="401">
        <f t="shared" si="0"/>
        <v>9849</v>
      </c>
      <c r="C21" s="243">
        <v>67000</v>
      </c>
      <c r="D21" s="244">
        <v>14.7</v>
      </c>
      <c r="E21" s="244"/>
      <c r="F21" s="243"/>
      <c r="G21" s="244"/>
      <c r="H21" s="244"/>
    </row>
    <row r="22" spans="1:8" s="196" customFormat="1">
      <c r="A22" s="242" t="s">
        <v>26</v>
      </c>
      <c r="B22" s="401">
        <f t="shared" si="0"/>
        <v>19591.000000000004</v>
      </c>
      <c r="C22" s="243">
        <v>137000</v>
      </c>
      <c r="D22" s="244">
        <v>14.3</v>
      </c>
      <c r="E22" s="244"/>
      <c r="F22" s="243"/>
      <c r="G22" s="244"/>
      <c r="H22" s="244"/>
    </row>
    <row r="23" spans="1:8" s="196" customFormat="1">
      <c r="A23" s="242" t="s">
        <v>27</v>
      </c>
      <c r="B23" s="401">
        <f t="shared" si="0"/>
        <v>31302.000000000004</v>
      </c>
      <c r="C23" s="243">
        <v>423000</v>
      </c>
      <c r="D23" s="244">
        <v>7.4</v>
      </c>
      <c r="E23" s="244"/>
      <c r="F23" s="243"/>
      <c r="G23" s="244"/>
      <c r="H23" s="244"/>
    </row>
    <row r="24" spans="1:8" s="196" customFormat="1">
      <c r="A24" s="242" t="s">
        <v>28</v>
      </c>
      <c r="B24" s="401">
        <f t="shared" si="0"/>
        <v>12768</v>
      </c>
      <c r="C24" s="243">
        <v>112000</v>
      </c>
      <c r="D24" s="244">
        <v>11.4</v>
      </c>
      <c r="E24" s="244"/>
      <c r="F24" s="243"/>
      <c r="G24" s="244"/>
      <c r="H24" s="244"/>
    </row>
    <row r="25" spans="1:8" s="196" customFormat="1">
      <c r="A25" s="242" t="s">
        <v>29</v>
      </c>
      <c r="B25" s="401">
        <f t="shared" si="0"/>
        <v>3510.0000000000005</v>
      </c>
      <c r="C25" s="243">
        <v>26000</v>
      </c>
      <c r="D25" s="244">
        <v>13.5</v>
      </c>
      <c r="E25" s="244"/>
      <c r="F25" s="243"/>
      <c r="G25" s="244"/>
      <c r="H25" s="244"/>
    </row>
    <row r="26" spans="1:8" s="196" customFormat="1">
      <c r="A26" s="242" t="s">
        <v>30</v>
      </c>
      <c r="B26" s="401">
        <f t="shared" si="0"/>
        <v>3663</v>
      </c>
      <c r="C26" s="243">
        <v>33000</v>
      </c>
      <c r="D26" s="244">
        <v>11.1</v>
      </c>
      <c r="E26" s="244"/>
      <c r="F26" s="243"/>
      <c r="G26" s="244"/>
      <c r="H26" s="244"/>
    </row>
    <row r="27" spans="1:8" s="196" customFormat="1">
      <c r="A27" s="242" t="s">
        <v>31</v>
      </c>
      <c r="B27" s="401">
        <f t="shared" si="0"/>
        <v>5004</v>
      </c>
      <c r="C27" s="243">
        <v>36000</v>
      </c>
      <c r="D27" s="244">
        <v>13.9</v>
      </c>
      <c r="E27" s="244"/>
      <c r="F27" s="243"/>
      <c r="G27" s="244"/>
      <c r="H27" s="244"/>
    </row>
    <row r="28" spans="1:8" s="196" customFormat="1">
      <c r="A28" s="242" t="s">
        <v>32</v>
      </c>
      <c r="B28" s="196" t="s">
        <v>69</v>
      </c>
      <c r="C28" s="243" t="s">
        <v>69</v>
      </c>
      <c r="D28" s="244" t="s">
        <v>69</v>
      </c>
      <c r="E28" s="244"/>
      <c r="F28" s="243"/>
      <c r="G28" s="244"/>
      <c r="H28" s="244"/>
    </row>
    <row r="29" spans="1:8" s="196" customFormat="1">
      <c r="A29" s="242" t="s">
        <v>33</v>
      </c>
      <c r="B29" s="401">
        <f t="shared" si="0"/>
        <v>4674</v>
      </c>
      <c r="C29" s="243">
        <v>41000</v>
      </c>
      <c r="D29" s="244">
        <v>11.4</v>
      </c>
      <c r="E29" s="244"/>
      <c r="F29" s="243"/>
      <c r="G29" s="244"/>
      <c r="H29" s="244"/>
    </row>
    <row r="30" spans="1:8" s="196" customFormat="1">
      <c r="A30" s="242" t="s">
        <v>34</v>
      </c>
      <c r="B30" s="401">
        <f t="shared" si="0"/>
        <v>16348</v>
      </c>
      <c r="C30" s="243">
        <v>134000</v>
      </c>
      <c r="D30" s="244">
        <v>12.2</v>
      </c>
      <c r="E30" s="244"/>
      <c r="F30" s="243"/>
      <c r="G30" s="244"/>
      <c r="H30" s="244"/>
    </row>
    <row r="31" spans="1:8" s="196" customFormat="1">
      <c r="A31" s="242" t="s">
        <v>35</v>
      </c>
      <c r="B31" s="196" t="s">
        <v>69</v>
      </c>
      <c r="C31" s="243" t="s">
        <v>69</v>
      </c>
      <c r="D31" s="244" t="s">
        <v>69</v>
      </c>
      <c r="E31" s="244"/>
      <c r="F31" s="243"/>
      <c r="G31" s="244"/>
      <c r="H31" s="243"/>
    </row>
    <row r="32" spans="1:8" s="196" customFormat="1">
      <c r="A32" s="242" t="s">
        <v>36</v>
      </c>
      <c r="B32" s="401">
        <f t="shared" si="0"/>
        <v>10560</v>
      </c>
      <c r="C32" s="243">
        <v>64000</v>
      </c>
      <c r="D32" s="244">
        <v>16.5</v>
      </c>
      <c r="E32" s="244"/>
      <c r="F32" s="243"/>
      <c r="G32" s="244"/>
      <c r="H32" s="244"/>
    </row>
    <row r="33" spans="1:8" s="196" customFormat="1">
      <c r="A33" s="242" t="s">
        <v>37</v>
      </c>
      <c r="B33" s="401">
        <f t="shared" si="0"/>
        <v>8134</v>
      </c>
      <c r="C33" s="243">
        <v>83000</v>
      </c>
      <c r="D33" s="244">
        <v>9.8000000000000007</v>
      </c>
      <c r="E33" s="244"/>
      <c r="F33" s="243"/>
      <c r="G33" s="244"/>
      <c r="H33" s="244"/>
    </row>
    <row r="34" spans="1:8" s="196" customFormat="1">
      <c r="A34" s="242" t="s">
        <v>38</v>
      </c>
      <c r="B34" s="401">
        <f t="shared" si="0"/>
        <v>5124</v>
      </c>
      <c r="C34" s="243">
        <v>42000</v>
      </c>
      <c r="D34" s="244">
        <v>12.2</v>
      </c>
      <c r="E34" s="244"/>
      <c r="F34" s="243"/>
      <c r="G34" s="244"/>
      <c r="H34" s="244"/>
    </row>
    <row r="35" spans="1:8" s="196" customFormat="1">
      <c r="A35" s="242" t="s">
        <v>39</v>
      </c>
      <c r="B35" s="196" t="s">
        <v>69</v>
      </c>
      <c r="C35" s="243" t="s">
        <v>69</v>
      </c>
      <c r="D35" s="244" t="s">
        <v>69</v>
      </c>
      <c r="E35" s="243"/>
      <c r="F35" s="243"/>
      <c r="G35" s="244"/>
      <c r="H35" s="244"/>
    </row>
    <row r="36" spans="1:8" s="196" customFormat="1">
      <c r="A36" s="242" t="s">
        <v>40</v>
      </c>
      <c r="B36" s="401">
        <f t="shared" si="0"/>
        <v>5704</v>
      </c>
      <c r="C36" s="243">
        <v>46000</v>
      </c>
      <c r="D36" s="244">
        <v>12.4</v>
      </c>
      <c r="E36" s="244"/>
      <c r="F36" s="243"/>
      <c r="G36" s="244"/>
      <c r="H36" s="244"/>
    </row>
    <row r="37" spans="1:8" s="196" customFormat="1">
      <c r="A37" s="242" t="s">
        <v>41</v>
      </c>
      <c r="B37" s="401">
        <f t="shared" si="0"/>
        <v>11781</v>
      </c>
      <c r="C37" s="243">
        <v>119000</v>
      </c>
      <c r="D37" s="244">
        <v>9.9</v>
      </c>
      <c r="E37" s="241"/>
      <c r="F37" s="200"/>
      <c r="G37" s="241"/>
      <c r="H37" s="241"/>
    </row>
    <row r="38" spans="1:8" s="196" customFormat="1">
      <c r="A38" s="242" t="s">
        <v>42</v>
      </c>
      <c r="B38" s="401">
        <f t="shared" si="0"/>
        <v>6624.0000000000009</v>
      </c>
      <c r="C38" s="243">
        <v>46000</v>
      </c>
      <c r="D38" s="244">
        <v>14.4</v>
      </c>
      <c r="E38" s="244"/>
      <c r="F38" s="243"/>
      <c r="G38" s="244"/>
      <c r="H38" s="244"/>
    </row>
    <row r="39" spans="1:8" s="196" customFormat="1">
      <c r="A39" s="242" t="s">
        <v>43</v>
      </c>
      <c r="B39" s="401">
        <f t="shared" si="0"/>
        <v>4389</v>
      </c>
      <c r="C39" s="243">
        <v>33000</v>
      </c>
      <c r="D39" s="244">
        <v>13.3</v>
      </c>
      <c r="E39" s="244"/>
      <c r="F39" s="243"/>
      <c r="G39" s="244"/>
      <c r="H39" s="244"/>
    </row>
    <row r="40" spans="1:8" s="196" customFormat="1">
      <c r="A40" s="242" t="s">
        <v>44</v>
      </c>
      <c r="B40" s="401">
        <f t="shared" si="0"/>
        <v>8932</v>
      </c>
      <c r="C40" s="243">
        <v>77000</v>
      </c>
      <c r="D40" s="244">
        <v>11.6</v>
      </c>
      <c r="E40" s="244"/>
      <c r="F40" s="243"/>
      <c r="G40" s="244"/>
      <c r="H40" s="244"/>
    </row>
    <row r="41" spans="1:8" s="196" customFormat="1">
      <c r="A41" s="242"/>
      <c r="C41" s="243"/>
      <c r="D41" s="244"/>
      <c r="E41" s="244"/>
      <c r="F41" s="243"/>
      <c r="G41" s="244"/>
      <c r="H41" s="244"/>
    </row>
    <row r="42" spans="1:8" s="196" customFormat="1">
      <c r="A42" s="242" t="s">
        <v>45</v>
      </c>
      <c r="B42" s="401">
        <f>SUM(B9:B40)</f>
        <v>274209</v>
      </c>
      <c r="C42" s="401">
        <f>SUM(C9:C40)</f>
        <v>2480000</v>
      </c>
      <c r="D42" s="420">
        <f>(B42/C42)*100</f>
        <v>11.056814516129032</v>
      </c>
      <c r="E42" s="244"/>
      <c r="F42" s="243"/>
      <c r="G42" s="244"/>
      <c r="H42" s="244"/>
    </row>
    <row r="43" spans="1:8" s="196" customFormat="1">
      <c r="A43" s="242" t="s">
        <v>279</v>
      </c>
      <c r="C43" s="243">
        <v>30381000</v>
      </c>
      <c r="D43" s="244"/>
      <c r="E43" s="244"/>
      <c r="F43" s="243"/>
      <c r="G43" s="244"/>
      <c r="H43" s="244"/>
    </row>
    <row r="44" spans="1:8">
      <c r="A44" s="6" t="s">
        <v>543</v>
      </c>
      <c r="B44" s="393" cm="1">
        <f t="array" ref="B44">SUM(SUMIFS(B$9:B$40,$A$9:$A$40,{"Na h-Eileanan Siar","Argyll and Bute","Shetland Islands","Highland","Orkney Islands","Scottish Borders","Dumfries and Galloway","Aberdeenshire"}))</f>
        <v>50246</v>
      </c>
      <c r="C44" s="393">
        <f>SUM(SUMIFS(C$9:C$40,$A$9:$A$40,{"Na h-Eileanan Siar","Argyll and Bute","Shetland Islands","Highland","Orkney Islands","Scottish Borders","Dumfries and Galloway","Aberdeenshire"}))</f>
        <v>352000</v>
      </c>
      <c r="D44" s="394">
        <f>SUM(B44/C44)*100</f>
        <v>14.274431818181817</v>
      </c>
      <c r="E44" s="10"/>
      <c r="F44" s="370"/>
      <c r="G44" s="9"/>
      <c r="H44" s="10"/>
    </row>
    <row r="45" spans="1:8">
      <c r="A45" s="6" t="s">
        <v>544</v>
      </c>
      <c r="B45" s="393">
        <f>SUM(SUMIFS(B$9:B$40,$A$9:$A$40,{"Perth and Kinross","Stirling","Moray","South Ayrshire","East Ayrshire","East Lothian","North Ayrshire","Fife"}))</f>
        <v>62719</v>
      </c>
      <c r="C45" s="393">
        <f>SUM(SUMIFS(C$9:C$40,$A$9:$A$40,{"Perth and Kinross","Stirling","Moray","South Ayrshire","East Ayrshire","East Lothian","North Ayrshire","Fife"}))</f>
        <v>444000</v>
      </c>
      <c r="D45" s="394">
        <f>SUM(B45/C45)*100</f>
        <v>14.1259009009009</v>
      </c>
      <c r="E45" s="9"/>
      <c r="F45" s="370"/>
      <c r="G45" s="233"/>
      <c r="H45" s="9"/>
    </row>
    <row r="46" spans="1:8">
      <c r="A46" s="6" t="s">
        <v>545</v>
      </c>
      <c r="B46" s="393">
        <f>SUM(SUMIFS(B$9:B$40,$A$9:$A$40,{"Angus","Clackmannanshire","Midlothian","South Lanarkshire","Inverclyde","Renfrewshire","West Lothian","East Renfrewshire"}))</f>
        <v>44822</v>
      </c>
      <c r="C46" s="393">
        <f>SUM(SUMIFS(C$9:C$40,$A$9:$A$40,{"Angus","Clackmannanshire","Midlothian","South Lanarkshire","Inverclyde","Renfrewshire","West Lothian","East Renfrewshire"}))</f>
        <v>411000</v>
      </c>
      <c r="D46" s="394">
        <f>SUM(B46/C46)*100</f>
        <v>10.905596107055961</v>
      </c>
      <c r="E46" s="9"/>
      <c r="F46" s="370"/>
      <c r="G46" s="233"/>
      <c r="H46" s="9"/>
    </row>
    <row r="47" spans="1:8">
      <c r="A47" s="6" t="s">
        <v>546</v>
      </c>
      <c r="B47" s="393">
        <f>SUM(SUMIFS(B$9:B$40,$A$9:$A$40,{"North Lanarkshire","Falkirk","East Dunbartonshire","Aberdeen City","Edinburgh, City of","West Dunbartonshire","Dundee City","Glasgow City"}))</f>
        <v>116422</v>
      </c>
      <c r="C47" s="393">
        <f>SUM(SUMIFS(C$9:C$40,$A$9:$A$40,{"North Lanarkshire","Falkirk","East Dunbartonshire","Aberdeen City","Edinburgh, City of","West Dunbartonshire","Dundee City","Glasgow City"}))</f>
        <v>1273000</v>
      </c>
      <c r="D47" s="394">
        <f>SUM(B47/C47)*100</f>
        <v>9.1454831107619796</v>
      </c>
      <c r="E47" s="9"/>
      <c r="F47" s="370"/>
      <c r="G47" s="233"/>
      <c r="H47" s="9"/>
    </row>
    <row r="48" spans="1:8">
      <c r="A48" s="198" t="s">
        <v>47</v>
      </c>
      <c r="B48" s="393" cm="1">
        <f t="array" ref="B48">SUM(SUMIFS(B$9:B$40,$A$9:$A$40,{"Glasgow City","Inverclyde","Renfrewshire","East Renfrewshire","South Lanarkshire","North Lanarkshire","West Dunbartonshire","East Dunbartonshire"}))</f>
        <v>79242</v>
      </c>
      <c r="C48" s="393" cm="1">
        <f t="array" ref="C48">SUM(SUMIFS(C$9:C$40,$A$9:$A$40,{"Glasgow City","Inverclyde","Renfrewshire","East Renfrewshire","South Lanarkshire","North Lanarkshire","West Dunbartonshire","East Dunbartonshire"}))</f>
        <v>866000</v>
      </c>
      <c r="D48" s="394">
        <f>SUM(B48/C48)*100</f>
        <v>9.1503464203233253</v>
      </c>
      <c r="E48" s="9"/>
      <c r="F48" s="370"/>
      <c r="G48" s="233"/>
      <c r="H48" s="9"/>
    </row>
    <row r="49" spans="1:8" s="6" customFormat="1">
      <c r="B49" s="370"/>
      <c r="C49" s="370"/>
      <c r="D49" s="130"/>
    </row>
    <row r="50" spans="1:8" s="6" customFormat="1" ht="12.5">
      <c r="A50" s="2" t="s">
        <v>12</v>
      </c>
    </row>
    <row r="51" spans="1:8" s="6" customFormat="1" ht="12.5"/>
    <row r="52" spans="1:8" s="6" customFormat="1" ht="12.5"/>
    <row r="53" spans="1:8" s="196" customFormat="1">
      <c r="A53"/>
      <c r="B53"/>
      <c r="C53"/>
      <c r="D53"/>
      <c r="E53" s="241"/>
      <c r="F53" s="200"/>
      <c r="G53" s="241"/>
      <c r="H53" s="241"/>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CC8C-F9BC-4634-858C-E4ED603FCEDB}">
  <sheetPr>
    <pageSetUpPr autoPageBreaks="0"/>
  </sheetPr>
  <dimension ref="A1:F53"/>
  <sheetViews>
    <sheetView zoomScale="55" zoomScaleNormal="55" workbookViewId="0">
      <selection activeCell="N9" sqref="N9"/>
    </sheetView>
  </sheetViews>
  <sheetFormatPr defaultColWidth="8.7265625" defaultRowHeight="14.5"/>
  <cols>
    <col min="1" max="1" width="25" customWidth="1" collapsed="1"/>
    <col min="2" max="6" width="14" customWidth="1" collapsed="1"/>
  </cols>
  <sheetData>
    <row r="1" spans="1:6" ht="15.5">
      <c r="A1" s="1" t="s">
        <v>0</v>
      </c>
    </row>
    <row r="2" spans="1:6">
      <c r="A2" s="2" t="s">
        <v>170</v>
      </c>
    </row>
    <row r="4" spans="1:6">
      <c r="A4" s="6" t="s">
        <v>1</v>
      </c>
      <c r="B4" s="6" t="s">
        <v>2</v>
      </c>
    </row>
    <row r="5" spans="1:6">
      <c r="A5" s="6" t="s">
        <v>3</v>
      </c>
      <c r="B5" s="6"/>
    </row>
    <row r="7" spans="1:6" s="196" customFormat="1" ht="22" customHeight="1">
      <c r="A7" s="12" t="s">
        <v>5</v>
      </c>
      <c r="B7" s="65"/>
      <c r="C7" s="65"/>
      <c r="D7" s="65"/>
      <c r="E7" s="65"/>
      <c r="F7" s="65"/>
    </row>
    <row r="8" spans="1:6" s="196" customFormat="1" ht="26.15" customHeight="1">
      <c r="A8"/>
      <c r="B8" s="11" t="s">
        <v>6</v>
      </c>
      <c r="C8" s="11" t="s">
        <v>7</v>
      </c>
      <c r="D8" s="11" t="s">
        <v>8</v>
      </c>
      <c r="E8" s="11"/>
      <c r="F8" s="11"/>
    </row>
    <row r="9" spans="1:6" s="196" customFormat="1">
      <c r="A9" s="242" t="s">
        <v>14</v>
      </c>
      <c r="B9" s="401">
        <f>C9*(D9/100)</f>
        <v>4740</v>
      </c>
      <c r="C9" s="243">
        <v>158000</v>
      </c>
      <c r="D9" s="244">
        <v>3</v>
      </c>
      <c r="E9" s="244"/>
      <c r="F9" s="243"/>
    </row>
    <row r="10" spans="1:6" s="196" customFormat="1">
      <c r="A10" s="242" t="s">
        <v>15</v>
      </c>
      <c r="B10" s="401">
        <f t="shared" ref="B10:B40" si="0">C10*(D10/100)</f>
        <v>2472</v>
      </c>
      <c r="C10" s="243">
        <v>103000</v>
      </c>
      <c r="D10" s="244">
        <v>2.4</v>
      </c>
      <c r="E10" s="244"/>
      <c r="F10" s="243"/>
    </row>
    <row r="11" spans="1:6" s="196" customFormat="1">
      <c r="A11" s="242" t="s">
        <v>16</v>
      </c>
      <c r="B11" s="401">
        <f t="shared" si="0"/>
        <v>1152</v>
      </c>
      <c r="C11" s="243">
        <v>36000</v>
      </c>
      <c r="D11" s="244">
        <v>3.2</v>
      </c>
      <c r="E11" s="244"/>
      <c r="F11" s="243"/>
    </row>
    <row r="12" spans="1:6" s="196" customFormat="1">
      <c r="A12" s="242" t="s">
        <v>17</v>
      </c>
      <c r="B12" s="401">
        <f t="shared" si="0"/>
        <v>925</v>
      </c>
      <c r="C12" s="243">
        <v>37000</v>
      </c>
      <c r="D12" s="244">
        <v>2.5</v>
      </c>
      <c r="E12" s="244"/>
      <c r="F12" s="243"/>
    </row>
    <row r="13" spans="1:6" s="196" customFormat="1">
      <c r="A13" s="242" t="s">
        <v>189</v>
      </c>
      <c r="B13" s="401">
        <f t="shared" si="0"/>
        <v>6408.0000000000009</v>
      </c>
      <c r="C13" s="243">
        <v>356000</v>
      </c>
      <c r="D13" s="244">
        <v>1.8</v>
      </c>
      <c r="E13" s="244"/>
      <c r="F13" s="243"/>
    </row>
    <row r="14" spans="1:6" s="196" customFormat="1">
      <c r="A14" s="242" t="s">
        <v>18</v>
      </c>
      <c r="B14" s="196" t="s">
        <v>69</v>
      </c>
      <c r="C14" s="243">
        <v>15000</v>
      </c>
      <c r="D14" s="244" t="s">
        <v>69</v>
      </c>
      <c r="E14" s="244"/>
      <c r="F14" s="243"/>
    </row>
    <row r="15" spans="1:6" s="196" customFormat="1">
      <c r="A15" s="242" t="s">
        <v>19</v>
      </c>
      <c r="B15" s="401">
        <f t="shared" si="0"/>
        <v>1392</v>
      </c>
      <c r="C15" s="243">
        <v>58000</v>
      </c>
      <c r="D15" s="244">
        <v>2.4</v>
      </c>
      <c r="E15" s="244"/>
      <c r="F15" s="243"/>
    </row>
    <row r="16" spans="1:6" s="196" customFormat="1">
      <c r="A16" s="242" t="s">
        <v>20</v>
      </c>
      <c r="B16" s="401">
        <f t="shared" si="0"/>
        <v>1748</v>
      </c>
      <c r="C16" s="243">
        <v>76000</v>
      </c>
      <c r="D16" s="244">
        <v>2.2999999999999998</v>
      </c>
      <c r="E16" s="244"/>
      <c r="F16" s="243"/>
    </row>
    <row r="17" spans="1:6" s="196" customFormat="1">
      <c r="A17" s="242" t="s">
        <v>21</v>
      </c>
      <c r="B17" s="401">
        <f t="shared" si="0"/>
        <v>1394</v>
      </c>
      <c r="C17" s="243">
        <v>41000</v>
      </c>
      <c r="D17" s="244">
        <v>3.4</v>
      </c>
      <c r="E17" s="244"/>
      <c r="F17" s="243"/>
    </row>
    <row r="18" spans="1:6" s="196" customFormat="1">
      <c r="A18" s="242" t="s">
        <v>22</v>
      </c>
      <c r="B18" s="401">
        <f t="shared" si="0"/>
        <v>1144.0000000000002</v>
      </c>
      <c r="C18" s="243">
        <v>26000</v>
      </c>
      <c r="D18" s="244">
        <v>4.4000000000000004</v>
      </c>
      <c r="E18" s="244"/>
      <c r="F18" s="243"/>
    </row>
    <row r="19" spans="1:6" s="196" customFormat="1">
      <c r="A19" s="242" t="s">
        <v>23</v>
      </c>
      <c r="B19" s="401">
        <f t="shared" si="0"/>
        <v>891.00000000000011</v>
      </c>
      <c r="C19" s="243">
        <v>33000</v>
      </c>
      <c r="D19" s="244">
        <v>2.7</v>
      </c>
      <c r="E19" s="244"/>
      <c r="F19" s="243"/>
    </row>
    <row r="20" spans="1:6" s="196" customFormat="1">
      <c r="A20" s="242" t="s">
        <v>24</v>
      </c>
      <c r="B20" s="401">
        <f t="shared" si="0"/>
        <v>396.00000000000006</v>
      </c>
      <c r="C20" s="243">
        <v>22000</v>
      </c>
      <c r="D20" s="244">
        <v>1.8</v>
      </c>
      <c r="E20" s="244"/>
      <c r="F20" s="243"/>
    </row>
    <row r="21" spans="1:6" s="196" customFormat="1">
      <c r="A21" s="242" t="s">
        <v>25</v>
      </c>
      <c r="B21" s="401">
        <f t="shared" si="0"/>
        <v>1675</v>
      </c>
      <c r="C21" s="243">
        <v>67000</v>
      </c>
      <c r="D21" s="244">
        <v>2.5</v>
      </c>
      <c r="E21" s="244"/>
      <c r="F21" s="243"/>
    </row>
    <row r="22" spans="1:6" s="196" customFormat="1">
      <c r="A22" s="242" t="s">
        <v>26</v>
      </c>
      <c r="B22" s="401">
        <f t="shared" si="0"/>
        <v>5754</v>
      </c>
      <c r="C22" s="243">
        <v>137000</v>
      </c>
      <c r="D22" s="244">
        <v>4.2</v>
      </c>
      <c r="E22" s="244"/>
      <c r="F22" s="243"/>
    </row>
    <row r="23" spans="1:6" s="196" customFormat="1">
      <c r="A23" s="242" t="s">
        <v>27</v>
      </c>
      <c r="B23" s="401">
        <f t="shared" si="0"/>
        <v>5921.9999999999991</v>
      </c>
      <c r="C23" s="243">
        <v>423000</v>
      </c>
      <c r="D23" s="244">
        <v>1.4</v>
      </c>
      <c r="E23" s="244"/>
      <c r="F23" s="243"/>
    </row>
    <row r="24" spans="1:6" s="196" customFormat="1">
      <c r="A24" s="242" t="s">
        <v>28</v>
      </c>
      <c r="B24" s="401">
        <f t="shared" si="0"/>
        <v>4144.0000000000009</v>
      </c>
      <c r="C24" s="243">
        <v>112000</v>
      </c>
      <c r="D24" s="244">
        <v>3.7</v>
      </c>
      <c r="E24" s="244"/>
      <c r="F24" s="243"/>
    </row>
    <row r="25" spans="1:6" s="196" customFormat="1">
      <c r="A25" s="242" t="s">
        <v>29</v>
      </c>
      <c r="B25" s="401">
        <f t="shared" si="0"/>
        <v>260</v>
      </c>
      <c r="C25" s="243">
        <v>26000</v>
      </c>
      <c r="D25" s="244">
        <v>1</v>
      </c>
      <c r="E25" s="244"/>
      <c r="F25" s="243"/>
    </row>
    <row r="26" spans="1:6" s="196" customFormat="1">
      <c r="A26" s="242" t="s">
        <v>30</v>
      </c>
      <c r="B26" s="196" t="s">
        <v>69</v>
      </c>
      <c r="C26" s="243">
        <v>33000</v>
      </c>
      <c r="D26" s="244" t="s">
        <v>69</v>
      </c>
      <c r="E26" s="244"/>
      <c r="F26" s="243"/>
    </row>
    <row r="27" spans="1:6" s="196" customFormat="1">
      <c r="A27" s="242" t="s">
        <v>31</v>
      </c>
      <c r="B27" s="401">
        <f t="shared" si="0"/>
        <v>1007.9999999999999</v>
      </c>
      <c r="C27" s="243">
        <v>36000</v>
      </c>
      <c r="D27" s="244">
        <v>2.8</v>
      </c>
      <c r="E27" s="244"/>
      <c r="F27" s="243"/>
    </row>
    <row r="28" spans="1:6" s="196" customFormat="1">
      <c r="A28" s="242" t="s">
        <v>32</v>
      </c>
      <c r="B28" s="196" t="s">
        <v>69</v>
      </c>
      <c r="C28" s="243" t="s">
        <v>69</v>
      </c>
      <c r="D28" s="244" t="s">
        <v>69</v>
      </c>
      <c r="E28" s="244"/>
      <c r="F28" s="243"/>
    </row>
    <row r="29" spans="1:6" s="196" customFormat="1">
      <c r="A29" s="242" t="s">
        <v>33</v>
      </c>
      <c r="B29" s="401">
        <f t="shared" si="0"/>
        <v>656</v>
      </c>
      <c r="C29" s="243">
        <v>41000</v>
      </c>
      <c r="D29" s="244">
        <v>1.6</v>
      </c>
      <c r="E29" s="244"/>
      <c r="F29" s="243"/>
    </row>
    <row r="30" spans="1:6" s="196" customFormat="1">
      <c r="A30" s="242" t="s">
        <v>34</v>
      </c>
      <c r="B30" s="401">
        <f t="shared" si="0"/>
        <v>1875.9999999999998</v>
      </c>
      <c r="C30" s="243">
        <v>134000</v>
      </c>
      <c r="D30" s="244">
        <v>1.4</v>
      </c>
      <c r="E30" s="244"/>
      <c r="F30" s="243"/>
    </row>
    <row r="31" spans="1:6" s="196" customFormat="1">
      <c r="A31" s="242" t="s">
        <v>35</v>
      </c>
      <c r="B31" s="196" t="s">
        <v>69</v>
      </c>
      <c r="C31" s="243" t="s">
        <v>69</v>
      </c>
      <c r="D31" s="244" t="s">
        <v>69</v>
      </c>
      <c r="E31" s="244"/>
      <c r="F31" s="243"/>
    </row>
    <row r="32" spans="1:6" s="196" customFormat="1">
      <c r="A32" s="242" t="s">
        <v>36</v>
      </c>
      <c r="B32" s="401">
        <f t="shared" si="0"/>
        <v>1280</v>
      </c>
      <c r="C32" s="243">
        <v>64000</v>
      </c>
      <c r="D32" s="244">
        <v>2</v>
      </c>
      <c r="E32" s="244"/>
      <c r="F32" s="243"/>
    </row>
    <row r="33" spans="1:6" s="196" customFormat="1">
      <c r="A33" s="242" t="s">
        <v>37</v>
      </c>
      <c r="B33" s="401">
        <f t="shared" si="0"/>
        <v>1743</v>
      </c>
      <c r="C33" s="243">
        <v>83000</v>
      </c>
      <c r="D33" s="244">
        <v>2.1</v>
      </c>
      <c r="E33" s="244"/>
      <c r="F33" s="243"/>
    </row>
    <row r="34" spans="1:6" s="196" customFormat="1">
      <c r="A34" s="242" t="s">
        <v>38</v>
      </c>
      <c r="B34" s="401">
        <f t="shared" si="0"/>
        <v>714</v>
      </c>
      <c r="C34" s="243">
        <v>42000</v>
      </c>
      <c r="D34" s="244">
        <v>1.7</v>
      </c>
      <c r="E34" s="244"/>
      <c r="F34" s="243"/>
    </row>
    <row r="35" spans="1:6" s="196" customFormat="1">
      <c r="A35" s="242" t="s">
        <v>39</v>
      </c>
      <c r="B35" s="196" t="s">
        <v>69</v>
      </c>
      <c r="C35" s="243" t="s">
        <v>69</v>
      </c>
      <c r="D35" s="244" t="s">
        <v>69</v>
      </c>
      <c r="E35" s="243"/>
      <c r="F35" s="243"/>
    </row>
    <row r="36" spans="1:6" s="196" customFormat="1">
      <c r="A36" s="242" t="s">
        <v>40</v>
      </c>
      <c r="B36" s="401">
        <f t="shared" si="0"/>
        <v>1564</v>
      </c>
      <c r="C36" s="243">
        <v>46000</v>
      </c>
      <c r="D36" s="244">
        <v>3.4</v>
      </c>
      <c r="E36" s="244"/>
      <c r="F36" s="243"/>
    </row>
    <row r="37" spans="1:6" s="196" customFormat="1">
      <c r="A37" s="242" t="s">
        <v>41</v>
      </c>
      <c r="B37" s="401">
        <f t="shared" si="0"/>
        <v>952</v>
      </c>
      <c r="C37" s="243">
        <v>119000</v>
      </c>
      <c r="D37" s="244">
        <v>0.8</v>
      </c>
      <c r="E37" s="241"/>
      <c r="F37" s="200"/>
    </row>
    <row r="38" spans="1:6" s="196" customFormat="1">
      <c r="A38" s="242" t="s">
        <v>42</v>
      </c>
      <c r="B38" s="401">
        <f t="shared" si="0"/>
        <v>1150</v>
      </c>
      <c r="C38" s="243">
        <v>46000</v>
      </c>
      <c r="D38" s="244">
        <v>2.5</v>
      </c>
      <c r="E38" s="244"/>
      <c r="F38" s="243"/>
    </row>
    <row r="39" spans="1:6" s="196" customFormat="1">
      <c r="A39" s="242" t="s">
        <v>43</v>
      </c>
      <c r="B39" s="401">
        <f t="shared" si="0"/>
        <v>759</v>
      </c>
      <c r="C39" s="243">
        <v>33000</v>
      </c>
      <c r="D39" s="244">
        <v>2.2999999999999998</v>
      </c>
      <c r="E39" s="244"/>
      <c r="F39" s="243"/>
    </row>
    <row r="40" spans="1:6" s="196" customFormat="1">
      <c r="A40" s="242" t="s">
        <v>44</v>
      </c>
      <c r="B40" s="401">
        <f t="shared" si="0"/>
        <v>693.00000000000011</v>
      </c>
      <c r="C40" s="243">
        <v>77000</v>
      </c>
      <c r="D40" s="244">
        <v>0.9</v>
      </c>
      <c r="E40" s="244"/>
      <c r="F40" s="243"/>
    </row>
    <row r="41" spans="1:6" s="196" customFormat="1">
      <c r="A41" s="242"/>
      <c r="C41" s="243"/>
      <c r="D41" s="244"/>
      <c r="E41" s="244"/>
      <c r="F41" s="243"/>
    </row>
    <row r="42" spans="1:6" s="196" customFormat="1">
      <c r="A42" s="242" t="s">
        <v>45</v>
      </c>
      <c r="B42" s="401">
        <f>SUM(B9:B40)</f>
        <v>52812</v>
      </c>
      <c r="C42" s="401">
        <f>SUM(C9:C40)</f>
        <v>2480000</v>
      </c>
      <c r="D42" s="420">
        <f>(B42/C42)*100</f>
        <v>2.1295161290322584</v>
      </c>
      <c r="E42" s="244"/>
      <c r="F42" s="243"/>
    </row>
    <row r="43" spans="1:6" s="196" customFormat="1">
      <c r="A43" s="242" t="s">
        <v>279</v>
      </c>
      <c r="C43" s="243">
        <v>30381000</v>
      </c>
      <c r="D43" s="244"/>
      <c r="E43" s="244"/>
      <c r="F43" s="243"/>
    </row>
    <row r="44" spans="1:6">
      <c r="A44" s="6" t="s">
        <v>543</v>
      </c>
      <c r="B44" s="393" cm="1">
        <f t="array" ref="B44">SUM(SUMIFS(B$9:B$40,$A$9:$A$40,{"Na h-Eileanan Siar","Argyll and Bute","Shetland Islands","Highland","Orkney Islands","Scottish Borders","Dumfries and Galloway","Aberdeenshire"}))</f>
        <v>9647</v>
      </c>
      <c r="C44" s="393">
        <f>SUM(SUMIFS(C$9:C$40,$A$9:$A$40,{"Na h-Eileanan Siar","Argyll and Bute","Shetland Islands","Highland","Orkney Islands","Scottish Borders","Dumfries and Galloway","Aberdeenshire"}))</f>
        <v>352000</v>
      </c>
      <c r="D44" s="394">
        <f>SUM(B44/C44)*100</f>
        <v>2.7406250000000001</v>
      </c>
      <c r="E44" s="10"/>
      <c r="F44" s="370"/>
    </row>
    <row r="45" spans="1:6">
      <c r="A45" s="6" t="s">
        <v>544</v>
      </c>
      <c r="B45" s="393">
        <f>SUM(SUMIFS(B$9:B$40,$A$9:$A$40,{"Perth and Kinross","Stirling","Moray","South Ayrshire","East Ayrshire","East Lothian","North Ayrshire","Fife"}))</f>
        <v>13697</v>
      </c>
      <c r="C45" s="393">
        <f>SUM(SUMIFS(C$9:C$40,$A$9:$A$40,{"Perth and Kinross","Stirling","Moray","South Ayrshire","East Ayrshire","East Lothian","North Ayrshire","Fife"}))</f>
        <v>444000</v>
      </c>
      <c r="D45" s="394">
        <f>SUM(B45/C45)*100</f>
        <v>3.0849099099099098</v>
      </c>
      <c r="E45" s="9"/>
      <c r="F45" s="370"/>
    </row>
    <row r="46" spans="1:6">
      <c r="A46" s="6" t="s">
        <v>545</v>
      </c>
      <c r="B46" s="393">
        <f>SUM(SUMIFS(B$9:B$40,$A$9:$A$40,{"Angus","Clackmannanshire","Midlothian","South Lanarkshire","Inverclyde","Renfrewshire","West Lothian","East Renfrewshire"}))</f>
        <v>5196</v>
      </c>
      <c r="C46" s="393">
        <f>SUM(SUMIFS(C$9:C$40,$A$9:$A$40,{"Angus","Clackmannanshire","Midlothian","South Lanarkshire","Inverclyde","Renfrewshire","West Lothian","East Renfrewshire"}))</f>
        <v>411000</v>
      </c>
      <c r="D46" s="394">
        <f>SUM(B46/C46)*100</f>
        <v>1.2642335766423358</v>
      </c>
      <c r="E46" s="9"/>
      <c r="F46" s="370"/>
    </row>
    <row r="47" spans="1:6">
      <c r="A47" s="6" t="s">
        <v>546</v>
      </c>
      <c r="B47" s="393">
        <f>SUM(SUMIFS(B$9:B$40,$A$9:$A$40,{"North Lanarkshire","Falkirk","East Dunbartonshire","Aberdeen City","Edinburgh, City of","West Dunbartonshire","Dundee City","Glasgow City"}))</f>
        <v>24272</v>
      </c>
      <c r="C47" s="393">
        <f>SUM(SUMIFS(C$9:C$40,$A$9:$A$40,{"North Lanarkshire","Falkirk","East Dunbartonshire","Aberdeen City","Edinburgh, City of","West Dunbartonshire","Dundee City","Glasgow City"}))</f>
        <v>1273000</v>
      </c>
      <c r="D47" s="394">
        <f>SUM(B47/C47)*100</f>
        <v>1.9066771406127261</v>
      </c>
      <c r="E47" s="9"/>
      <c r="F47" s="370"/>
    </row>
    <row r="48" spans="1:6">
      <c r="A48" s="198" t="s">
        <v>47</v>
      </c>
      <c r="B48" s="393" cm="1">
        <f t="array" ref="B48">SUM(SUMIFS(B$9:B$40,$A$9:$A$40,{"Glasgow City","Inverclyde","Renfrewshire","East Renfrewshire","South Lanarkshire","North Lanarkshire","West Dunbartonshire","East Dunbartonshire"}))</f>
        <v>13052</v>
      </c>
      <c r="C48" s="393" cm="1">
        <f t="array" ref="C48">SUM(SUMIFS(C$9:C$40,$A$9:$A$40,{"Glasgow City","Inverclyde","Renfrewshire","East Renfrewshire","South Lanarkshire","North Lanarkshire","West Dunbartonshire","East Dunbartonshire"}))</f>
        <v>866000</v>
      </c>
      <c r="D48" s="394">
        <f>SUM(B48/C48)*100</f>
        <v>1.5071593533487297</v>
      </c>
      <c r="E48" s="9"/>
      <c r="F48" s="370"/>
    </row>
    <row r="49" spans="1:6" s="6" customFormat="1">
      <c r="B49" s="370"/>
      <c r="C49" s="370"/>
      <c r="D49" s="130"/>
    </row>
    <row r="50" spans="1:6" s="6" customFormat="1" ht="12.5">
      <c r="A50" s="2" t="s">
        <v>12</v>
      </c>
    </row>
    <row r="51" spans="1:6" s="6" customFormat="1" ht="12.5"/>
    <row r="52" spans="1:6" s="6" customFormat="1" ht="12.5"/>
    <row r="53" spans="1:6" s="196" customFormat="1">
      <c r="A53"/>
      <c r="B53"/>
      <c r="C53"/>
      <c r="D53"/>
      <c r="E53" s="241"/>
      <c r="F53" s="200"/>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autoPageBreaks="0"/>
  </sheetPr>
  <dimension ref="A1:Q40"/>
  <sheetViews>
    <sheetView zoomScale="70" zoomScaleNormal="70" workbookViewId="0">
      <selection activeCell="G2" sqref="G2:H2"/>
    </sheetView>
  </sheetViews>
  <sheetFormatPr defaultColWidth="9.1796875" defaultRowHeight="13"/>
  <cols>
    <col min="1" max="1" width="31.81640625" style="58" bestFit="1" customWidth="1"/>
    <col min="2" max="17" width="16.1796875" style="58" customWidth="1"/>
    <col min="18" max="16384" width="9.1796875" style="58"/>
  </cols>
  <sheetData>
    <row r="1" spans="1:17" s="62" customFormat="1" ht="30" customHeight="1">
      <c r="A1" s="62" t="s">
        <v>198</v>
      </c>
      <c r="D1" s="62" t="s">
        <v>199</v>
      </c>
      <c r="H1" s="62" t="s">
        <v>588</v>
      </c>
      <c r="L1" s="62" t="s">
        <v>619</v>
      </c>
      <c r="P1" s="62" t="s">
        <v>744</v>
      </c>
    </row>
    <row r="2" spans="1:17" s="62" customFormat="1" ht="12.75" customHeight="1">
      <c r="J2" t="s">
        <v>622</v>
      </c>
      <c r="K2" t="s">
        <v>621</v>
      </c>
      <c r="L2" t="s">
        <v>620</v>
      </c>
      <c r="N2" t="s">
        <v>622</v>
      </c>
      <c r="O2" t="s">
        <v>621</v>
      </c>
      <c r="P2" t="s">
        <v>620</v>
      </c>
    </row>
    <row r="3" spans="1:17" s="62" customFormat="1" ht="12.75" customHeight="1">
      <c r="A3" s="63" t="s">
        <v>683</v>
      </c>
      <c r="B3" s="393" cm="1">
        <f t="array" ref="B3">SUM(SUMIFS(B$6:B$35,$A$6:$A$35,{"Glasgow City","Inverclyde","North Lanarkshire","South Lanarkshire","East Dunbartonshire","West Dunbartonshire","Renfrewshire","East Renfrewshire"}))</f>
        <v>3122</v>
      </c>
      <c r="C3" s="393" cm="1">
        <f t="array" ref="C3">SUM(SUMIFS(C$6:C$35,$A$6:$A$35,{"Glasgow City","Inverclyde","North Lanarkshire","South Lanarkshire","East Dunbartonshire","West Dunbartonshire","Renfrewshire","East Renfrewshire"}))</f>
        <v>935064</v>
      </c>
      <c r="D3" s="402">
        <f>(B3/C3)*100</f>
        <v>0.33388088943644501</v>
      </c>
      <c r="E3" s="59"/>
      <c r="F3" s="393" cm="1">
        <f t="array" ref="F3">SUM(SUMIFS(F$6:F$35,$A$6:$A$35,{"Glasgow City","Inverclyde","North Lanarkshire","South Lanarkshire","East Dunbartonshire","West Dunbartonshire","Renfrewshire","East Renfrewshire"}))</f>
        <v>6137</v>
      </c>
      <c r="G3" s="393" cm="1">
        <f t="array" ref="G3">SUM(SUMIFS(G$6:G$35,$A$6:$A$35,{"Glasgow City","Inverclyde","North Lanarkshire","South Lanarkshire","East Dunbartonshire","West Dunbartonshire","Renfrewshire","East Renfrewshire"}))</f>
        <v>939110</v>
      </c>
      <c r="H3" s="402">
        <f>(F3/G3)*100</f>
        <v>0.6534910713334966</v>
      </c>
      <c r="I3" s="59"/>
      <c r="J3" s="393" cm="1">
        <f t="array" ref="J3">SUM(SUMIFS(J$6:J$35,$A$6:$A$35,{"Glasgow City","Inverclyde","North Lanarkshire","South Lanarkshire","East Dunbartonshire","West Dunbartonshire","Renfrewshire","East Renfrewshire"}))</f>
        <v>5356</v>
      </c>
      <c r="K3" s="393" cm="1">
        <f t="array" ref="K3">SUM(SUMIFS(K$6:K$35,$A$6:$A$35,{"Glasgow City","Inverclyde","North Lanarkshire","South Lanarkshire","East Dunbartonshire","West Dunbartonshire","Renfrewshire","East Renfrewshire"}))</f>
        <v>948664</v>
      </c>
      <c r="L3" s="402">
        <f>(J3/K3)*100</f>
        <v>0.56458345631329954</v>
      </c>
      <c r="M3" s="59"/>
      <c r="N3" s="393" cm="1">
        <f t="array" ref="N3">SUM(SUMIFS(N$6:N$35,$A$6:$A$35,{"Glasgow City","Inverclyde","North Lanarkshire","South Lanarkshire","East Dunbartonshire","West Dunbartonshire","Renfrewshire","East Renfrewshire"}))</f>
        <v>4875</v>
      </c>
      <c r="O3" s="393" cm="1">
        <f t="array" ref="O3">SUM(SUMIFS(O$6:O$35,$A$6:$A$35,{"Glasgow City","Inverclyde","North Lanarkshire","South Lanarkshire","East Dunbartonshire","West Dunbartonshire","Renfrewshire","East Renfrewshire"}))</f>
        <v>955168</v>
      </c>
      <c r="P3" s="402">
        <f>(N3/O3)*100</f>
        <v>0.51038141981305907</v>
      </c>
      <c r="Q3" s="59"/>
    </row>
    <row r="4" spans="1:17">
      <c r="A4" s="61" t="s">
        <v>46</v>
      </c>
      <c r="B4" s="58">
        <v>447730</v>
      </c>
      <c r="C4" s="64">
        <v>31105680</v>
      </c>
      <c r="D4" s="64">
        <v>1.4393834180766987</v>
      </c>
      <c r="E4" s="59"/>
      <c r="F4" s="59">
        <v>413337</v>
      </c>
      <c r="G4" s="59">
        <v>31315493</v>
      </c>
      <c r="H4" s="59">
        <v>1.3199121597734387</v>
      </c>
      <c r="I4" s="59"/>
      <c r="J4" s="64">
        <v>340937</v>
      </c>
      <c r="K4" s="64">
        <v>31700682</v>
      </c>
      <c r="L4" s="364">
        <v>1.075487902752376</v>
      </c>
      <c r="M4" s="59"/>
      <c r="N4" s="64">
        <v>308049</v>
      </c>
      <c r="O4" s="64">
        <v>31941263</v>
      </c>
      <c r="P4" s="463">
        <v>0.96442335420487291</v>
      </c>
    </row>
    <row r="5" spans="1:17">
      <c r="A5" s="61" t="s">
        <v>45</v>
      </c>
      <c r="B5" s="460">
        <v>40454</v>
      </c>
      <c r="C5" s="460">
        <v>2756024</v>
      </c>
      <c r="D5" s="402">
        <v>1.4678391770173265</v>
      </c>
      <c r="E5" s="403"/>
      <c r="F5" s="460">
        <v>70752</v>
      </c>
      <c r="G5" s="460">
        <v>2775194</v>
      </c>
      <c r="H5" s="402">
        <v>2.5494433902638876</v>
      </c>
      <c r="I5" s="403"/>
      <c r="J5" s="402">
        <v>62608</v>
      </c>
      <c r="K5" s="402">
        <v>2820772</v>
      </c>
      <c r="L5" s="461">
        <v>2.2195342268003229</v>
      </c>
      <c r="M5" s="403"/>
      <c r="N5" s="402">
        <v>56800</v>
      </c>
      <c r="O5" s="402">
        <v>2845385</v>
      </c>
      <c r="P5" s="463">
        <v>1.9962149234637843</v>
      </c>
      <c r="Q5" s="59"/>
    </row>
    <row r="6" spans="1:17">
      <c r="A6" s="58" t="s">
        <v>684</v>
      </c>
      <c r="B6" s="64">
        <v>208</v>
      </c>
      <c r="C6" s="64">
        <v>126176</v>
      </c>
      <c r="D6" s="64">
        <v>0.16484909967030179</v>
      </c>
      <c r="E6" s="59"/>
      <c r="F6" s="59">
        <v>628</v>
      </c>
      <c r="G6" s="59">
        <v>127714</v>
      </c>
      <c r="H6" s="59">
        <v>0.5</v>
      </c>
      <c r="I6" s="59"/>
      <c r="J6" s="64">
        <v>548</v>
      </c>
      <c r="K6" s="64">
        <v>128708</v>
      </c>
      <c r="L6" s="64">
        <v>0.4</v>
      </c>
      <c r="M6" s="59"/>
      <c r="N6" s="462">
        <v>465</v>
      </c>
      <c r="O6" s="462">
        <v>129999</v>
      </c>
      <c r="P6" s="463">
        <v>0.35769505919276301</v>
      </c>
      <c r="Q6" s="59"/>
    </row>
    <row r="7" spans="1:17">
      <c r="A7" s="58" t="s">
        <v>15</v>
      </c>
      <c r="B7" s="64">
        <v>7099</v>
      </c>
      <c r="C7" s="64">
        <v>126065</v>
      </c>
      <c r="D7" s="64">
        <v>5.6312219886566455</v>
      </c>
      <c r="E7" s="59"/>
      <c r="F7" s="59">
        <v>11631</v>
      </c>
      <c r="G7" s="59">
        <v>126481</v>
      </c>
      <c r="H7" s="59">
        <v>9.1999999999999993</v>
      </c>
      <c r="I7" s="59"/>
      <c r="J7" s="64">
        <v>10440</v>
      </c>
      <c r="K7" s="64">
        <v>127941</v>
      </c>
      <c r="L7" s="64">
        <v>8.1999999999999993</v>
      </c>
      <c r="M7" s="59"/>
      <c r="N7" s="462">
        <v>9637</v>
      </c>
      <c r="O7" s="462">
        <v>128976</v>
      </c>
      <c r="P7" s="463">
        <v>7.4719327626845295</v>
      </c>
      <c r="Q7" s="59"/>
    </row>
    <row r="8" spans="1:17">
      <c r="A8" s="58" t="s">
        <v>16</v>
      </c>
      <c r="B8" s="64">
        <v>2292</v>
      </c>
      <c r="C8" s="64">
        <v>60856</v>
      </c>
      <c r="D8" s="64">
        <v>3.7662679111344812</v>
      </c>
      <c r="E8" s="59"/>
      <c r="F8" s="59">
        <v>4183</v>
      </c>
      <c r="G8" s="59">
        <v>61105</v>
      </c>
      <c r="H8" s="59">
        <v>6.8</v>
      </c>
      <c r="I8" s="59"/>
      <c r="J8" s="64">
        <v>3570</v>
      </c>
      <c r="K8" s="64">
        <v>61825</v>
      </c>
      <c r="L8" s="64">
        <v>5.8</v>
      </c>
      <c r="M8" s="59"/>
      <c r="N8" s="462">
        <v>3403</v>
      </c>
      <c r="O8" s="462">
        <v>61915</v>
      </c>
      <c r="P8" s="463">
        <v>5.4962448518129694</v>
      </c>
      <c r="Q8" s="59"/>
    </row>
    <row r="9" spans="1:17">
      <c r="A9" s="58" t="s">
        <v>17</v>
      </c>
      <c r="B9" s="64">
        <v>3419</v>
      </c>
      <c r="C9" s="64">
        <v>56475</v>
      </c>
      <c r="D9" s="64">
        <v>6.0540061974324928</v>
      </c>
      <c r="E9" s="59"/>
      <c r="F9" s="59">
        <v>5633</v>
      </c>
      <c r="G9" s="59">
        <v>56695</v>
      </c>
      <c r="H9" s="59">
        <v>9.9</v>
      </c>
      <c r="I9" s="59"/>
      <c r="J9" s="64">
        <v>5022</v>
      </c>
      <c r="K9" s="64">
        <v>57002</v>
      </c>
      <c r="L9" s="64">
        <v>8.8000000000000007</v>
      </c>
      <c r="M9" s="59"/>
      <c r="N9" s="462">
        <v>4728</v>
      </c>
      <c r="O9" s="462">
        <v>57412</v>
      </c>
      <c r="P9" s="463">
        <v>8.2352121507698737</v>
      </c>
      <c r="Q9" s="59"/>
    </row>
    <row r="10" spans="1:17">
      <c r="A10" s="58" t="s">
        <v>685</v>
      </c>
      <c r="B10" s="64">
        <v>474</v>
      </c>
      <c r="C10" s="64">
        <v>265092</v>
      </c>
      <c r="D10" s="64">
        <v>0.17880584853560275</v>
      </c>
      <c r="E10" s="59"/>
      <c r="F10" s="59">
        <v>1029</v>
      </c>
      <c r="G10" s="59">
        <v>266242</v>
      </c>
      <c r="H10" s="59">
        <v>0.4</v>
      </c>
      <c r="I10" s="59"/>
      <c r="J10" s="64">
        <v>1145</v>
      </c>
      <c r="K10" s="64">
        <v>280952</v>
      </c>
      <c r="L10" s="64">
        <v>0.4</v>
      </c>
      <c r="M10" s="59"/>
      <c r="N10" s="462">
        <v>1132</v>
      </c>
      <c r="O10" s="462">
        <v>283255</v>
      </c>
      <c r="P10" s="463">
        <v>0.39963990044306369</v>
      </c>
      <c r="Q10" s="59"/>
    </row>
    <row r="11" spans="1:17">
      <c r="A11" s="58" t="s">
        <v>688</v>
      </c>
      <c r="B11" s="64">
        <v>47</v>
      </c>
      <c r="C11" s="64">
        <v>25820</v>
      </c>
      <c r="D11" s="64">
        <v>0.18202943454686291</v>
      </c>
      <c r="E11" s="59"/>
      <c r="F11" s="59">
        <v>106</v>
      </c>
      <c r="G11" s="59">
        <v>25947</v>
      </c>
      <c r="H11" s="59">
        <v>0.4</v>
      </c>
      <c r="I11" s="59"/>
      <c r="J11" s="64">
        <v>98</v>
      </c>
      <c r="K11" s="64">
        <v>26637</v>
      </c>
      <c r="L11" s="64">
        <v>0.4</v>
      </c>
      <c r="M11" s="59"/>
      <c r="N11" s="462">
        <v>90</v>
      </c>
      <c r="O11" s="462">
        <v>26701</v>
      </c>
      <c r="P11" s="463">
        <v>0.33706602748960712</v>
      </c>
      <c r="Q11" s="59"/>
    </row>
    <row r="12" spans="1:17">
      <c r="A12" s="58" t="s">
        <v>680</v>
      </c>
      <c r="B12" s="64">
        <v>3230</v>
      </c>
      <c r="C12" s="64">
        <v>82541</v>
      </c>
      <c r="D12" s="64">
        <v>3.913206769968864</v>
      </c>
      <c r="E12" s="59"/>
      <c r="F12" s="59">
        <v>5421</v>
      </c>
      <c r="G12" s="59">
        <v>82696</v>
      </c>
      <c r="H12" s="59">
        <v>6.6</v>
      </c>
      <c r="I12" s="59"/>
      <c r="J12" s="64">
        <v>4542</v>
      </c>
      <c r="K12" s="64">
        <v>82995</v>
      </c>
      <c r="L12" s="64">
        <v>5.5</v>
      </c>
      <c r="M12" s="59"/>
      <c r="N12" s="462">
        <v>3710</v>
      </c>
      <c r="O12" s="462">
        <v>83221</v>
      </c>
      <c r="P12" s="463">
        <v>4.4580093966667071</v>
      </c>
      <c r="Q12" s="59"/>
    </row>
    <row r="13" spans="1:17">
      <c r="A13" s="58" t="s">
        <v>686</v>
      </c>
      <c r="B13" s="64">
        <v>16</v>
      </c>
      <c r="C13" s="64">
        <v>79398</v>
      </c>
      <c r="D13" s="64">
        <v>2.0151641099272023E-2</v>
      </c>
      <c r="E13" s="59"/>
      <c r="F13" s="59">
        <v>131</v>
      </c>
      <c r="G13" s="59">
        <v>79844</v>
      </c>
      <c r="H13" s="59">
        <v>0.2</v>
      </c>
      <c r="I13" s="59"/>
      <c r="J13" s="64">
        <v>95</v>
      </c>
      <c r="K13" s="64">
        <v>80347</v>
      </c>
      <c r="L13" s="64">
        <v>0.1</v>
      </c>
      <c r="M13" s="59"/>
      <c r="N13" s="462">
        <v>106</v>
      </c>
      <c r="O13" s="462">
        <v>80812</v>
      </c>
      <c r="P13" s="463">
        <v>0.13116863832104142</v>
      </c>
      <c r="Q13" s="59"/>
    </row>
    <row r="14" spans="1:17">
      <c r="A14" s="58" t="s">
        <v>21</v>
      </c>
      <c r="B14" s="64">
        <v>715</v>
      </c>
      <c r="C14" s="64">
        <v>60338</v>
      </c>
      <c r="D14" s="64">
        <v>1.1849912161490272</v>
      </c>
      <c r="E14" s="59"/>
      <c r="F14" s="59">
        <v>1207</v>
      </c>
      <c r="G14" s="59">
        <v>60659</v>
      </c>
      <c r="H14" s="59">
        <v>2</v>
      </c>
      <c r="I14" s="59"/>
      <c r="J14" s="64">
        <v>1031</v>
      </c>
      <c r="K14" s="64">
        <v>62290</v>
      </c>
      <c r="L14" s="64">
        <v>1.7</v>
      </c>
      <c r="M14" s="59"/>
      <c r="N14" s="462">
        <v>549</v>
      </c>
      <c r="O14" s="462">
        <v>62533</v>
      </c>
      <c r="P14" s="463">
        <v>0.87793644955463512</v>
      </c>
    </row>
    <row r="15" spans="1:17">
      <c r="A15" s="58" t="s">
        <v>681</v>
      </c>
      <c r="B15" s="64">
        <v>93</v>
      </c>
      <c r="C15" s="64">
        <v>49419</v>
      </c>
      <c r="D15" s="64">
        <v>0.18818672980027926</v>
      </c>
      <c r="E15" s="59"/>
      <c r="F15" s="59">
        <v>284</v>
      </c>
      <c r="G15" s="59">
        <v>50461</v>
      </c>
      <c r="H15" s="59">
        <v>0.6</v>
      </c>
      <c r="I15" s="59"/>
      <c r="J15" s="64">
        <v>283</v>
      </c>
      <c r="K15" s="64">
        <v>50505</v>
      </c>
      <c r="L15" s="64">
        <v>0.6</v>
      </c>
      <c r="M15" s="59"/>
      <c r="N15" s="462">
        <v>180</v>
      </c>
      <c r="O15" s="462">
        <v>50539</v>
      </c>
      <c r="P15" s="463">
        <v>0.35616058885217355</v>
      </c>
    </row>
    <row r="16" spans="1:17">
      <c r="A16" s="58" t="s">
        <v>23</v>
      </c>
      <c r="B16" s="64">
        <v>698</v>
      </c>
      <c r="C16" s="64">
        <v>48818</v>
      </c>
      <c r="D16" s="64">
        <v>1.4298004834282436</v>
      </c>
      <c r="E16" s="59"/>
      <c r="F16" s="59">
        <v>1197</v>
      </c>
      <c r="G16" s="59">
        <v>49334</v>
      </c>
      <c r="H16" s="59">
        <v>2.4</v>
      </c>
      <c r="I16" s="59"/>
      <c r="J16" s="64">
        <v>1037</v>
      </c>
      <c r="K16" s="64">
        <v>50664</v>
      </c>
      <c r="L16" s="64">
        <v>2</v>
      </c>
      <c r="M16" s="59"/>
      <c r="N16" s="462">
        <v>1212</v>
      </c>
      <c r="O16" s="462">
        <v>53696</v>
      </c>
      <c r="P16" s="463">
        <v>2.25715137067938</v>
      </c>
    </row>
    <row r="17" spans="1:17">
      <c r="A17" s="58" t="s">
        <v>24</v>
      </c>
      <c r="B17" s="64">
        <v>95</v>
      </c>
      <c r="C17" s="64">
        <v>41004</v>
      </c>
      <c r="D17" s="64">
        <v>0.23168471368646962</v>
      </c>
      <c r="E17" s="59"/>
      <c r="F17" s="59">
        <v>233</v>
      </c>
      <c r="G17" s="59">
        <v>41194</v>
      </c>
      <c r="H17" s="59">
        <v>0.6</v>
      </c>
      <c r="I17" s="59"/>
      <c r="J17" s="64">
        <v>261</v>
      </c>
      <c r="K17" s="64">
        <v>41961</v>
      </c>
      <c r="L17" s="64">
        <v>0.6</v>
      </c>
      <c r="M17" s="59"/>
      <c r="N17" s="462">
        <v>253</v>
      </c>
      <c r="O17" s="462">
        <v>42314</v>
      </c>
      <c r="P17" s="463">
        <v>0.59791085692678547</v>
      </c>
    </row>
    <row r="18" spans="1:17">
      <c r="A18" s="58" t="s">
        <v>25</v>
      </c>
      <c r="B18" s="64">
        <v>319</v>
      </c>
      <c r="C18" s="64">
        <v>73926</v>
      </c>
      <c r="D18" s="64">
        <v>0.43151259367475586</v>
      </c>
      <c r="E18" s="59"/>
      <c r="F18" s="59">
        <v>632</v>
      </c>
      <c r="G18" s="59">
        <v>73917</v>
      </c>
      <c r="H18" s="59">
        <v>0.9</v>
      </c>
      <c r="I18" s="59"/>
      <c r="J18" s="64">
        <v>604</v>
      </c>
      <c r="K18" s="64">
        <v>75251</v>
      </c>
      <c r="L18" s="64">
        <v>0.8</v>
      </c>
      <c r="M18" s="59"/>
      <c r="N18" s="462">
        <v>591</v>
      </c>
      <c r="O18" s="462">
        <v>75290</v>
      </c>
      <c r="P18" s="463">
        <v>0.78496480276265113</v>
      </c>
    </row>
    <row r="19" spans="1:17">
      <c r="A19" s="58" t="s">
        <v>26</v>
      </c>
      <c r="B19" s="64">
        <v>1362</v>
      </c>
      <c r="C19" s="64">
        <v>190085</v>
      </c>
      <c r="D19" s="64">
        <v>0.71652155614593471</v>
      </c>
      <c r="E19" s="59"/>
      <c r="F19" s="59">
        <v>2666</v>
      </c>
      <c r="G19" s="59">
        <v>191939</v>
      </c>
      <c r="H19" s="59">
        <v>1.4</v>
      </c>
      <c r="I19" s="59"/>
      <c r="J19" s="64">
        <v>2171</v>
      </c>
      <c r="K19" s="64">
        <v>193652</v>
      </c>
      <c r="L19" s="64">
        <v>1.1000000000000001</v>
      </c>
      <c r="M19" s="59"/>
      <c r="N19" s="462">
        <v>1795</v>
      </c>
      <c r="O19" s="462">
        <v>195645</v>
      </c>
      <c r="P19" s="463">
        <v>0.91747808530757236</v>
      </c>
    </row>
    <row r="20" spans="1:17">
      <c r="A20" s="58" t="s">
        <v>687</v>
      </c>
      <c r="B20" s="64">
        <v>190</v>
      </c>
      <c r="C20" s="64">
        <v>335271</v>
      </c>
      <c r="D20" s="64">
        <v>5.6670573953607681E-2</v>
      </c>
      <c r="E20" s="59"/>
      <c r="F20" s="59">
        <v>703</v>
      </c>
      <c r="G20" s="59">
        <v>336398</v>
      </c>
      <c r="H20" s="59">
        <v>0.2</v>
      </c>
      <c r="I20" s="59"/>
      <c r="J20" s="64">
        <v>517</v>
      </c>
      <c r="K20" s="64">
        <v>339265</v>
      </c>
      <c r="L20" s="64">
        <v>0.2</v>
      </c>
      <c r="M20" s="59"/>
      <c r="N20" s="462">
        <v>673</v>
      </c>
      <c r="O20" s="462">
        <v>341169</v>
      </c>
      <c r="P20" s="463">
        <v>0.19726294006782563</v>
      </c>
    </row>
    <row r="21" spans="1:17">
      <c r="A21" s="58" t="s">
        <v>28</v>
      </c>
      <c r="B21" s="64">
        <v>4966</v>
      </c>
      <c r="C21" s="64">
        <v>115308</v>
      </c>
      <c r="D21" s="64">
        <v>4.3067263329517464</v>
      </c>
      <c r="E21" s="59"/>
      <c r="F21" s="59">
        <v>8916</v>
      </c>
      <c r="G21" s="59">
        <v>115695</v>
      </c>
      <c r="H21" s="59">
        <v>7.7</v>
      </c>
      <c r="I21" s="59"/>
      <c r="J21" s="64">
        <v>8690</v>
      </c>
      <c r="K21" s="64">
        <v>119740</v>
      </c>
      <c r="L21" s="64">
        <v>7.3</v>
      </c>
      <c r="M21" s="59"/>
      <c r="N21" s="462">
        <v>8516</v>
      </c>
      <c r="O21" s="462">
        <v>121345</v>
      </c>
      <c r="P21" s="463">
        <v>7.0180065103630147</v>
      </c>
    </row>
    <row r="22" spans="1:17">
      <c r="A22" s="58" t="s">
        <v>29</v>
      </c>
      <c r="B22" s="64">
        <v>122</v>
      </c>
      <c r="C22" s="64">
        <v>42012</v>
      </c>
      <c r="D22" s="64">
        <v>0.29039322098448062</v>
      </c>
      <c r="E22" s="59"/>
      <c r="F22" s="59">
        <v>294</v>
      </c>
      <c r="G22" s="59">
        <v>41970</v>
      </c>
      <c r="H22" s="59">
        <v>0.7</v>
      </c>
      <c r="I22" s="59"/>
      <c r="J22" s="64">
        <v>273</v>
      </c>
      <c r="K22" s="64">
        <v>41988</v>
      </c>
      <c r="L22" s="64">
        <v>0.7</v>
      </c>
      <c r="M22" s="59"/>
      <c r="N22" s="462">
        <v>284</v>
      </c>
      <c r="O22" s="462">
        <v>42309</v>
      </c>
      <c r="P22" s="463">
        <v>0.67125197948427051</v>
      </c>
    </row>
    <row r="23" spans="1:17">
      <c r="A23" s="58" t="s">
        <v>30</v>
      </c>
      <c r="B23" s="64">
        <v>631</v>
      </c>
      <c r="C23" s="64">
        <v>40548</v>
      </c>
      <c r="D23" s="64">
        <v>1.5561803294860412</v>
      </c>
      <c r="E23" s="59"/>
      <c r="F23" s="59">
        <v>1012</v>
      </c>
      <c r="G23" s="59">
        <v>42787</v>
      </c>
      <c r="H23" s="59">
        <v>2.4</v>
      </c>
      <c r="I23" s="59"/>
      <c r="J23" s="64">
        <v>616</v>
      </c>
      <c r="K23" s="64">
        <v>43714</v>
      </c>
      <c r="L23" s="64">
        <v>1.4</v>
      </c>
      <c r="M23" s="59"/>
      <c r="N23" s="462">
        <v>371</v>
      </c>
      <c r="O23" s="462">
        <v>44661</v>
      </c>
      <c r="P23" s="463">
        <v>0.83070240254360628</v>
      </c>
      <c r="Q23" s="59"/>
    </row>
    <row r="24" spans="1:17">
      <c r="A24" s="58" t="s">
        <v>31</v>
      </c>
      <c r="B24" s="64">
        <v>2198</v>
      </c>
      <c r="C24" s="64">
        <v>49316</v>
      </c>
      <c r="D24" s="64">
        <v>4.4569713683185981</v>
      </c>
      <c r="E24" s="59"/>
      <c r="F24" s="59">
        <v>3495</v>
      </c>
      <c r="G24" s="59">
        <v>49558</v>
      </c>
      <c r="H24" s="59">
        <v>7.1</v>
      </c>
      <c r="I24" s="59"/>
      <c r="J24" s="64">
        <v>3222</v>
      </c>
      <c r="K24" s="64">
        <v>50245</v>
      </c>
      <c r="L24" s="64">
        <v>6.4</v>
      </c>
      <c r="M24" s="59"/>
      <c r="N24" s="462">
        <v>3380</v>
      </c>
      <c r="O24" s="462">
        <v>50782</v>
      </c>
      <c r="P24" s="463">
        <v>6.6559016974518537</v>
      </c>
    </row>
    <row r="25" spans="1:17" ht="14.5">
      <c r="A25" s="60" t="s">
        <v>32</v>
      </c>
      <c r="B25" s="64">
        <v>696</v>
      </c>
      <c r="C25" s="64">
        <v>16592</v>
      </c>
      <c r="D25" s="64">
        <v>4.1947926711668275</v>
      </c>
      <c r="E25" s="59"/>
      <c r="F25" s="59">
        <v>853</v>
      </c>
      <c r="G25" s="59">
        <v>16684</v>
      </c>
      <c r="H25" s="59">
        <v>5.0999999999999996</v>
      </c>
      <c r="I25" s="59"/>
      <c r="J25" s="64">
        <v>874</v>
      </c>
      <c r="K25" s="64">
        <v>16943</v>
      </c>
      <c r="L25" s="64">
        <v>5.2</v>
      </c>
      <c r="M25" s="59"/>
      <c r="N25" s="462">
        <v>867</v>
      </c>
      <c r="O25" s="462">
        <v>17164</v>
      </c>
      <c r="P25" s="463">
        <v>5.0512701002097415</v>
      </c>
    </row>
    <row r="26" spans="1:17">
      <c r="A26" s="58" t="s">
        <v>33</v>
      </c>
      <c r="B26" s="64">
        <v>639</v>
      </c>
      <c r="C26" s="64">
        <v>71985</v>
      </c>
      <c r="D26" s="64">
        <v>0.88768493436132534</v>
      </c>
      <c r="E26" s="59"/>
      <c r="F26" s="59">
        <v>1189</v>
      </c>
      <c r="G26" s="59">
        <v>72396</v>
      </c>
      <c r="H26" s="59">
        <v>1.6</v>
      </c>
      <c r="I26" s="59"/>
      <c r="J26" s="64">
        <v>985</v>
      </c>
      <c r="K26" s="64">
        <v>72907</v>
      </c>
      <c r="L26" s="64">
        <v>1.4</v>
      </c>
      <c r="M26" s="59"/>
      <c r="N26" s="462">
        <v>707</v>
      </c>
      <c r="O26" s="462">
        <v>73434</v>
      </c>
      <c r="P26" s="463">
        <v>0.96276928942996431</v>
      </c>
    </row>
    <row r="27" spans="1:17">
      <c r="A27" s="58" t="s">
        <v>34</v>
      </c>
      <c r="B27" s="64">
        <v>521</v>
      </c>
      <c r="C27" s="64">
        <v>164951</v>
      </c>
      <c r="D27" s="64">
        <v>0.31585137404441316</v>
      </c>
      <c r="E27" s="59"/>
      <c r="F27" s="59">
        <v>961</v>
      </c>
      <c r="G27" s="59">
        <v>165620</v>
      </c>
      <c r="H27" s="59">
        <v>0.6</v>
      </c>
      <c r="I27" s="59"/>
      <c r="J27" s="64">
        <v>902</v>
      </c>
      <c r="K27" s="64">
        <v>166637</v>
      </c>
      <c r="L27" s="64">
        <v>0.5</v>
      </c>
      <c r="M27" s="59"/>
      <c r="N27" s="462">
        <v>867</v>
      </c>
      <c r="O27" s="462">
        <v>167567</v>
      </c>
      <c r="P27" s="463">
        <v>0.51740497830718457</v>
      </c>
    </row>
    <row r="28" spans="1:17">
      <c r="A28" s="58" t="s">
        <v>36</v>
      </c>
      <c r="B28" s="64">
        <v>3258</v>
      </c>
      <c r="C28" s="64">
        <v>78555</v>
      </c>
      <c r="D28" s="64">
        <v>4.1474126408248999</v>
      </c>
      <c r="E28" s="59"/>
      <c r="F28" s="59">
        <v>5638</v>
      </c>
      <c r="G28" s="59">
        <v>79353</v>
      </c>
      <c r="H28" s="59">
        <v>7.1</v>
      </c>
      <c r="I28" s="59"/>
      <c r="J28" s="64">
        <v>5183</v>
      </c>
      <c r="K28" s="64">
        <v>80101</v>
      </c>
      <c r="L28" s="64">
        <v>6.5</v>
      </c>
      <c r="M28" s="59"/>
      <c r="N28" s="462">
        <v>4735</v>
      </c>
      <c r="O28" s="462">
        <v>80949</v>
      </c>
      <c r="P28" s="463">
        <v>5.8493619439400115</v>
      </c>
    </row>
    <row r="29" spans="1:17">
      <c r="A29" s="58" t="s">
        <v>37</v>
      </c>
      <c r="B29" s="64">
        <v>268</v>
      </c>
      <c r="C29" s="64">
        <v>94677</v>
      </c>
      <c r="D29" s="64">
        <v>0.28306769331516629</v>
      </c>
      <c r="E29" s="59"/>
      <c r="F29" s="59">
        <v>648</v>
      </c>
      <c r="G29" s="59">
        <v>95282</v>
      </c>
      <c r="H29" s="59">
        <v>0.7</v>
      </c>
      <c r="I29" s="59"/>
      <c r="J29" s="64">
        <v>630</v>
      </c>
      <c r="K29" s="64">
        <v>96776</v>
      </c>
      <c r="L29" s="64">
        <v>0.7</v>
      </c>
      <c r="M29" s="59"/>
      <c r="N29" s="462">
        <v>660</v>
      </c>
      <c r="O29" s="462">
        <v>97532</v>
      </c>
      <c r="P29" s="463">
        <v>0.6767009801911168</v>
      </c>
    </row>
    <row r="30" spans="1:17">
      <c r="A30" s="58" t="s">
        <v>745</v>
      </c>
      <c r="B30" s="64">
        <v>2520</v>
      </c>
      <c r="C30" s="64">
        <v>61777</v>
      </c>
      <c r="D30" s="64">
        <v>4.079188047331531</v>
      </c>
      <c r="E30" s="59"/>
      <c r="F30" s="59">
        <v>4718</v>
      </c>
      <c r="G30" s="59">
        <v>64825</v>
      </c>
      <c r="H30" s="59">
        <v>7.3</v>
      </c>
      <c r="I30" s="59"/>
      <c r="J30" s="64">
        <v>3846</v>
      </c>
      <c r="K30" s="64">
        <v>65439</v>
      </c>
      <c r="L30" s="64">
        <v>5.9</v>
      </c>
      <c r="M30" s="59"/>
      <c r="N30" s="462">
        <v>2942</v>
      </c>
      <c r="O30" s="462">
        <v>65696</v>
      </c>
      <c r="P30" s="463">
        <v>4.4782026302971261</v>
      </c>
    </row>
    <row r="31" spans="1:17">
      <c r="A31" s="58" t="s">
        <v>40</v>
      </c>
      <c r="B31" s="64">
        <v>752</v>
      </c>
      <c r="C31" s="64">
        <v>58823</v>
      </c>
      <c r="D31" s="64">
        <v>1.2784115057035514</v>
      </c>
      <c r="E31" s="59"/>
      <c r="F31" s="59">
        <v>1323</v>
      </c>
      <c r="G31" s="59">
        <v>58838</v>
      </c>
      <c r="H31" s="59">
        <v>2.2000000000000002</v>
      </c>
      <c r="I31" s="59"/>
      <c r="J31" s="64">
        <v>682</v>
      </c>
      <c r="K31" s="64">
        <v>59802</v>
      </c>
      <c r="L31" s="64">
        <v>1.1000000000000001</v>
      </c>
      <c r="M31" s="59"/>
      <c r="N31" s="462">
        <v>348</v>
      </c>
      <c r="O31" s="462">
        <v>60128</v>
      </c>
      <c r="P31" s="463">
        <v>0.57876530069185739</v>
      </c>
    </row>
    <row r="32" spans="1:17">
      <c r="A32" s="58" t="s">
        <v>41</v>
      </c>
      <c r="B32" s="64">
        <v>1738</v>
      </c>
      <c r="C32" s="64">
        <v>160677</v>
      </c>
      <c r="D32" s="64">
        <v>1.0816731703977545</v>
      </c>
      <c r="E32" s="59"/>
      <c r="F32" s="59">
        <v>2788</v>
      </c>
      <c r="G32" s="59">
        <v>161058</v>
      </c>
      <c r="H32" s="59">
        <v>1.7</v>
      </c>
      <c r="I32" s="59"/>
      <c r="J32" s="64">
        <v>2336</v>
      </c>
      <c r="K32" s="64">
        <v>163944</v>
      </c>
      <c r="L32" s="64">
        <v>1.4</v>
      </c>
      <c r="M32" s="59"/>
      <c r="N32" s="462">
        <v>1871</v>
      </c>
      <c r="O32" s="462">
        <v>165442</v>
      </c>
      <c r="P32" s="463">
        <v>1.1309099261372566</v>
      </c>
    </row>
    <row r="33" spans="1:17">
      <c r="A33" s="58" t="s">
        <v>42</v>
      </c>
      <c r="B33" s="64">
        <v>1437</v>
      </c>
      <c r="C33" s="64">
        <v>46393</v>
      </c>
      <c r="D33" s="64">
        <v>3.0974500463431984</v>
      </c>
      <c r="E33" s="59"/>
      <c r="F33" s="59">
        <v>2204</v>
      </c>
      <c r="G33" s="59">
        <v>46487</v>
      </c>
      <c r="H33" s="59">
        <v>4.7</v>
      </c>
      <c r="I33" s="59"/>
      <c r="J33" s="64">
        <v>2106</v>
      </c>
      <c r="K33" s="64">
        <v>46949</v>
      </c>
      <c r="L33" s="64">
        <v>4.5</v>
      </c>
      <c r="M33" s="59"/>
      <c r="N33" s="462">
        <v>1945</v>
      </c>
      <c r="O33" s="462">
        <v>47216</v>
      </c>
      <c r="P33" s="463">
        <v>4.1193663165028802</v>
      </c>
      <c r="Q33" s="59"/>
    </row>
    <row r="34" spans="1:17">
      <c r="A34" s="58" t="s">
        <v>682</v>
      </c>
      <c r="B34" s="64">
        <v>95</v>
      </c>
      <c r="C34" s="64">
        <v>47053</v>
      </c>
      <c r="D34" s="64">
        <v>0.20189998512315901</v>
      </c>
      <c r="E34" s="59"/>
      <c r="F34" s="59">
        <v>226</v>
      </c>
      <c r="G34" s="59">
        <v>47127</v>
      </c>
      <c r="H34" s="59">
        <v>0.5</v>
      </c>
      <c r="I34" s="59"/>
      <c r="J34" s="64">
        <v>154</v>
      </c>
      <c r="K34" s="64">
        <v>47588</v>
      </c>
      <c r="L34" s="64">
        <v>0.3</v>
      </c>
      <c r="M34" s="59"/>
      <c r="N34" s="462">
        <v>87</v>
      </c>
      <c r="O34" s="462">
        <v>48296</v>
      </c>
      <c r="P34" s="463">
        <v>0.1801391419579261</v>
      </c>
    </row>
    <row r="35" spans="1:17" ht="14.5">
      <c r="A35" s="58" t="s">
        <v>44</v>
      </c>
      <c r="B35" s="64">
        <v>356</v>
      </c>
      <c r="C35" s="64">
        <v>86073</v>
      </c>
      <c r="D35" s="64">
        <v>0.41360240725895459</v>
      </c>
      <c r="E35" s="59"/>
      <c r="F35" s="59">
        <v>803</v>
      </c>
      <c r="G35" s="59">
        <v>86888</v>
      </c>
      <c r="H35" s="59">
        <v>0.9</v>
      </c>
      <c r="I35" s="59"/>
      <c r="J35" s="64">
        <v>745</v>
      </c>
      <c r="K35" s="64">
        <v>88004</v>
      </c>
      <c r="L35" s="64">
        <v>0.8</v>
      </c>
      <c r="M35" s="59"/>
      <c r="N35" s="462">
        <v>696</v>
      </c>
      <c r="O35" s="462">
        <v>89387</v>
      </c>
      <c r="P35" s="463">
        <v>0.77863671451105865</v>
      </c>
      <c r="Q35" s="60"/>
    </row>
    <row r="36" spans="1:17">
      <c r="J36" s="64"/>
      <c r="K36" s="64"/>
      <c r="L36" s="64"/>
      <c r="N36" s="64"/>
      <c r="O36" s="64"/>
      <c r="P36" s="64"/>
    </row>
    <row r="37" spans="1:17">
      <c r="A37" s="6" t="s">
        <v>543</v>
      </c>
      <c r="B37" s="393" cm="1">
        <f t="array" ref="B37">SUM(SUMIFS(B$6:B$35,$A$6:$A$35,{"Na h-Eileanan Siar","Argyll and Bute","Shetland Islands","Highland","Orkney Islands","Scottish Borders","Dumfries and Galloway","Aberdeenshire"}))</f>
        <v>21930</v>
      </c>
      <c r="C37" s="393" cm="1">
        <f t="array" ref="C37">SUM(SUMIFS(C$6:C$35,$A$6:$A$35,{"Na h-Eileanan Siar","Argyll and Bute","Shetland Islands","Highland","Orkney Islands","Scottish Borders","Dumfries and Galloway","Aberdeenshire"}))</f>
        <v>458758</v>
      </c>
      <c r="D37" s="403">
        <f>SUM(B37/C37)*100</f>
        <v>4.7802981092427821</v>
      </c>
      <c r="F37" s="393" cm="1">
        <f t="array" ref="F37">SUM(SUMIFS(F$6:F$35,$A$6:$A$35,{"Na h-Eileanan Siar","Argyll and Bute","Shetland Islands","Highland","Orkney Islands","Scottish Borders","Dumfries and Galloway","Aberdeenshire"}))</f>
        <v>37172</v>
      </c>
      <c r="G37" s="393" cm="1">
        <f t="array" ref="G37">SUM(SUMIFS(G$6:G$35,$A$6:$A$35,{"Na h-Eileanan Siar","Argyll and Bute","Shetland Islands","Highland","Orkney Islands","Scottish Borders","Dumfries and Galloway","Aberdeenshire"}))</f>
        <v>463076</v>
      </c>
      <c r="H37" s="403">
        <f>SUM(F37/G37)*100</f>
        <v>8.0271920807815569</v>
      </c>
      <c r="J37" s="393" cm="1">
        <f t="array" ref="J37">SUM(SUMIFS(J$6:J$35,$A$6:$A$35,{"Na h-Eileanan Siar","Argyll and Bute","Shetland Islands","Highland","Orkney Islands","Scottish Borders","Dumfries and Galloway","Aberdeenshire"}))</f>
        <v>33414</v>
      </c>
      <c r="K37" s="393" cm="1">
        <f t="array" ref="K37">SUM(SUMIFS(K$6:K$35,$A$6:$A$35,{"Na h-Eileanan Siar","Argyll and Bute","Shetland Islands","Highland","Orkney Islands","Scottish Borders","Dumfries and Galloway","Aberdeenshire"}))</f>
        <v>470060</v>
      </c>
      <c r="L37" s="403">
        <f>SUM(J37/K37)*100</f>
        <v>7.1084542398842698</v>
      </c>
      <c r="N37" s="393" cm="1">
        <f t="array" ref="N37">SUM(SUMIFS(N$6:N$35,$A$6:$A$35,{"Na h-Eileanan Siar","Argyll and Bute","Shetland Islands","Highland","Orkney Islands","Scottish Borders","Dumfries and Galloway","Aberdeenshire"}))</f>
        <v>30400</v>
      </c>
      <c r="O37" s="393" cm="1">
        <f t="array" ref="O37">SUM(SUMIFS(O$6:O$35,$A$6:$A$35,{"Na h-Eileanan Siar","Argyll and Bute","Shetland Islands","Highland","Orkney Islands","Scottish Borders","Dumfries and Galloway","Aberdeenshire"}))</f>
        <v>473814</v>
      </c>
      <c r="P37" s="403">
        <f>SUM(N37/O37)*100</f>
        <v>6.4160197883557686</v>
      </c>
    </row>
    <row r="38" spans="1:17">
      <c r="A38" s="6" t="s">
        <v>544</v>
      </c>
      <c r="B38" s="393" cm="1">
        <f t="array" ref="B38">SUM(SUMIFS(B$6:B$35,$A$6:$A$35,{"Perth and Kinross","Stirling","Moray","South Ayrshire","East Ayrshire","East Lothian","North Ayrshire","Fife"}))</f>
        <v>11059</v>
      </c>
      <c r="C38" s="393" cm="1">
        <f t="array" ref="C38">SUM(SUMIFS(C$6:C$35,$A$6:$A$35,{"Perth and Kinross","Stirling","Moray","South Ayrshire","East Ayrshire","East Lothian","North Ayrshire","Fife"}))</f>
        <v>604313</v>
      </c>
      <c r="D38" s="403">
        <f>SUM(B38/C38)*100</f>
        <v>1.8300119309033562</v>
      </c>
      <c r="F38" s="393" cm="1">
        <f t="array" ref="F38">SUM(SUMIFS(F$6:F$35,$A$6:$A$35,{"Perth and Kinross","Stirling","Moray","South Ayrshire","East Ayrshire","East Lothian","North Ayrshire","Fife"}))</f>
        <v>18919</v>
      </c>
      <c r="G38" s="393" cm="1">
        <f t="array" ref="G38">SUM(SUMIFS(G$6:G$35,$A$6:$A$35,{"Perth and Kinross","Stirling","Moray","South Ayrshire","East Ayrshire","East Lothian","North Ayrshire","Fife"}))</f>
        <v>608564</v>
      </c>
      <c r="H38" s="403">
        <f>SUM(F38/G38)*100</f>
        <v>3.1087938162625459</v>
      </c>
      <c r="J38" s="393" cm="1">
        <f t="array" ref="J38">SUM(SUMIFS(J$6:J$35,$A$6:$A$35,{"Perth and Kinross","Stirling","Moray","South Ayrshire","East Ayrshire","East Lothian","North Ayrshire","Fife"}))</f>
        <v>16417</v>
      </c>
      <c r="K38" s="393" cm="1">
        <f t="array" ref="K38">SUM(SUMIFS(K$6:K$35,$A$6:$A$35,{"Perth and Kinross","Stirling","Moray","South Ayrshire","East Ayrshire","East Lothian","North Ayrshire","Fife"}))</f>
        <v>616610</v>
      </c>
      <c r="L38" s="403">
        <f>SUM(J38/K38)*100</f>
        <v>2.662460874783088</v>
      </c>
      <c r="N38" s="393" cm="1">
        <f t="array" ref="N38">SUM(SUMIFS(N$6:N$35,$A$6:$A$35,{"Perth and Kinross","Stirling","Moray","South Ayrshire","East Ayrshire","East Lothian","North Ayrshire","Fife"}))</f>
        <v>14671</v>
      </c>
      <c r="O38" s="393" cm="1">
        <f t="array" ref="O38">SUM(SUMIFS(O$6:O$35,$A$6:$A$35,{"Perth and Kinross","Stirling","Moray","South Ayrshire","East Ayrshire","East Lothian","North Ayrshire","Fife"}))</f>
        <v>624383</v>
      </c>
      <c r="P38" s="403">
        <f>SUM(N38/O38)*100</f>
        <v>2.3496796037047774</v>
      </c>
    </row>
    <row r="39" spans="1:17">
      <c r="A39" s="6" t="s">
        <v>545</v>
      </c>
      <c r="B39" s="393" cm="1">
        <f t="array" ref="B39">SUM(SUMIFS(B$6:B$35,$A$6:$A$35,{"Angus","Clackmannanshire","Midlothian","South Lanarkshire","Inverclyde","Renfrewshire","West Lothian","East Renfrewshire"}))</f>
        <v>5549</v>
      </c>
      <c r="C39" s="393" cm="1">
        <f t="array" ref="C39">SUM(SUMIFS(C$6:C$35,$A$6:$A$35,{"Angus","Clackmannanshire","Midlothian","South Lanarkshire","Inverclyde","Renfrewshire","West Lothian","East Renfrewshire"}))</f>
        <v>551667</v>
      </c>
      <c r="D39" s="403">
        <f>SUM(B39/C39)*100</f>
        <v>1.0058604194196863</v>
      </c>
      <c r="F39" s="393" cm="1">
        <f t="array" ref="F39">SUM(SUMIFS(F$6:F$35,$A$6:$A$35,{"Angus","Clackmannanshire","Midlothian","South Lanarkshire","Inverclyde","Renfrewshire","West Lothian","East Renfrewshire"}))</f>
        <v>10067</v>
      </c>
      <c r="G39" s="393" cm="1">
        <f t="array" ref="G39">SUM(SUMIFS(G$6:G$35,$A$6:$A$35,{"Angus","Clackmannanshire","Midlothian","South Lanarkshire","Inverclyde","Renfrewshire","West Lothian","East Renfrewshire"}))</f>
        <v>556231</v>
      </c>
      <c r="H39" s="403">
        <f>SUM(F39/G39)*100</f>
        <v>1.8098595727314732</v>
      </c>
      <c r="J39" s="393" cm="1">
        <f t="array" ref="J39">SUM(SUMIFS(J$6:J$35,$A$6:$A$35,{"Angus","Clackmannanshire","Midlothian","South Lanarkshire","Inverclyde","Renfrewshire","West Lothian","East Renfrewshire"}))</f>
        <v>8529</v>
      </c>
      <c r="K39" s="393" cm="1">
        <f t="array" ref="K39">SUM(SUMIFS(K$6:K$35,$A$6:$A$35,{"Angus","Clackmannanshire","Midlothian","South Lanarkshire","Inverclyde","Renfrewshire","West Lothian","East Renfrewshire"}))</f>
        <v>564849</v>
      </c>
      <c r="L39" s="403">
        <f>SUM(J39/K39)*100</f>
        <v>1.509961069241514</v>
      </c>
      <c r="N39" s="393" cm="1">
        <f t="array" ref="N39">SUM(SUMIFS(N$6:N$35,$A$6:$A$35,{"Angus","Clackmannanshire","Midlothian","South Lanarkshire","Inverclyde","Renfrewshire","West Lothian","East Renfrewshire"}))</f>
        <v>7628</v>
      </c>
      <c r="O39" s="393" cm="1">
        <f t="array" ref="O39">SUM(SUMIFS(O$6:O$35,$A$6:$A$35,{"Angus","Clackmannanshire","Midlothian","South Lanarkshire","Inverclyde","Renfrewshire","West Lothian","East Renfrewshire"}))</f>
        <v>570261</v>
      </c>
      <c r="P39" s="403">
        <f>SUM(N39/O39)*100</f>
        <v>1.3376331188701314</v>
      </c>
    </row>
    <row r="40" spans="1:17">
      <c r="A40" s="6" t="s">
        <v>546</v>
      </c>
      <c r="B40" s="393" cm="1">
        <f t="array" ref="B40">SUM(SUMIFS(B$6:B$35,$A$6:$A$35,{"North Lanarkshire","Falkirk","East dunbartonshire","Aberdeen city","Edinburgh, city of","West dunbartonshire","Dundee city","Glasgow city"}))</f>
        <v>1916</v>
      </c>
      <c r="C40" s="393" cm="1">
        <f t="array" ref="C40">SUM(SUMIFS(C$6:C$35,$A$6:$A$35,{"North Lanarkshire","Falkirk","East Dunbartonshire","Aberdeen city","Edinburgh, city of","West Dunbartonshire","Dundee City","Glasgow City"}))</f>
        <v>1141286</v>
      </c>
      <c r="D40" s="403">
        <f>SUM(B40/C40)*100</f>
        <v>0.16788079412171886</v>
      </c>
      <c r="F40" s="393" cm="1">
        <f t="array" ref="F40">SUM(SUMIFS(F$6:F$35,$A$6:$A$35,{"North Lanarkshire","Falkirk","East dunbartonshire","Aberdeen city","Edinburgh, city of","West dunbartonshire","Dundee city","Glasgow city"}))</f>
        <v>4594</v>
      </c>
      <c r="G40" s="393" cm="1">
        <f t="array" ref="G40">SUM(SUMIFS(G$6:G$35,$A$6:$A$35,{"North Lanarkshire","Falkirk","East Dunbartonshire","Aberdeen city","Edinburgh, city of","West Dunbartonshire","Dundee City","Glasgow City"}))</f>
        <v>1147323</v>
      </c>
      <c r="H40" s="403">
        <f>SUM(F40/G40)*100</f>
        <v>0.40041034651968099</v>
      </c>
      <c r="J40" s="393" cm="1">
        <f t="array" ref="J40">SUM(SUMIFS(J$6:J$35,$A$6:$A$35,{"North Lanarkshire","Falkirk","East dunbartonshire","Aberdeen city","Edinburgh, city of","West dunbartonshire","Dundee city","Glasgow city"}))</f>
        <v>4248</v>
      </c>
      <c r="K40" s="393" cm="1">
        <f t="array" ref="K40">SUM(SUMIFS(K$6:K$35,$A$6:$A$35,{"North Lanarkshire","Falkirk","East Dunbartonshire","Aberdeen city","Edinburgh, city of","West Dunbartonshire","Dundee City","Glasgow City"}))</f>
        <v>1169253</v>
      </c>
      <c r="L40" s="403">
        <f>SUM(J40/K40)*100</f>
        <v>0.36330888182454951</v>
      </c>
      <c r="N40" s="393" cm="1">
        <f t="array" ref="N40">SUM(SUMIFS(N$6:N$35,$A$6:$A$35,{"North Lanarkshire","Falkirk","East dunbartonshire","Aberdeen city","Edinburgh, city of","West dunbartonshire","Dundee city","Glasgow city"}))</f>
        <v>4101</v>
      </c>
      <c r="O40" s="393" cm="1">
        <f t="array" ref="O40">SUM(SUMIFS(O$6:O$35,$A$6:$A$35,{"North Lanarkshire","Falkirk","East Dunbartonshire","Aberdeen city","Edinburgh, city of","West Dunbartonshire","Dundee City","Glasgow City"}))</f>
        <v>1176927</v>
      </c>
      <c r="P40" s="403">
        <f>SUM(N40/O40)*100</f>
        <v>0.34844981889276055</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autoPageBreaks="0"/>
  </sheetPr>
  <dimension ref="A1:U40"/>
  <sheetViews>
    <sheetView zoomScale="70" zoomScaleNormal="70" workbookViewId="0">
      <selection activeCell="G2" sqref="G2:H2"/>
    </sheetView>
  </sheetViews>
  <sheetFormatPr defaultColWidth="9.1796875" defaultRowHeight="13"/>
  <cols>
    <col min="1" max="1" width="31.81640625" style="58" bestFit="1" customWidth="1"/>
    <col min="2" max="17" width="16.1796875" style="58" customWidth="1"/>
    <col min="18" max="16384" width="9.1796875" style="58"/>
  </cols>
  <sheetData>
    <row r="1" spans="1:21" s="62" customFormat="1" ht="30" customHeight="1">
      <c r="A1" s="62" t="s">
        <v>198</v>
      </c>
      <c r="D1" s="62" t="s">
        <v>197</v>
      </c>
      <c r="H1" s="62" t="s">
        <v>589</v>
      </c>
      <c r="L1" s="62" t="s">
        <v>626</v>
      </c>
      <c r="P1" s="62" t="s">
        <v>746</v>
      </c>
      <c r="R1" s="59"/>
    </row>
    <row r="2" spans="1:21" s="62" customFormat="1" ht="12.75" customHeight="1">
      <c r="J2" s="62" t="s">
        <v>628</v>
      </c>
      <c r="K2" s="62" t="s">
        <v>621</v>
      </c>
      <c r="L2" s="62" t="s">
        <v>627</v>
      </c>
      <c r="N2" s="62" t="s">
        <v>628</v>
      </c>
      <c r="O2" s="62" t="s">
        <v>621</v>
      </c>
      <c r="P2" s="62" t="s">
        <v>627</v>
      </c>
      <c r="R2" s="58"/>
      <c r="S2" s="58"/>
      <c r="T2" s="58"/>
      <c r="U2" s="58"/>
    </row>
    <row r="3" spans="1:21" s="62" customFormat="1" ht="12.75" customHeight="1">
      <c r="A3" s="63" t="s">
        <v>47</v>
      </c>
      <c r="B3" s="393" cm="1">
        <f t="array" ref="B3">SUM(SUMIFS(B$6:B$35,$A$6:$A$35,{"Glasgow City","Inverclyde","North Lanarkshire","South Lanarkshire","East Dunbartonshire","West Dunbartonshire","Renfrewshire","East Renfrewshire"}))</f>
        <v>650770</v>
      </c>
      <c r="C3" s="393" cm="1">
        <f t="array" ref="C3">SUM(SUMIFS(C$6:C$35,$A$6:$A$35,{"Glasgow City","Inverclyde","North Lanarkshire","South Lanarkshire","East Dunbartonshire","West Dunbartonshire","Renfrewshire","East Renfrewshire"}))</f>
        <v>935064</v>
      </c>
      <c r="D3" s="402">
        <f>(B3/C3)*100</f>
        <v>69.596305707416818</v>
      </c>
      <c r="E3" s="59"/>
      <c r="F3" s="393" cm="1">
        <f t="array" ref="F3">SUM(SUMIFS(F$6:F$35,$A$6:$A$35,{"Glasgow City","Inverclyde","North Lanarkshire","South Lanarkshire","East Dunbartonshire","West Dunbartonshire","Renfrewshire","East Renfrewshire"}))</f>
        <v>707980</v>
      </c>
      <c r="G3" s="393" cm="1">
        <f t="array" ref="G3">SUM(SUMIFS(G$6:G$35,$A$6:$A$35,{"Glasgow City","Inverclyde","North Lanarkshire","South Lanarkshire","East Dunbartonshire","West Dunbartonshire","Renfrewshire","East Renfrewshire"}))</f>
        <v>939110</v>
      </c>
      <c r="H3" s="402">
        <f>(F3/G3)*100</f>
        <v>75.388399654992483</v>
      </c>
      <c r="I3" s="59"/>
      <c r="J3" s="393" cm="1">
        <f t="array" ref="J3">SUM(SUMIFS(J$6:J$35,$A$6:$A$35,{"Glasgow City","Inverclyde","North Lanarkshire","South Lanarkshire","East Dunbartonshire","West Dunbartonshire","Renfrewshire","East Renfrewshire"}))</f>
        <v>764515</v>
      </c>
      <c r="K3" s="393" cm="1">
        <f t="array" ref="K3">SUM(SUMIFS(K$6:K$35,$A$6:$A$35,{"Glasgow City","Inverclyde","North Lanarkshire","South Lanarkshire","East Dunbartonshire","West Dunbartonshire","Renfrewshire","East Renfrewshire"}))</f>
        <v>948664</v>
      </c>
      <c r="L3" s="402">
        <f>(J3/K3)*100</f>
        <v>80.588596173144538</v>
      </c>
      <c r="M3" s="59"/>
      <c r="N3" s="393" cm="1">
        <f t="array" ref="N3">SUM(SUMIFS(N$6:N$35,$A$6:$A$35,{"Glasgow City","Inverclyde","North Lanarkshire","South Lanarkshire","East Dunbartonshire","West Dunbartonshire","Renfrewshire","East Renfrewshire"}))</f>
        <v>820851</v>
      </c>
      <c r="O3" s="393" cm="1">
        <f t="array" ref="O3">SUM(SUMIFS(O$6:O$35,$A$6:$A$35,{"Glasgow City","Inverclyde","North Lanarkshire","South Lanarkshire","East Dunbartonshire","West Dunbartonshire","Renfrewshire","East Renfrewshire"}))</f>
        <v>955168</v>
      </c>
      <c r="P3" s="402">
        <f>(N3/O3)*100</f>
        <v>85.937866427686018</v>
      </c>
      <c r="Q3" s="59"/>
      <c r="R3" s="59"/>
      <c r="S3" s="58"/>
      <c r="T3" s="58"/>
      <c r="U3" s="58"/>
    </row>
    <row r="4" spans="1:21">
      <c r="A4" s="61" t="s">
        <v>46</v>
      </c>
      <c r="B4" s="63">
        <v>17947831</v>
      </c>
      <c r="C4" s="63">
        <v>31105680</v>
      </c>
      <c r="D4" s="59">
        <v>57.699529475002635</v>
      </c>
      <c r="E4" s="59"/>
      <c r="F4" s="59">
        <v>19717395</v>
      </c>
      <c r="G4" s="59">
        <v>31315493</v>
      </c>
      <c r="H4" s="59">
        <v>62.963706175725861</v>
      </c>
      <c r="I4" s="59"/>
      <c r="J4" s="64">
        <v>22327863</v>
      </c>
      <c r="K4" s="64">
        <v>31700682</v>
      </c>
      <c r="L4" s="64">
        <v>70.433383736034443</v>
      </c>
      <c r="M4" s="59"/>
      <c r="N4" s="64">
        <v>24533870</v>
      </c>
      <c r="O4" s="64">
        <v>31941263</v>
      </c>
      <c r="P4" s="463">
        <v>76.809329674909861</v>
      </c>
      <c r="Q4" s="59"/>
      <c r="R4" s="59"/>
    </row>
    <row r="5" spans="1:21">
      <c r="A5" s="61" t="s">
        <v>45</v>
      </c>
      <c r="B5" s="216">
        <v>1416607</v>
      </c>
      <c r="C5" s="216">
        <v>2756024</v>
      </c>
      <c r="D5" s="59">
        <v>52.435246863811301</v>
      </c>
      <c r="F5" s="216">
        <v>1605463</v>
      </c>
      <c r="G5" s="216">
        <v>2775194</v>
      </c>
      <c r="H5" s="59">
        <v>57.850478200803259</v>
      </c>
      <c r="J5" s="64">
        <v>1834454</v>
      </c>
      <c r="K5" s="64">
        <v>2820772</v>
      </c>
      <c r="L5" s="64">
        <v>65.033756716246472</v>
      </c>
      <c r="N5" s="402">
        <v>2026092</v>
      </c>
      <c r="O5" s="402">
        <v>2845385</v>
      </c>
      <c r="P5" s="463">
        <v>71.206251526594826</v>
      </c>
      <c r="R5" s="59"/>
    </row>
    <row r="6" spans="1:21">
      <c r="A6" s="58" t="s">
        <v>14</v>
      </c>
      <c r="B6" s="64">
        <v>52461</v>
      </c>
      <c r="C6" s="64">
        <v>126176</v>
      </c>
      <c r="D6" s="59">
        <v>41.577637585594722</v>
      </c>
      <c r="E6" s="59"/>
      <c r="F6" s="59">
        <v>79372</v>
      </c>
      <c r="G6" s="59">
        <v>127714</v>
      </c>
      <c r="H6" s="59">
        <v>62.1</v>
      </c>
      <c r="I6" s="59"/>
      <c r="J6" s="64">
        <v>99197</v>
      </c>
      <c r="K6" s="64">
        <v>128708</v>
      </c>
      <c r="L6" s="64">
        <v>77.099999999999994</v>
      </c>
      <c r="M6" s="59"/>
      <c r="N6" s="462">
        <v>112613</v>
      </c>
      <c r="O6" s="462">
        <v>129999</v>
      </c>
      <c r="P6" s="463">
        <v>86.626050969622852</v>
      </c>
      <c r="Q6" s="59"/>
      <c r="R6" s="59"/>
    </row>
    <row r="7" spans="1:21">
      <c r="A7" s="58" t="s">
        <v>15</v>
      </c>
      <c r="B7" s="64">
        <v>8872</v>
      </c>
      <c r="C7" s="64">
        <v>126065</v>
      </c>
      <c r="D7" s="59">
        <v>7.0376393130527903</v>
      </c>
      <c r="E7" s="59"/>
      <c r="F7" s="59">
        <v>17366</v>
      </c>
      <c r="G7" s="59">
        <v>126481</v>
      </c>
      <c r="H7" s="59">
        <v>13.7</v>
      </c>
      <c r="I7" s="59"/>
      <c r="J7" s="64">
        <v>26251</v>
      </c>
      <c r="K7" s="64">
        <v>127941</v>
      </c>
      <c r="L7" s="64">
        <v>20.5</v>
      </c>
      <c r="M7" s="59"/>
      <c r="N7" s="462">
        <v>37840</v>
      </c>
      <c r="O7" s="462">
        <v>128976</v>
      </c>
      <c r="P7" s="463">
        <v>29.33879171318695</v>
      </c>
      <c r="Q7" s="59"/>
      <c r="R7" s="59"/>
    </row>
    <row r="8" spans="1:21">
      <c r="A8" s="58" t="s">
        <v>16</v>
      </c>
      <c r="B8" s="64">
        <v>8599</v>
      </c>
      <c r="C8" s="64">
        <v>60856</v>
      </c>
      <c r="D8" s="59">
        <v>14.130077560141974</v>
      </c>
      <c r="E8" s="59"/>
      <c r="F8" s="59">
        <v>14351</v>
      </c>
      <c r="G8" s="59">
        <v>61105</v>
      </c>
      <c r="H8" s="59">
        <v>23.5</v>
      </c>
      <c r="I8" s="59"/>
      <c r="J8" s="64">
        <v>19442</v>
      </c>
      <c r="K8" s="64">
        <v>61825</v>
      </c>
      <c r="L8" s="64">
        <v>31.4</v>
      </c>
      <c r="M8" s="59"/>
      <c r="N8" s="462">
        <v>25238</v>
      </c>
      <c r="O8" s="462">
        <v>61915</v>
      </c>
      <c r="P8" s="463">
        <v>40.762335459904705</v>
      </c>
      <c r="Q8" s="59"/>
      <c r="R8" s="59"/>
    </row>
    <row r="9" spans="1:21">
      <c r="A9" s="58" t="s">
        <v>17</v>
      </c>
      <c r="B9" s="64">
        <v>885</v>
      </c>
      <c r="C9" s="64">
        <v>56475</v>
      </c>
      <c r="D9" s="59">
        <v>1.5670650730411688</v>
      </c>
      <c r="E9" s="59"/>
      <c r="F9" s="59">
        <v>1017</v>
      </c>
      <c r="G9" s="59">
        <v>56695</v>
      </c>
      <c r="H9" s="59">
        <v>1.8</v>
      </c>
      <c r="I9" s="59"/>
      <c r="J9" s="64">
        <v>2289</v>
      </c>
      <c r="K9" s="64">
        <v>57002</v>
      </c>
      <c r="L9" s="64">
        <v>4</v>
      </c>
      <c r="M9" s="59"/>
      <c r="N9" s="462">
        <v>4019</v>
      </c>
      <c r="O9" s="462">
        <v>57412</v>
      </c>
      <c r="P9" s="463">
        <v>7.000278687382429</v>
      </c>
      <c r="Q9" s="59"/>
      <c r="R9" s="59"/>
    </row>
    <row r="10" spans="1:21">
      <c r="A10" s="58" t="s">
        <v>189</v>
      </c>
      <c r="B10" s="64">
        <v>223920</v>
      </c>
      <c r="C10" s="64">
        <v>265092</v>
      </c>
      <c r="D10" s="59">
        <v>84.468788194287271</v>
      </c>
      <c r="E10" s="59"/>
      <c r="F10" s="59">
        <v>231028</v>
      </c>
      <c r="G10" s="59">
        <v>266242</v>
      </c>
      <c r="H10" s="59">
        <v>86.8</v>
      </c>
      <c r="I10" s="59"/>
      <c r="J10" s="64">
        <v>250707</v>
      </c>
      <c r="K10" s="64">
        <v>280952</v>
      </c>
      <c r="L10" s="64">
        <v>89.2</v>
      </c>
      <c r="M10" s="59"/>
      <c r="N10" s="462">
        <v>258793</v>
      </c>
      <c r="O10" s="462">
        <v>283255</v>
      </c>
      <c r="P10" s="463">
        <v>91.363965331591686</v>
      </c>
      <c r="Q10" s="59"/>
      <c r="R10" s="59"/>
    </row>
    <row r="11" spans="1:21">
      <c r="A11" s="58" t="s">
        <v>18</v>
      </c>
      <c r="B11" s="64">
        <v>1958</v>
      </c>
      <c r="C11" s="64">
        <v>25820</v>
      </c>
      <c r="D11" s="59">
        <v>7.5832687838884585</v>
      </c>
      <c r="E11" s="59"/>
      <c r="F11" s="59">
        <v>6514</v>
      </c>
      <c r="G11" s="59">
        <v>25947</v>
      </c>
      <c r="H11" s="59">
        <v>25.1</v>
      </c>
      <c r="I11" s="59"/>
      <c r="J11" s="64">
        <v>15746</v>
      </c>
      <c r="K11" s="64">
        <v>26637</v>
      </c>
      <c r="L11" s="64">
        <v>59.1</v>
      </c>
      <c r="M11" s="59"/>
      <c r="N11" s="462">
        <v>17607</v>
      </c>
      <c r="O11" s="462">
        <v>26701</v>
      </c>
      <c r="P11" s="463">
        <v>65.941350511216811</v>
      </c>
      <c r="Q11" s="59"/>
      <c r="R11" s="59"/>
    </row>
    <row r="12" spans="1:21">
      <c r="A12" s="58" t="s">
        <v>19</v>
      </c>
      <c r="B12" s="64">
        <v>5242</v>
      </c>
      <c r="C12" s="64">
        <v>82541</v>
      </c>
      <c r="D12" s="59">
        <v>6.3507832471135561</v>
      </c>
      <c r="E12" s="59"/>
      <c r="F12" s="59">
        <v>6615</v>
      </c>
      <c r="G12" s="59">
        <v>82696</v>
      </c>
      <c r="H12" s="59">
        <v>8</v>
      </c>
      <c r="I12" s="59"/>
      <c r="J12" s="64">
        <v>15618</v>
      </c>
      <c r="K12" s="64">
        <v>82995</v>
      </c>
      <c r="L12" s="64">
        <v>18.8</v>
      </c>
      <c r="M12" s="59"/>
      <c r="N12" s="462">
        <v>21320</v>
      </c>
      <c r="O12" s="462">
        <v>83221</v>
      </c>
      <c r="P12" s="463">
        <v>25.618533783540215</v>
      </c>
      <c r="Q12" s="59"/>
    </row>
    <row r="13" spans="1:21">
      <c r="A13" s="58" t="s">
        <v>20</v>
      </c>
      <c r="B13" s="64">
        <v>67305</v>
      </c>
      <c r="C13" s="64">
        <v>79398</v>
      </c>
      <c r="D13" s="59">
        <v>84.769137761656467</v>
      </c>
      <c r="E13" s="59"/>
      <c r="F13" s="59">
        <v>70533</v>
      </c>
      <c r="G13" s="59">
        <v>79844</v>
      </c>
      <c r="H13" s="59">
        <v>88.3</v>
      </c>
      <c r="I13" s="59"/>
      <c r="J13" s="64">
        <v>74294</v>
      </c>
      <c r="K13" s="64">
        <v>80347</v>
      </c>
      <c r="L13" s="64">
        <v>92.5</v>
      </c>
      <c r="M13" s="59"/>
      <c r="N13" s="462">
        <v>75400</v>
      </c>
      <c r="O13" s="462">
        <v>80812</v>
      </c>
      <c r="P13" s="463">
        <v>93.302974805721931</v>
      </c>
      <c r="Q13" s="59"/>
    </row>
    <row r="14" spans="1:21">
      <c r="A14" s="58" t="s">
        <v>21</v>
      </c>
      <c r="B14" s="64">
        <v>26590</v>
      </c>
      <c r="C14" s="64">
        <v>60338</v>
      </c>
      <c r="D14" s="59">
        <v>44.068414597765923</v>
      </c>
      <c r="E14" s="59"/>
      <c r="F14" s="59">
        <v>28557</v>
      </c>
      <c r="G14" s="59">
        <v>60659</v>
      </c>
      <c r="H14" s="59">
        <v>47.1</v>
      </c>
      <c r="I14" s="59"/>
      <c r="J14" s="64">
        <v>37430</v>
      </c>
      <c r="K14" s="64">
        <v>62290</v>
      </c>
      <c r="L14" s="64">
        <v>60.1</v>
      </c>
      <c r="M14" s="59"/>
      <c r="N14" s="462">
        <v>40769</v>
      </c>
      <c r="O14" s="462">
        <v>62533</v>
      </c>
      <c r="P14" s="463">
        <v>65.195976524395121</v>
      </c>
      <c r="Q14" s="59"/>
    </row>
    <row r="15" spans="1:21">
      <c r="A15" s="58" t="s">
        <v>22</v>
      </c>
      <c r="B15" s="64">
        <v>38253</v>
      </c>
      <c r="C15" s="64">
        <v>49419</v>
      </c>
      <c r="D15" s="59">
        <v>77.405451344624538</v>
      </c>
      <c r="E15" s="59"/>
      <c r="F15" s="59">
        <v>40601</v>
      </c>
      <c r="G15" s="59">
        <v>50461</v>
      </c>
      <c r="H15" s="59">
        <v>80.5</v>
      </c>
      <c r="I15" s="59"/>
      <c r="J15" s="64">
        <v>43157</v>
      </c>
      <c r="K15" s="64">
        <v>50505</v>
      </c>
      <c r="L15" s="64">
        <v>85.5</v>
      </c>
      <c r="M15" s="59"/>
      <c r="N15" s="462">
        <v>44619</v>
      </c>
      <c r="O15" s="462">
        <v>50539</v>
      </c>
      <c r="P15" s="463">
        <v>88.286273966639627</v>
      </c>
      <c r="Q15" s="59"/>
    </row>
    <row r="16" spans="1:21">
      <c r="A16" s="58" t="s">
        <v>23</v>
      </c>
      <c r="B16" s="64">
        <v>11593</v>
      </c>
      <c r="C16" s="64">
        <v>48818</v>
      </c>
      <c r="D16" s="59">
        <v>23.747388258429268</v>
      </c>
      <c r="E16" s="59"/>
      <c r="F16" s="59">
        <v>16480</v>
      </c>
      <c r="G16" s="59">
        <v>49334</v>
      </c>
      <c r="H16" s="59">
        <v>33.4</v>
      </c>
      <c r="I16" s="59"/>
      <c r="J16" s="64">
        <v>28745</v>
      </c>
      <c r="K16" s="64">
        <v>50664</v>
      </c>
      <c r="L16" s="64">
        <v>56.7</v>
      </c>
      <c r="M16" s="59"/>
      <c r="N16" s="462">
        <v>41702</v>
      </c>
      <c r="O16" s="462">
        <v>53696</v>
      </c>
      <c r="P16" s="463">
        <v>77.663140643623365</v>
      </c>
      <c r="Q16" s="59"/>
    </row>
    <row r="17" spans="1:18">
      <c r="A17" s="58" t="s">
        <v>24</v>
      </c>
      <c r="B17" s="64">
        <v>28652</v>
      </c>
      <c r="C17" s="64">
        <v>41004</v>
      </c>
      <c r="D17" s="59">
        <v>69.876109647839229</v>
      </c>
      <c r="E17" s="59"/>
      <c r="F17" s="59">
        <v>28983</v>
      </c>
      <c r="G17" s="59">
        <v>41194</v>
      </c>
      <c r="H17" s="59">
        <v>70.400000000000006</v>
      </c>
      <c r="I17" s="59"/>
      <c r="J17" s="64">
        <v>32514</v>
      </c>
      <c r="K17" s="64">
        <v>41961</v>
      </c>
      <c r="L17" s="64">
        <v>77.5</v>
      </c>
      <c r="M17" s="59"/>
      <c r="N17" s="462">
        <v>35028</v>
      </c>
      <c r="O17" s="462">
        <v>42314</v>
      </c>
      <c r="P17" s="463">
        <v>82.781112634116369</v>
      </c>
      <c r="Q17" s="59"/>
    </row>
    <row r="18" spans="1:18">
      <c r="A18" s="58" t="s">
        <v>25</v>
      </c>
      <c r="B18" s="64">
        <v>61860</v>
      </c>
      <c r="C18" s="64">
        <v>73926</v>
      </c>
      <c r="D18" s="59">
        <v>83.678272867462056</v>
      </c>
      <c r="E18" s="59"/>
      <c r="F18" s="59">
        <v>63370</v>
      </c>
      <c r="G18" s="59">
        <v>73917</v>
      </c>
      <c r="H18" s="59">
        <v>85.7</v>
      </c>
      <c r="I18" s="59"/>
      <c r="J18" s="64">
        <v>65314</v>
      </c>
      <c r="K18" s="64">
        <v>75251</v>
      </c>
      <c r="L18" s="64">
        <v>86.8</v>
      </c>
      <c r="M18" s="59"/>
      <c r="N18" s="462">
        <v>67592</v>
      </c>
      <c r="O18" s="462">
        <v>75290</v>
      </c>
      <c r="P18" s="463">
        <v>89.775534599548408</v>
      </c>
      <c r="Q18" s="59"/>
    </row>
    <row r="19" spans="1:18">
      <c r="A19" s="58" t="s">
        <v>26</v>
      </c>
      <c r="B19" s="64">
        <v>97440</v>
      </c>
      <c r="C19" s="64">
        <v>190085</v>
      </c>
      <c r="D19" s="59">
        <v>51.26127784938317</v>
      </c>
      <c r="E19" s="59"/>
      <c r="F19" s="59">
        <v>106568</v>
      </c>
      <c r="G19" s="59">
        <v>191939</v>
      </c>
      <c r="H19" s="59">
        <v>55.5</v>
      </c>
      <c r="I19" s="59"/>
      <c r="J19" s="64">
        <v>120583</v>
      </c>
      <c r="K19" s="64">
        <v>193652</v>
      </c>
      <c r="L19" s="64">
        <v>62.3</v>
      </c>
      <c r="M19" s="59"/>
      <c r="N19" s="462">
        <v>141842</v>
      </c>
      <c r="O19" s="462">
        <v>195645</v>
      </c>
      <c r="P19" s="463">
        <v>72.49968054384216</v>
      </c>
      <c r="Q19" s="59"/>
    </row>
    <row r="20" spans="1:18">
      <c r="A20" s="58" t="s">
        <v>27</v>
      </c>
      <c r="B20" s="64">
        <v>213475</v>
      </c>
      <c r="C20" s="64">
        <v>335271</v>
      </c>
      <c r="D20" s="59">
        <v>63.672372498665261</v>
      </c>
      <c r="E20" s="59"/>
      <c r="F20" s="59">
        <v>238423</v>
      </c>
      <c r="G20" s="59">
        <v>336398</v>
      </c>
      <c r="H20" s="59">
        <v>70.900000000000006</v>
      </c>
      <c r="I20" s="59"/>
      <c r="J20" s="64">
        <v>261434</v>
      </c>
      <c r="K20" s="64">
        <v>339265</v>
      </c>
      <c r="L20" s="64">
        <v>77.099999999999994</v>
      </c>
      <c r="M20" s="59"/>
      <c r="N20" s="462">
        <v>292168</v>
      </c>
      <c r="O20" s="462">
        <v>341169</v>
      </c>
      <c r="P20" s="463">
        <v>85.637323437944247</v>
      </c>
      <c r="Q20" s="59"/>
    </row>
    <row r="21" spans="1:18">
      <c r="A21" s="58" t="s">
        <v>28</v>
      </c>
      <c r="B21" s="64">
        <v>9531</v>
      </c>
      <c r="C21" s="64">
        <v>115308</v>
      </c>
      <c r="D21" s="59">
        <v>8.2656884171089597</v>
      </c>
      <c r="E21" s="59"/>
      <c r="F21" s="59">
        <v>25994</v>
      </c>
      <c r="G21" s="59">
        <v>115695</v>
      </c>
      <c r="H21" s="59">
        <v>22.5</v>
      </c>
      <c r="I21" s="59"/>
      <c r="J21" s="64">
        <v>36976</v>
      </c>
      <c r="K21" s="64">
        <v>119740</v>
      </c>
      <c r="L21" s="64">
        <v>30.9</v>
      </c>
      <c r="M21" s="59"/>
      <c r="N21" s="462">
        <v>44338</v>
      </c>
      <c r="O21" s="462">
        <v>121345</v>
      </c>
      <c r="P21" s="463">
        <v>36.538794346697436</v>
      </c>
      <c r="Q21" s="59"/>
      <c r="R21" s="59"/>
    </row>
    <row r="22" spans="1:18">
      <c r="A22" s="58" t="s">
        <v>29</v>
      </c>
      <c r="B22" s="64">
        <v>30583</v>
      </c>
      <c r="C22" s="64">
        <v>42012</v>
      </c>
      <c r="D22" s="59">
        <v>72.795867847281727</v>
      </c>
      <c r="E22" s="59"/>
      <c r="F22" s="59">
        <v>30673</v>
      </c>
      <c r="G22" s="59">
        <v>41970</v>
      </c>
      <c r="H22" s="59">
        <v>73.099999999999994</v>
      </c>
      <c r="I22" s="59"/>
      <c r="J22" s="64">
        <v>31207</v>
      </c>
      <c r="K22" s="64">
        <v>41988</v>
      </c>
      <c r="L22" s="64">
        <v>74.3</v>
      </c>
      <c r="M22" s="59"/>
      <c r="N22" s="462">
        <v>32244</v>
      </c>
      <c r="O22" s="462">
        <v>42309</v>
      </c>
      <c r="P22" s="463">
        <v>76.210735304545125</v>
      </c>
      <c r="Q22" s="59"/>
    </row>
    <row r="23" spans="1:18">
      <c r="A23" s="58" t="s">
        <v>30</v>
      </c>
      <c r="B23" s="64">
        <v>15402</v>
      </c>
      <c r="C23" s="64">
        <v>40548</v>
      </c>
      <c r="D23" s="59">
        <v>37.984610831606986</v>
      </c>
      <c r="E23" s="59"/>
      <c r="F23" s="59">
        <v>25041</v>
      </c>
      <c r="G23" s="59">
        <v>42787</v>
      </c>
      <c r="H23" s="59">
        <v>58.5</v>
      </c>
      <c r="I23" s="59"/>
      <c r="J23" s="64">
        <v>31442</v>
      </c>
      <c r="K23" s="64">
        <v>43714</v>
      </c>
      <c r="L23" s="64">
        <v>71.900000000000006</v>
      </c>
      <c r="M23" s="59"/>
      <c r="N23" s="462">
        <v>37620</v>
      </c>
      <c r="O23" s="462">
        <v>44661</v>
      </c>
      <c r="P23" s="463">
        <v>84.234567071941967</v>
      </c>
      <c r="Q23" s="59"/>
    </row>
    <row r="24" spans="1:18">
      <c r="A24" s="58" t="s">
        <v>31</v>
      </c>
      <c r="B24" s="64">
        <v>4697</v>
      </c>
      <c r="C24" s="64">
        <v>49316</v>
      </c>
      <c r="D24" s="59">
        <v>9.5242923189228659</v>
      </c>
      <c r="E24" s="59"/>
      <c r="F24" s="59">
        <v>10991</v>
      </c>
      <c r="G24" s="59">
        <v>49558</v>
      </c>
      <c r="H24" s="59">
        <v>22.2</v>
      </c>
      <c r="I24" s="59"/>
      <c r="J24" s="64">
        <v>21409</v>
      </c>
      <c r="K24" s="64">
        <v>50245</v>
      </c>
      <c r="L24" s="64">
        <v>42.6</v>
      </c>
      <c r="M24" s="59"/>
      <c r="N24" s="462">
        <v>24509</v>
      </c>
      <c r="O24" s="462">
        <v>50782</v>
      </c>
      <c r="P24" s="463">
        <v>48.263164113268481</v>
      </c>
      <c r="Q24" s="59"/>
    </row>
    <row r="25" spans="1:18" ht="14.5">
      <c r="A25" s="60" t="s">
        <v>32</v>
      </c>
      <c r="B25" s="64">
        <v>620</v>
      </c>
      <c r="C25" s="64">
        <v>16592</v>
      </c>
      <c r="D25" s="59">
        <v>3.7367405978784953</v>
      </c>
      <c r="E25" s="59"/>
      <c r="F25" s="59">
        <v>750</v>
      </c>
      <c r="G25" s="59">
        <v>16684</v>
      </c>
      <c r="H25" s="59">
        <v>4.5</v>
      </c>
      <c r="I25" s="59"/>
      <c r="J25" s="64">
        <v>877</v>
      </c>
      <c r="K25" s="64">
        <v>16943</v>
      </c>
      <c r="L25" s="64">
        <v>5.2</v>
      </c>
      <c r="M25" s="59"/>
      <c r="N25" s="462">
        <v>969</v>
      </c>
      <c r="O25" s="462">
        <v>17164</v>
      </c>
      <c r="P25" s="463">
        <v>5.6455371708226521</v>
      </c>
      <c r="Q25" s="59"/>
    </row>
    <row r="26" spans="1:18">
      <c r="A26" s="58" t="s">
        <v>33</v>
      </c>
      <c r="B26" s="64">
        <v>21319</v>
      </c>
      <c r="C26" s="64">
        <v>71985</v>
      </c>
      <c r="D26" s="59">
        <v>29.615892199763838</v>
      </c>
      <c r="E26" s="59"/>
      <c r="F26" s="59">
        <v>23104</v>
      </c>
      <c r="G26" s="59">
        <v>72396</v>
      </c>
      <c r="H26" s="59">
        <v>31.9</v>
      </c>
      <c r="I26" s="59"/>
      <c r="J26" s="64">
        <v>38193</v>
      </c>
      <c r="K26" s="64">
        <v>72907</v>
      </c>
      <c r="L26" s="64">
        <v>52.4</v>
      </c>
      <c r="M26" s="59"/>
      <c r="N26" s="462">
        <v>48977</v>
      </c>
      <c r="O26" s="462">
        <v>73434</v>
      </c>
      <c r="P26" s="463">
        <v>66.695263774273499</v>
      </c>
      <c r="Q26" s="59"/>
    </row>
    <row r="27" spans="1:18">
      <c r="A27" s="58" t="s">
        <v>34</v>
      </c>
      <c r="B27" s="64">
        <v>123844</v>
      </c>
      <c r="C27" s="64">
        <v>164951</v>
      </c>
      <c r="D27" s="59">
        <v>75.079265963831688</v>
      </c>
      <c r="E27" s="59"/>
      <c r="F27" s="59">
        <v>129763</v>
      </c>
      <c r="G27" s="59">
        <v>165620</v>
      </c>
      <c r="H27" s="59">
        <v>78.3</v>
      </c>
      <c r="I27" s="59"/>
      <c r="J27" s="64">
        <v>141370</v>
      </c>
      <c r="K27" s="64">
        <v>166637</v>
      </c>
      <c r="L27" s="64">
        <v>84.8</v>
      </c>
      <c r="M27" s="59"/>
      <c r="N27" s="462">
        <v>148165</v>
      </c>
      <c r="O27" s="462">
        <v>167567</v>
      </c>
      <c r="P27" s="463">
        <v>88.421347878758951</v>
      </c>
      <c r="Q27" s="59"/>
    </row>
    <row r="28" spans="1:18">
      <c r="A28" s="58" t="s">
        <v>36</v>
      </c>
      <c r="B28" s="64">
        <v>26814</v>
      </c>
      <c r="C28" s="64">
        <v>78555</v>
      </c>
      <c r="D28" s="59">
        <v>34.134046209662024</v>
      </c>
      <c r="E28" s="59"/>
      <c r="F28" s="59">
        <v>28746</v>
      </c>
      <c r="G28" s="59">
        <v>79353</v>
      </c>
      <c r="H28" s="59">
        <v>36.200000000000003</v>
      </c>
      <c r="I28" s="59"/>
      <c r="J28" s="64">
        <v>31318</v>
      </c>
      <c r="K28" s="64">
        <v>80101</v>
      </c>
      <c r="L28" s="64">
        <v>39.1</v>
      </c>
      <c r="M28" s="59"/>
      <c r="N28" s="462">
        <v>33813</v>
      </c>
      <c r="O28" s="462">
        <v>80949</v>
      </c>
      <c r="P28" s="463">
        <v>41.770744542860321</v>
      </c>
      <c r="Q28" s="59"/>
    </row>
    <row r="29" spans="1:18">
      <c r="A29" s="58" t="s">
        <v>37</v>
      </c>
      <c r="B29" s="64">
        <v>69707</v>
      </c>
      <c r="C29" s="64">
        <v>94677</v>
      </c>
      <c r="D29" s="59">
        <v>73.626118275822009</v>
      </c>
      <c r="E29" s="59"/>
      <c r="F29" s="59">
        <v>79945</v>
      </c>
      <c r="G29" s="59">
        <v>95282</v>
      </c>
      <c r="H29" s="59">
        <v>83.9</v>
      </c>
      <c r="I29" s="59"/>
      <c r="J29" s="64">
        <v>87709</v>
      </c>
      <c r="K29" s="64">
        <v>96776</v>
      </c>
      <c r="L29" s="64">
        <v>90.6</v>
      </c>
      <c r="M29" s="59"/>
      <c r="N29" s="462">
        <v>89605</v>
      </c>
      <c r="O29" s="462">
        <v>97532</v>
      </c>
      <c r="P29" s="463">
        <v>91.872411106098511</v>
      </c>
      <c r="Q29" s="59"/>
    </row>
    <row r="30" spans="1:18">
      <c r="A30" s="58" t="s">
        <v>38</v>
      </c>
      <c r="B30" s="64">
        <v>6947</v>
      </c>
      <c r="C30" s="64">
        <v>61777</v>
      </c>
      <c r="D30" s="59">
        <v>11.245285462227042</v>
      </c>
      <c r="E30" s="59"/>
      <c r="F30" s="59">
        <v>12764</v>
      </c>
      <c r="G30" s="59">
        <v>64825</v>
      </c>
      <c r="H30" s="59">
        <v>19.7</v>
      </c>
      <c r="I30" s="59"/>
      <c r="J30" s="64">
        <v>17904</v>
      </c>
      <c r="K30" s="64">
        <v>65439</v>
      </c>
      <c r="L30" s="64">
        <v>27.4</v>
      </c>
      <c r="M30" s="59"/>
      <c r="N30" s="462">
        <v>25714</v>
      </c>
      <c r="O30" s="462">
        <v>65696</v>
      </c>
      <c r="P30" s="463">
        <v>39.140891378470535</v>
      </c>
      <c r="Q30" s="59"/>
    </row>
    <row r="31" spans="1:18">
      <c r="A31" s="58" t="s">
        <v>40</v>
      </c>
      <c r="B31" s="64">
        <v>33095</v>
      </c>
      <c r="C31" s="64">
        <v>58823</v>
      </c>
      <c r="D31" s="59">
        <v>56.262006358057228</v>
      </c>
      <c r="E31" s="59"/>
      <c r="F31" s="59">
        <v>35825</v>
      </c>
      <c r="G31" s="59">
        <v>58838</v>
      </c>
      <c r="H31" s="59">
        <v>60.9</v>
      </c>
      <c r="I31" s="59"/>
      <c r="J31" s="64">
        <v>39753</v>
      </c>
      <c r="K31" s="64">
        <v>59802</v>
      </c>
      <c r="L31" s="64">
        <v>66.5</v>
      </c>
      <c r="M31" s="59"/>
      <c r="N31" s="462">
        <v>42341</v>
      </c>
      <c r="O31" s="462">
        <v>60128</v>
      </c>
      <c r="P31" s="463">
        <v>70.418108036189466</v>
      </c>
      <c r="Q31" s="59"/>
      <c r="R31" s="59"/>
    </row>
    <row r="32" spans="1:18">
      <c r="A32" s="58" t="s">
        <v>41</v>
      </c>
      <c r="B32" s="64">
        <v>104770</v>
      </c>
      <c r="C32" s="64">
        <v>160677</v>
      </c>
      <c r="D32" s="59">
        <v>65.205349863390524</v>
      </c>
      <c r="E32" s="59"/>
      <c r="F32" s="59">
        <v>117942</v>
      </c>
      <c r="G32" s="59">
        <v>161058</v>
      </c>
      <c r="H32" s="59">
        <v>73.2</v>
      </c>
      <c r="I32" s="59"/>
      <c r="J32" s="64">
        <v>124830</v>
      </c>
      <c r="K32" s="64">
        <v>163944</v>
      </c>
      <c r="L32" s="64">
        <v>76.099999999999994</v>
      </c>
      <c r="M32" s="59"/>
      <c r="N32" s="462">
        <v>135194</v>
      </c>
      <c r="O32" s="462">
        <v>165442</v>
      </c>
      <c r="P32" s="463">
        <v>81.71685545387507</v>
      </c>
      <c r="Q32" s="59"/>
    </row>
    <row r="33" spans="1:18" ht="14.5">
      <c r="A33" s="58" t="s">
        <v>42</v>
      </c>
      <c r="B33" s="64">
        <v>23172</v>
      </c>
      <c r="C33" s="64">
        <v>46393</v>
      </c>
      <c r="D33" s="59">
        <v>49.947190308882803</v>
      </c>
      <c r="E33" s="59"/>
      <c r="F33" s="59">
        <v>23357</v>
      </c>
      <c r="G33" s="59">
        <v>46487</v>
      </c>
      <c r="H33" s="59">
        <v>50.2</v>
      </c>
      <c r="I33" s="59"/>
      <c r="J33" s="64">
        <v>23217</v>
      </c>
      <c r="K33" s="64">
        <v>46949</v>
      </c>
      <c r="L33" s="64">
        <v>49.5</v>
      </c>
      <c r="M33" s="59"/>
      <c r="N33" s="462">
        <v>24821</v>
      </c>
      <c r="O33" s="462">
        <v>47216</v>
      </c>
      <c r="P33" s="463">
        <v>52.569044391731609</v>
      </c>
      <c r="Q33" s="59"/>
      <c r="R33" s="60"/>
    </row>
    <row r="34" spans="1:18">
      <c r="A34" s="58" t="s">
        <v>43</v>
      </c>
      <c r="B34" s="64">
        <v>41486</v>
      </c>
      <c r="C34" s="64">
        <v>47053</v>
      </c>
      <c r="D34" s="59">
        <v>88.168660871782876</v>
      </c>
      <c r="E34" s="59"/>
      <c r="F34" s="59">
        <v>41650</v>
      </c>
      <c r="G34" s="59">
        <v>47127</v>
      </c>
      <c r="H34" s="59">
        <v>88.4</v>
      </c>
      <c r="I34" s="59"/>
      <c r="J34" s="64">
        <v>42294</v>
      </c>
      <c r="K34" s="64">
        <v>47588</v>
      </c>
      <c r="L34" s="64">
        <v>88.9</v>
      </c>
      <c r="M34" s="59"/>
      <c r="N34" s="462">
        <v>43828</v>
      </c>
      <c r="O34" s="462">
        <v>48296</v>
      </c>
      <c r="P34" s="463">
        <v>90.748716249792949</v>
      </c>
      <c r="Q34" s="59"/>
    </row>
    <row r="35" spans="1:18">
      <c r="A35" s="58" t="s">
        <v>44</v>
      </c>
      <c r="B35" s="64">
        <v>57515</v>
      </c>
      <c r="C35" s="64">
        <v>86073</v>
      </c>
      <c r="D35" s="59">
        <v>66.8211866671314</v>
      </c>
      <c r="E35" s="59"/>
      <c r="F35" s="59">
        <v>69140</v>
      </c>
      <c r="G35" s="59">
        <v>86888</v>
      </c>
      <c r="H35" s="59">
        <v>79.599999999999994</v>
      </c>
      <c r="I35" s="59"/>
      <c r="J35" s="64">
        <v>73234</v>
      </c>
      <c r="K35" s="64">
        <v>88004</v>
      </c>
      <c r="L35" s="64">
        <v>83.2</v>
      </c>
      <c r="M35" s="59"/>
      <c r="N35" s="462">
        <v>77404</v>
      </c>
      <c r="O35" s="462">
        <v>89387</v>
      </c>
      <c r="P35" s="463">
        <v>86.594247485652275</v>
      </c>
      <c r="Q35" s="59"/>
    </row>
    <row r="37" spans="1:18">
      <c r="A37" s="6" t="s">
        <v>543</v>
      </c>
      <c r="B37" s="393">
        <f>SUM(SUMIFS(B$6:B$35,$A$6:$A$35,{"Na h-Eileanan Siar","Argyll and Bute","Shetland Islands","Highland","Orkney Islands","Scottish Borders","Dumfries and Galloway","Aberdeenshire"}))</f>
        <v>32097</v>
      </c>
      <c r="C37" s="393">
        <f>SUM(SUMIFS(C$6:C$35,$A$6:$A$35,{"Na h-Eileanan Siar","Argyll and Bute","Shetland Islands","Highland","Orkney Islands","Scottish Borders","Dumfries and Galloway","Aberdeenshire"}))</f>
        <v>458758</v>
      </c>
      <c r="D37" s="403">
        <f>SUM(B37/C37)*100</f>
        <v>6.9964992436099198</v>
      </c>
      <c r="F37" s="393">
        <f>SUM(SUMIFS(F$6:F$35,$A$6:$A$35,{"Na h-Eileanan Siar","Argyll and Bute","Shetland Islands","Highland","Orkney Islands","Scottish Borders","Dumfries and Galloway","Aberdeenshire"}))</f>
        <v>64506</v>
      </c>
      <c r="G37" s="393">
        <f>SUM(SUMIFS(G$6:G$35,$A$6:$A$35,{"Na h-Eileanan Siar","Argyll and Bute","Shetland Islands","Highland","Orkney Islands","Scottish Borders","Dumfries and Galloway","Aberdeenshire"}))</f>
        <v>463076</v>
      </c>
      <c r="H37" s="403">
        <f>SUM(F37/G37)*100</f>
        <v>13.929894876866863</v>
      </c>
      <c r="J37" s="393" cm="1">
        <f t="array" ref="J37">SUM(SUMIFS(J$6:J$35,$A$6:$A$35,{"Na h-Eileanan Siar","Argyll and Bute","Shetland Islands","Highland","Orkney Islands","Scottish Borders","Dumfries and Galloway","Aberdeenshire"}))</f>
        <v>99915</v>
      </c>
      <c r="K37" s="393" cm="1">
        <f t="array" ref="K37">SUM(SUMIFS(K$6:K$35,$A$6:$A$35,{"Na h-Eileanan Siar","Argyll and Bute","Shetland Islands","Highland","Orkney Islands","Scottish Borders","Dumfries and Galloway","Aberdeenshire"}))</f>
        <v>470060</v>
      </c>
      <c r="L37" s="403">
        <f>SUM(J37/K37)*100</f>
        <v>21.255797132280986</v>
      </c>
      <c r="N37" s="393" cm="1">
        <f t="array" ref="N37">SUM(SUMIFS(N$6:N$35,$A$6:$A$35,{"Na h-Eileanan Siar","Argyll and Bute","Shetland Islands","Highland","Orkney Islands","Scottish Borders","Dumfries and Galloway","Aberdeenshire"}))</f>
        <v>134200</v>
      </c>
      <c r="O37" s="393" cm="1">
        <f t="array" ref="O37">SUM(SUMIFS(O$6:O$35,$A$6:$A$35,{"Na h-Eileanan Siar","Argyll and Bute","Shetland Islands","Highland","Orkney Islands","Scottish Borders","Dumfries and Galloway","Aberdeenshire"}))</f>
        <v>473814</v>
      </c>
      <c r="P37" s="403">
        <f>SUM(N37/O37)*100</f>
        <v>28.323350513070526</v>
      </c>
    </row>
    <row r="38" spans="1:18">
      <c r="A38" s="6" t="s">
        <v>544</v>
      </c>
      <c r="B38" s="393">
        <f>SUM(SUMIFS(B$6:B$35,$A$6:$A$35,{"Perth and Kinross","Stirling","Moray","South Ayrshire","East Ayrshire","East Lothian","North Ayrshire","Fife"}))</f>
        <v>244720</v>
      </c>
      <c r="C38" s="393">
        <f>SUM(SUMIFS(C$6:C$35,$A$6:$A$35,{"Perth and Kinross","Stirling","Moray","South Ayrshire","East Ayrshire","East Lothian","North Ayrshire","Fife"}))</f>
        <v>604313</v>
      </c>
      <c r="D38" s="403">
        <f>SUM(B38/C38)*100</f>
        <v>40.495571003767914</v>
      </c>
      <c r="F38" s="393">
        <f>SUM(SUMIFS(F$6:F$35,$A$6:$A$35,{"Perth and Kinross","Stirling","Moray","South Ayrshire","East Ayrshire","East Lothian","North Ayrshire","Fife"}))</f>
        <v>273628</v>
      </c>
      <c r="G38" s="393">
        <f>SUM(SUMIFS(G$6:G$35,$A$6:$A$35,{"Perth and Kinross","Stirling","Moray","South Ayrshire","East Ayrshire","East Lothian","North Ayrshire","Fife"}))</f>
        <v>608564</v>
      </c>
      <c r="H38" s="403">
        <f>SUM(F38/G38)*100</f>
        <v>44.962896260705534</v>
      </c>
      <c r="J38" s="393">
        <f>SUM(SUMIFS(J$6:J$35,$A$6:$A$35,{"Perth and Kinross","Stirling","Moray","South Ayrshire","East Ayrshire","East Lothian","North Ayrshire","Fife"}))</f>
        <v>340648</v>
      </c>
      <c r="K38" s="393">
        <f>SUM(SUMIFS(K$6:K$35,$A$6:$A$35,{"Perth and Kinross","Stirling","Moray","South Ayrshire","East Ayrshire","East Lothian","North Ayrshire","Fife"}))</f>
        <v>616610</v>
      </c>
      <c r="L38" s="403">
        <f>SUM(J38/K38)*100</f>
        <v>55.245292810690714</v>
      </c>
      <c r="N38" s="393">
        <f>SUM(SUMIFS(N$6:N$35,$A$6:$A$35,{"Perth and Kinross","Stirling","Moray","South Ayrshire","East Ayrshire","East Lothian","North Ayrshire","Fife"}))</f>
        <v>398774</v>
      </c>
      <c r="O38" s="393">
        <f>SUM(SUMIFS(O$6:O$35,$A$6:$A$35,{"Perth and Kinross","Stirling","Moray","South Ayrshire","East Ayrshire","East Lothian","North Ayrshire","Fife"}))</f>
        <v>624383</v>
      </c>
      <c r="P38" s="403">
        <f>SUM(N38/O38)*100</f>
        <v>63.866889393208979</v>
      </c>
    </row>
    <row r="39" spans="1:18">
      <c r="A39" s="6" t="s">
        <v>545</v>
      </c>
      <c r="B39" s="393">
        <f>SUM(SUMIFS(B$6:B$35,$A$6:$A$35,{"Angus","Clackmannanshire","Midlothian","South Lanarkshire","Inverclyde","Renfrewshire","West Lothian","East Renfrewshire"}))</f>
        <v>317186</v>
      </c>
      <c r="C39" s="393">
        <f>SUM(SUMIFS(C$6:C$35,$A$6:$A$35,{"Angus","Clackmannanshire","Midlothian","South Lanarkshire","Inverclyde","Renfrewshire","West Lothian","East Renfrewshire"}))</f>
        <v>551667</v>
      </c>
      <c r="D39" s="403">
        <f>SUM(B39/C39)*100</f>
        <v>57.495916920896114</v>
      </c>
      <c r="F39" s="393">
        <f>SUM(SUMIFS(F$6:F$35,$A$6:$A$35,{"Angus","Clackmannanshire","Midlothian","South Lanarkshire","Inverclyde","Renfrewshire","West Lothian","East Renfrewshire"}))</f>
        <v>372589</v>
      </c>
      <c r="G39" s="393">
        <f>SUM(SUMIFS(G$6:G$35,$A$6:$A$35,{"Angus","Clackmannanshire","Midlothian","South Lanarkshire","Inverclyde","Renfrewshire","West Lothian","East Renfrewshire"}))</f>
        <v>556231</v>
      </c>
      <c r="H39" s="403">
        <f>SUM(F39/G39)*100</f>
        <v>66.984580147456711</v>
      </c>
      <c r="J39" s="393">
        <f>SUM(SUMIFS(J$6:J$35,$A$6:$A$35,{"Angus","Clackmannanshire","Midlothian","South Lanarkshire","Inverclyde","Renfrewshire","West Lothian","East Renfrewshire"}))</f>
        <v>416124</v>
      </c>
      <c r="K39" s="393">
        <f>SUM(SUMIFS(K$6:K$35,$A$6:$A$35,{"Angus","Clackmannanshire","Midlothian","South Lanarkshire","Inverclyde","Renfrewshire","West Lothian","East Renfrewshire"}))</f>
        <v>564849</v>
      </c>
      <c r="L39" s="403">
        <f>SUM(J39/K39)*100</f>
        <v>73.669954270964453</v>
      </c>
      <c r="N39" s="393">
        <f>SUM(SUMIFS(N$6:N$35,$A$6:$A$35,{"Angus","Clackmannanshire","Midlothian","South Lanarkshire","Inverclyde","Renfrewshire","West Lothian","East Renfrewshire"}))</f>
        <v>449940</v>
      </c>
      <c r="O39" s="393">
        <f>SUM(SUMIFS(O$6:O$35,$A$6:$A$35,{"Angus","Clackmannanshire","Midlothian","South Lanarkshire","Inverclyde","Renfrewshire","West Lothian","East Renfrewshire"}))</f>
        <v>570261</v>
      </c>
      <c r="P39" s="403">
        <f>SUM(N39/O39)*100</f>
        <v>78.900713883642752</v>
      </c>
    </row>
    <row r="40" spans="1:18">
      <c r="A40" s="6" t="s">
        <v>546</v>
      </c>
      <c r="B40" s="393">
        <f>SUM(SUMIFS(B$6:B$35,$A$6:$A$35,{"North Lanarkshire","Falkirk","East Dunbartonshire","Aberdeen City","Edinburgh, City of","West Dunbartonshire","Dundee City","Glasgow City"}))</f>
        <v>822604</v>
      </c>
      <c r="C40" s="393">
        <f>SUM(SUMIFS(C$6:C$35,$A$6:$A$35,{"North Lanarkshire","Falkirk","East Dunbartonshire","Aberdeen City","Edinburgh, City of","West Dunbartonshire","Dundee City","Glasgow City"}))</f>
        <v>1141286</v>
      </c>
      <c r="D40" s="403">
        <f>SUM(B40/C40)*100</f>
        <v>72.076937770199578</v>
      </c>
      <c r="F40" s="393">
        <f>SUM(SUMIFS(F$6:F$35,$A$6:$A$35,{"North Lanarkshire","Falkirk","East Dunbartonshire","Aberdeen City","Edinburgh, City of","West Dunbartonshire","Dundee City","Glasgow City"}))</f>
        <v>894740</v>
      </c>
      <c r="G40" s="393">
        <f>SUM(SUMIFS(G$6:G$35,$A$6:$A$35,{"North Lanarkshire","Falkirk","East Dunbartonshire","Aberdeen City","Edinburgh, City of","West Dunbartonshire","Dundee City","Glasgow City"}))</f>
        <v>1147323</v>
      </c>
      <c r="H40" s="403">
        <f>SUM(F40/G40)*100</f>
        <v>77.9850138104091</v>
      </c>
      <c r="J40" s="393">
        <f>SUM(SUMIFS(J$6:J$35,$A$6:$A$35,{"North Lanarkshire","Falkirk","East Dunbartonshire","Aberdeen City","Edinburgh, City of","West Dunbartonshire","Dundee City","Glasgow City"}))</f>
        <v>977767</v>
      </c>
      <c r="K40" s="393">
        <f>SUM(SUMIFS(K$6:K$35,$A$6:$A$35,{"North Lanarkshire","Falkirk","East Dunbartonshire","Aberdeen City","Edinburgh, City of","West Dunbartonshire","Dundee City","Glasgow City"}))</f>
        <v>1169253</v>
      </c>
      <c r="L40" s="403">
        <f>SUM(J40/K40)*100</f>
        <v>83.623219269054687</v>
      </c>
      <c r="N40" s="393">
        <f>SUM(SUMIFS(N$6:N$35,$A$6:$A$35,{"North Lanarkshire","Falkirk","East Dunbartonshire","Aberdeen City","Edinburgh, City of","West Dunbartonshire","Dundee City","Glasgow City"}))</f>
        <v>1043178</v>
      </c>
      <c r="O40" s="393">
        <f>SUM(SUMIFS(O$6:O$35,$A$6:$A$35,{"North Lanarkshire","Falkirk","East Dunbartonshire","Aberdeen City","Edinburgh, City of","West Dunbartonshire","Dundee City","Glasgow City"}))</f>
        <v>1176927</v>
      </c>
      <c r="P40" s="403">
        <f>SUM(N40/O40)*100</f>
        <v>88.63574376320706</v>
      </c>
    </row>
  </sheetData>
  <autoFilter ref="A1" xr:uid="{00000000-0009-0000-0000-00004E000000}"/>
  <sortState xmlns:xlrd2="http://schemas.microsoft.com/office/spreadsheetml/2017/richdata2" ref="A6:P35">
    <sortCondition ref="A6"/>
  </sortState>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autoPageBreaks="0"/>
  </sheetPr>
  <dimension ref="A1:Q41"/>
  <sheetViews>
    <sheetView zoomScale="70" zoomScaleNormal="70" workbookViewId="0">
      <selection activeCell="G2" sqref="G2:H2"/>
    </sheetView>
  </sheetViews>
  <sheetFormatPr defaultColWidth="9.1796875" defaultRowHeight="13"/>
  <cols>
    <col min="1" max="1" width="31.81640625" style="58" bestFit="1" customWidth="1"/>
    <col min="2" max="17" width="16.1796875" style="58" customWidth="1"/>
    <col min="18" max="16384" width="9.1796875" style="58"/>
  </cols>
  <sheetData>
    <row r="1" spans="1:17" s="62" customFormat="1" ht="30" customHeight="1">
      <c r="A1" s="62" t="s">
        <v>198</v>
      </c>
      <c r="D1" s="62" t="s">
        <v>204</v>
      </c>
      <c r="H1" s="62" t="s">
        <v>590</v>
      </c>
      <c r="L1" s="62" t="s">
        <v>623</v>
      </c>
      <c r="P1" s="62" t="s">
        <v>747</v>
      </c>
    </row>
    <row r="2" spans="1:17" s="62" customFormat="1" ht="12.75" customHeight="1">
      <c r="J2" t="s">
        <v>625</v>
      </c>
      <c r="K2" t="s">
        <v>621</v>
      </c>
      <c r="L2" t="s">
        <v>624</v>
      </c>
      <c r="N2" t="s">
        <v>625</v>
      </c>
      <c r="O2" t="s">
        <v>621</v>
      </c>
      <c r="P2" t="s">
        <v>624</v>
      </c>
    </row>
    <row r="3" spans="1:17" s="62" customFormat="1" ht="12.75" customHeight="1">
      <c r="A3" s="63" t="s">
        <v>47</v>
      </c>
      <c r="B3" s="393" cm="1">
        <f t="array" ref="B3">SUM(SUMIFS(B$6:B$35,$A$6:$A$35,{"Glasgow City","Inverclyde","North Lanarkshire","South Lanarkshire","East Dunbartonshire","West Dunbartonshire","Renfrewshire","East Renfrewshire"}))</f>
        <v>109539</v>
      </c>
      <c r="C3" s="393" cm="1">
        <f t="array" ref="C3">SUM(SUMIFS(C$6:C$35,$A$6:$A$35,{"Glasgow City","Inverclyde","North Lanarkshire","South Lanarkshire","East Dunbartonshire","West Dunbartonshire","Renfrewshire","East Renfrewshire"}))</f>
        <v>935064</v>
      </c>
      <c r="D3" s="402">
        <f>(B3/C3)*100</f>
        <v>11.714599214599215</v>
      </c>
      <c r="E3" s="59"/>
      <c r="F3" s="393" cm="1">
        <f t="array" ref="F3">SUM(SUMIFS(F$6:F$35,$A$6:$A$35,{"Glasgow City","Inverclyde","North Lanarkshire","South Lanarkshire","East Dunbartonshire","West Dunbartonshire","Renfrewshire","East Renfrewshire"}))</f>
        <v>199287</v>
      </c>
      <c r="G3" s="393" cm="1">
        <f t="array" ref="G3">SUM(SUMIFS(G$6:G$35,$A$6:$A$35,{"Glasgow City","Inverclyde","North Lanarkshire","South Lanarkshire","East Dunbartonshire","West Dunbartonshire","Renfrewshire","East Renfrewshire"}))</f>
        <v>939110</v>
      </c>
      <c r="H3" s="402">
        <f>(F3/G3)*100</f>
        <v>21.220836749688534</v>
      </c>
      <c r="I3" s="59"/>
      <c r="J3" s="393" cm="1">
        <f t="array" ref="J3">SUM(SUMIFS(J$6:J$35,$A$6:$A$35,{"Glasgow City","Inverclyde","North Lanarkshire","South Lanarkshire","East Dunbartonshire","West Dunbartonshire","Renfrewshire","East Renfrewshire"}))</f>
        <v>335553</v>
      </c>
      <c r="K3" s="393" cm="1">
        <f t="array" ref="K3">SUM(SUMIFS(K$6:K$35,$A$6:$A$35,{"Glasgow City","Inverclyde","North Lanarkshire","South Lanarkshire","East Dunbartonshire","West Dunbartonshire","Renfrewshire","East Renfrewshire"}))</f>
        <v>948664</v>
      </c>
      <c r="L3" s="402">
        <f>(J3/K3)*100</f>
        <v>35.371111373468374</v>
      </c>
      <c r="M3" s="59"/>
      <c r="N3" s="393" cm="1">
        <f t="array" ref="N3">SUM(SUMIFS(N$6:N$35,$A$6:$A$35,{"Glasgow City","Inverclyde","North Lanarkshire","South Lanarkshire","East Dunbartonshire","West Dunbartonshire","Renfrewshire","East Renfrewshire"}))</f>
        <v>504233</v>
      </c>
      <c r="O3" s="393" cm="1">
        <f t="array" ref="O3">SUM(SUMIFS(O$6:O$35,$A$6:$A$35,{"Glasgow City","Inverclyde","North Lanarkshire","South Lanarkshire","East Dunbartonshire","West Dunbartonshire","Renfrewshire","East Renfrewshire"}))</f>
        <v>955168</v>
      </c>
      <c r="P3" s="402">
        <f>(N3/O3)*100</f>
        <v>52.789980401353475</v>
      </c>
      <c r="Q3" s="59"/>
    </row>
    <row r="4" spans="1:17">
      <c r="A4" s="61" t="s">
        <v>46</v>
      </c>
      <c r="B4" s="63">
        <v>5407452</v>
      </c>
      <c r="C4" s="63">
        <v>31105680</v>
      </c>
      <c r="D4" s="63">
        <v>17.384130486779263</v>
      </c>
      <c r="E4" s="59"/>
      <c r="F4" s="59">
        <v>8504080</v>
      </c>
      <c r="G4" s="59">
        <v>31315493</v>
      </c>
      <c r="H4" s="59">
        <v>27.15614280765115</v>
      </c>
      <c r="I4" s="59"/>
      <c r="J4" s="64">
        <v>13051506</v>
      </c>
      <c r="K4" s="64">
        <v>31700682</v>
      </c>
      <c r="L4" s="64">
        <v>41.171057455483137</v>
      </c>
      <c r="M4" s="59"/>
      <c r="N4" s="64">
        <v>17821065</v>
      </c>
      <c r="O4" s="64">
        <v>31941263</v>
      </c>
      <c r="P4" s="463">
        <v>55.79323835754397</v>
      </c>
      <c r="Q4" s="59"/>
    </row>
    <row r="5" spans="1:17">
      <c r="A5" s="61" t="s">
        <v>45</v>
      </c>
      <c r="B5" s="216">
        <v>450757</v>
      </c>
      <c r="C5" s="216">
        <v>2756024</v>
      </c>
      <c r="D5" s="63">
        <v>9.0203717889563499</v>
      </c>
      <c r="F5" s="216">
        <v>740632</v>
      </c>
      <c r="G5" s="216">
        <v>2775194</v>
      </c>
      <c r="H5" s="63">
        <v>26.687575715427464</v>
      </c>
      <c r="J5" s="64">
        <v>1120432</v>
      </c>
      <c r="K5" s="64">
        <v>2820772</v>
      </c>
      <c r="L5" s="64">
        <v>39.720757296229543</v>
      </c>
      <c r="N5" s="402">
        <v>1483830</v>
      </c>
      <c r="O5" s="402">
        <v>2845385</v>
      </c>
      <c r="P5" s="463">
        <v>52.148654751465969</v>
      </c>
    </row>
    <row r="6" spans="1:17">
      <c r="A6" s="58" t="s">
        <v>14</v>
      </c>
      <c r="B6" s="63">
        <v>44051</v>
      </c>
      <c r="C6" s="63">
        <v>126176</v>
      </c>
      <c r="D6" s="63">
        <v>34.912344661425308</v>
      </c>
      <c r="E6" s="59"/>
      <c r="F6" s="59">
        <v>74618</v>
      </c>
      <c r="G6" s="59">
        <v>127714</v>
      </c>
      <c r="H6" s="59">
        <v>58.4</v>
      </c>
      <c r="I6" s="59"/>
      <c r="J6" s="64">
        <v>95719</v>
      </c>
      <c r="K6" s="64">
        <v>128708</v>
      </c>
      <c r="L6" s="64">
        <v>74.400000000000006</v>
      </c>
      <c r="M6" s="59"/>
      <c r="N6" s="462">
        <v>111681</v>
      </c>
      <c r="O6" s="462">
        <v>129999</v>
      </c>
      <c r="P6" s="463">
        <v>85.909122377864449</v>
      </c>
      <c r="Q6" s="59"/>
    </row>
    <row r="7" spans="1:17">
      <c r="A7" s="58" t="s">
        <v>15</v>
      </c>
      <c r="B7" s="63">
        <v>8732</v>
      </c>
      <c r="C7" s="63">
        <v>126065</v>
      </c>
      <c r="D7" s="63">
        <v>6.92658549161147</v>
      </c>
      <c r="E7" s="59"/>
      <c r="F7" s="59">
        <v>17269</v>
      </c>
      <c r="G7" s="59">
        <v>126481</v>
      </c>
      <c r="H7" s="59">
        <v>13.7</v>
      </c>
      <c r="I7" s="59"/>
      <c r="J7" s="64">
        <v>26171</v>
      </c>
      <c r="K7" s="64">
        <v>127941</v>
      </c>
      <c r="L7" s="64">
        <v>20.5</v>
      </c>
      <c r="M7" s="59"/>
      <c r="N7" s="462">
        <v>37752</v>
      </c>
      <c r="O7" s="462">
        <v>128976</v>
      </c>
      <c r="P7" s="463">
        <v>29.270561965016746</v>
      </c>
      <c r="Q7" s="59"/>
    </row>
    <row r="8" spans="1:17">
      <c r="A8" s="58" t="s">
        <v>16</v>
      </c>
      <c r="B8" s="63">
        <v>1164</v>
      </c>
      <c r="C8" s="63">
        <v>60856</v>
      </c>
      <c r="D8" s="63">
        <v>1.9127119758117521</v>
      </c>
      <c r="E8" s="59"/>
      <c r="F8" s="59">
        <v>6934</v>
      </c>
      <c r="G8" s="59">
        <v>61105</v>
      </c>
      <c r="H8" s="59">
        <v>11.3</v>
      </c>
      <c r="I8" s="59"/>
      <c r="J8" s="64">
        <v>12094</v>
      </c>
      <c r="K8" s="64">
        <v>61825</v>
      </c>
      <c r="L8" s="64">
        <v>19.600000000000001</v>
      </c>
      <c r="M8" s="59"/>
      <c r="N8" s="462">
        <v>17888</v>
      </c>
      <c r="O8" s="462">
        <v>61915</v>
      </c>
      <c r="P8" s="463">
        <v>28.891221836388599</v>
      </c>
      <c r="Q8" s="59"/>
    </row>
    <row r="9" spans="1:17">
      <c r="A9" s="58" t="s">
        <v>17</v>
      </c>
      <c r="B9" s="63">
        <v>884</v>
      </c>
      <c r="C9" s="63">
        <v>56475</v>
      </c>
      <c r="D9" s="63">
        <v>1.5652943780433821</v>
      </c>
      <c r="E9" s="59"/>
      <c r="F9" s="59">
        <v>1016</v>
      </c>
      <c r="G9" s="59">
        <v>56695</v>
      </c>
      <c r="H9" s="59">
        <v>1.8</v>
      </c>
      <c r="I9" s="59"/>
      <c r="J9" s="64">
        <v>2288</v>
      </c>
      <c r="K9" s="64">
        <v>57002</v>
      </c>
      <c r="L9" s="64">
        <v>4</v>
      </c>
      <c r="M9" s="59"/>
      <c r="N9" s="462">
        <v>4018</v>
      </c>
      <c r="O9" s="462">
        <v>57412</v>
      </c>
      <c r="P9" s="463">
        <v>6.9985368912422494</v>
      </c>
      <c r="Q9" s="59"/>
    </row>
    <row r="10" spans="1:17">
      <c r="A10" s="58" t="s">
        <v>189</v>
      </c>
      <c r="B10" s="63">
        <v>104191</v>
      </c>
      <c r="C10" s="63">
        <v>265092</v>
      </c>
      <c r="D10" s="63">
        <v>39.303713427791102</v>
      </c>
      <c r="E10" s="59"/>
      <c r="F10" s="59">
        <v>143123</v>
      </c>
      <c r="G10" s="59">
        <v>266242</v>
      </c>
      <c r="H10" s="59">
        <v>53.8</v>
      </c>
      <c r="I10" s="59"/>
      <c r="J10" s="64">
        <v>186801</v>
      </c>
      <c r="K10" s="64">
        <v>280952</v>
      </c>
      <c r="L10" s="64">
        <v>66.5</v>
      </c>
      <c r="M10" s="59"/>
      <c r="N10" s="462">
        <v>210762</v>
      </c>
      <c r="O10" s="462">
        <v>283255</v>
      </c>
      <c r="P10" s="463">
        <v>74.407159626484969</v>
      </c>
      <c r="Q10" s="59"/>
    </row>
    <row r="11" spans="1:17">
      <c r="A11" s="58" t="s">
        <v>18</v>
      </c>
      <c r="B11" s="63">
        <v>693</v>
      </c>
      <c r="C11" s="63">
        <v>25820</v>
      </c>
      <c r="D11" s="63">
        <v>2.6839659178931061</v>
      </c>
      <c r="E11" s="59"/>
      <c r="F11" s="59">
        <v>5474</v>
      </c>
      <c r="G11" s="59">
        <v>25947</v>
      </c>
      <c r="H11" s="59">
        <v>21.1</v>
      </c>
      <c r="I11" s="59"/>
      <c r="J11" s="64">
        <v>15110</v>
      </c>
      <c r="K11" s="64">
        <v>26637</v>
      </c>
      <c r="L11" s="64">
        <v>56.7</v>
      </c>
      <c r="M11" s="59"/>
      <c r="N11" s="462">
        <v>17156</v>
      </c>
      <c r="O11" s="462">
        <v>26701</v>
      </c>
      <c r="P11" s="463">
        <v>64.252275195685556</v>
      </c>
      <c r="Q11" s="59"/>
    </row>
    <row r="12" spans="1:17">
      <c r="A12" s="58" t="s">
        <v>19</v>
      </c>
      <c r="B12" s="63">
        <v>5242</v>
      </c>
      <c r="C12" s="63">
        <v>82541</v>
      </c>
      <c r="D12" s="63">
        <v>6.3507832471135561</v>
      </c>
      <c r="E12" s="59"/>
      <c r="F12" s="59">
        <v>6615</v>
      </c>
      <c r="G12" s="59">
        <v>82696</v>
      </c>
      <c r="H12" s="59">
        <v>8</v>
      </c>
      <c r="I12" s="59"/>
      <c r="J12" s="64">
        <v>15617</v>
      </c>
      <c r="K12" s="64">
        <v>82995</v>
      </c>
      <c r="L12" s="64">
        <v>18.8</v>
      </c>
      <c r="M12" s="59"/>
      <c r="N12" s="462">
        <v>21319</v>
      </c>
      <c r="O12" s="462">
        <v>83221</v>
      </c>
      <c r="P12" s="463">
        <v>25.617332163756746</v>
      </c>
      <c r="Q12" s="59"/>
    </row>
    <row r="13" spans="1:17">
      <c r="A13" s="58" t="s">
        <v>20</v>
      </c>
      <c r="B13" s="63">
        <v>741</v>
      </c>
      <c r="C13" s="63">
        <v>79398</v>
      </c>
      <c r="D13" s="63">
        <v>0.93327287841003559</v>
      </c>
      <c r="E13" s="59"/>
      <c r="F13" s="59">
        <v>18623</v>
      </c>
      <c r="G13" s="59">
        <v>79844</v>
      </c>
      <c r="H13" s="59">
        <v>23.3</v>
      </c>
      <c r="I13" s="59"/>
      <c r="J13" s="64">
        <v>45888</v>
      </c>
      <c r="K13" s="64">
        <v>80347</v>
      </c>
      <c r="L13" s="64">
        <v>57.1</v>
      </c>
      <c r="M13" s="59"/>
      <c r="N13" s="462">
        <v>60028</v>
      </c>
      <c r="O13" s="462">
        <v>80812</v>
      </c>
      <c r="P13" s="463">
        <v>74.281047369202597</v>
      </c>
      <c r="Q13" s="59"/>
    </row>
    <row r="14" spans="1:17">
      <c r="A14" s="58" t="s">
        <v>21</v>
      </c>
      <c r="B14" s="63">
        <v>21117</v>
      </c>
      <c r="C14" s="63">
        <v>60338</v>
      </c>
      <c r="D14" s="63">
        <v>34.99784547051609</v>
      </c>
      <c r="E14" s="59"/>
      <c r="F14" s="59">
        <v>23959</v>
      </c>
      <c r="G14" s="59">
        <v>60659</v>
      </c>
      <c r="H14" s="59">
        <v>39.5</v>
      </c>
      <c r="I14" s="59"/>
      <c r="J14" s="64">
        <v>33125</v>
      </c>
      <c r="K14" s="64">
        <v>62290</v>
      </c>
      <c r="L14" s="64">
        <v>53.2</v>
      </c>
      <c r="M14" s="59"/>
      <c r="N14" s="462">
        <v>38031</v>
      </c>
      <c r="O14" s="462">
        <v>62533</v>
      </c>
      <c r="P14" s="463">
        <v>60.817488366142683</v>
      </c>
      <c r="Q14" s="59"/>
    </row>
    <row r="15" spans="1:17">
      <c r="A15" s="58" t="s">
        <v>22</v>
      </c>
      <c r="B15" s="63">
        <v>8864</v>
      </c>
      <c r="C15" s="63">
        <v>49419</v>
      </c>
      <c r="D15" s="63">
        <v>17.936421214512638</v>
      </c>
      <c r="E15" s="59"/>
      <c r="F15" s="59">
        <v>11444</v>
      </c>
      <c r="G15" s="59">
        <v>50461</v>
      </c>
      <c r="H15" s="59">
        <v>22.7</v>
      </c>
      <c r="I15" s="59"/>
      <c r="J15" s="64">
        <v>14356</v>
      </c>
      <c r="K15" s="64">
        <v>50505</v>
      </c>
      <c r="L15" s="64">
        <v>28.4</v>
      </c>
      <c r="M15" s="59"/>
      <c r="N15" s="462">
        <v>24887</v>
      </c>
      <c r="O15" s="462">
        <v>50539</v>
      </c>
      <c r="P15" s="463">
        <v>49.243158748689133</v>
      </c>
      <c r="Q15" s="59"/>
    </row>
    <row r="16" spans="1:17">
      <c r="A16" s="58" t="s">
        <v>23</v>
      </c>
      <c r="B16" s="63">
        <v>11925</v>
      </c>
      <c r="C16" s="63">
        <v>48818</v>
      </c>
      <c r="D16" s="63">
        <v>24.427465279200295</v>
      </c>
      <c r="E16" s="59"/>
      <c r="F16" s="59">
        <v>16478</v>
      </c>
      <c r="G16" s="59">
        <v>49334</v>
      </c>
      <c r="H16" s="59">
        <v>33.4</v>
      </c>
      <c r="I16" s="59"/>
      <c r="J16" s="64">
        <v>28743</v>
      </c>
      <c r="K16" s="64">
        <v>50664</v>
      </c>
      <c r="L16" s="64">
        <v>56.7</v>
      </c>
      <c r="M16" s="59"/>
      <c r="N16" s="462">
        <v>41700</v>
      </c>
      <c r="O16" s="462">
        <v>53696</v>
      </c>
      <c r="P16" s="463">
        <v>77.659415971394523</v>
      </c>
      <c r="Q16" s="59"/>
    </row>
    <row r="17" spans="1:17">
      <c r="A17" s="58" t="s">
        <v>24</v>
      </c>
      <c r="B17" s="63">
        <v>2892</v>
      </c>
      <c r="C17" s="63">
        <v>41004</v>
      </c>
      <c r="D17" s="63">
        <v>7.0529704419081058</v>
      </c>
      <c r="E17" s="59"/>
      <c r="F17" s="59">
        <v>3759</v>
      </c>
      <c r="G17" s="59">
        <v>41194</v>
      </c>
      <c r="H17" s="59">
        <v>9.1</v>
      </c>
      <c r="I17" s="59"/>
      <c r="J17" s="64">
        <v>10580</v>
      </c>
      <c r="K17" s="64">
        <v>41961</v>
      </c>
      <c r="L17" s="64">
        <v>25.2</v>
      </c>
      <c r="M17" s="59"/>
      <c r="N17" s="462">
        <v>22630</v>
      </c>
      <c r="O17" s="462">
        <v>42314</v>
      </c>
      <c r="P17" s="463">
        <v>53.481117360684408</v>
      </c>
      <c r="Q17" s="59"/>
    </row>
    <row r="18" spans="1:17">
      <c r="A18" s="58" t="s">
        <v>25</v>
      </c>
      <c r="B18" s="63">
        <v>6053</v>
      </c>
      <c r="C18" s="63">
        <v>73926</v>
      </c>
      <c r="D18" s="63">
        <v>8.1879176473771054</v>
      </c>
      <c r="E18" s="59"/>
      <c r="F18" s="59">
        <v>7892</v>
      </c>
      <c r="G18" s="59">
        <v>73917</v>
      </c>
      <c r="H18" s="59">
        <v>10.7</v>
      </c>
      <c r="I18" s="59"/>
      <c r="J18" s="64">
        <v>10485</v>
      </c>
      <c r="K18" s="64">
        <v>75251</v>
      </c>
      <c r="L18" s="64">
        <v>13.9</v>
      </c>
      <c r="M18" s="59"/>
      <c r="N18" s="462">
        <v>20454</v>
      </c>
      <c r="O18" s="462">
        <v>75290</v>
      </c>
      <c r="P18" s="463">
        <v>27.166954442821091</v>
      </c>
      <c r="Q18" s="59"/>
    </row>
    <row r="19" spans="1:17">
      <c r="A19" s="58" t="s">
        <v>26</v>
      </c>
      <c r="B19" s="63">
        <v>43695</v>
      </c>
      <c r="C19" s="63">
        <v>190085</v>
      </c>
      <c r="D19" s="63">
        <v>22.987084725254491</v>
      </c>
      <c r="E19" s="59"/>
      <c r="F19" s="59">
        <v>52285</v>
      </c>
      <c r="G19" s="59">
        <v>191939</v>
      </c>
      <c r="H19" s="59">
        <v>27.2</v>
      </c>
      <c r="I19" s="59"/>
      <c r="J19" s="64">
        <v>75506</v>
      </c>
      <c r="K19" s="64">
        <v>193652</v>
      </c>
      <c r="L19" s="64">
        <v>39</v>
      </c>
      <c r="M19" s="59"/>
      <c r="N19" s="462">
        <v>103954</v>
      </c>
      <c r="O19" s="462">
        <v>195645</v>
      </c>
      <c r="P19" s="463">
        <v>53.133992690843115</v>
      </c>
      <c r="Q19" s="59"/>
    </row>
    <row r="20" spans="1:17">
      <c r="A20" s="58" t="s">
        <v>27</v>
      </c>
      <c r="B20" s="63">
        <v>49200</v>
      </c>
      <c r="C20" s="63">
        <v>335271</v>
      </c>
      <c r="D20" s="63">
        <v>14.674695992197357</v>
      </c>
      <c r="E20" s="59"/>
      <c r="F20" s="59">
        <v>87370</v>
      </c>
      <c r="G20" s="59">
        <v>336398</v>
      </c>
      <c r="H20" s="59">
        <v>26</v>
      </c>
      <c r="I20" s="59"/>
      <c r="J20" s="64">
        <v>142080</v>
      </c>
      <c r="K20" s="64">
        <v>339265</v>
      </c>
      <c r="L20" s="64">
        <v>41.9</v>
      </c>
      <c r="M20" s="59"/>
      <c r="N20" s="462">
        <v>242800</v>
      </c>
      <c r="O20" s="462">
        <v>341169</v>
      </c>
      <c r="P20" s="463">
        <v>71.167075554930264</v>
      </c>
      <c r="Q20" s="59"/>
    </row>
    <row r="21" spans="1:17">
      <c r="A21" s="58" t="s">
        <v>28</v>
      </c>
      <c r="B21" s="63">
        <v>9531</v>
      </c>
      <c r="C21" s="63">
        <v>115308</v>
      </c>
      <c r="D21" s="63">
        <v>8.2656884171089597</v>
      </c>
      <c r="E21" s="59"/>
      <c r="F21" s="59">
        <v>25994</v>
      </c>
      <c r="G21" s="59">
        <v>115695</v>
      </c>
      <c r="H21" s="59">
        <v>22.5</v>
      </c>
      <c r="I21" s="59"/>
      <c r="J21" s="64">
        <v>36976</v>
      </c>
      <c r="K21" s="64">
        <v>119740</v>
      </c>
      <c r="L21" s="64">
        <v>30.9</v>
      </c>
      <c r="M21" s="59"/>
      <c r="N21" s="462">
        <v>44338</v>
      </c>
      <c r="O21" s="462">
        <v>121345</v>
      </c>
      <c r="P21" s="463">
        <v>36.538794346697436</v>
      </c>
      <c r="Q21" s="59"/>
    </row>
    <row r="22" spans="1:17">
      <c r="A22" s="58" t="s">
        <v>29</v>
      </c>
      <c r="B22" s="63">
        <v>4098</v>
      </c>
      <c r="C22" s="63">
        <v>42012</v>
      </c>
      <c r="D22" s="63">
        <v>9.7543558983147669</v>
      </c>
      <c r="E22" s="59"/>
      <c r="F22" s="59">
        <v>4314</v>
      </c>
      <c r="G22" s="59">
        <v>41970</v>
      </c>
      <c r="H22" s="59">
        <v>10.3</v>
      </c>
      <c r="I22" s="59"/>
      <c r="J22" s="64">
        <v>5222</v>
      </c>
      <c r="K22" s="64">
        <v>41988</v>
      </c>
      <c r="L22" s="64">
        <v>12.4</v>
      </c>
      <c r="M22" s="59"/>
      <c r="N22" s="462">
        <v>10925</v>
      </c>
      <c r="O22" s="462">
        <v>42309</v>
      </c>
      <c r="P22" s="463">
        <v>25.821929140372024</v>
      </c>
      <c r="Q22" s="59"/>
    </row>
    <row r="23" spans="1:17">
      <c r="A23" s="58" t="s">
        <v>30</v>
      </c>
      <c r="B23" s="63">
        <v>15518</v>
      </c>
      <c r="C23" s="63">
        <v>40548</v>
      </c>
      <c r="D23" s="63">
        <v>38.270691526092534</v>
      </c>
      <c r="E23" s="59"/>
      <c r="F23" s="59">
        <v>25039</v>
      </c>
      <c r="G23" s="59">
        <v>42787</v>
      </c>
      <c r="H23" s="59">
        <v>58.5</v>
      </c>
      <c r="I23" s="59"/>
      <c r="J23" s="64">
        <v>31440</v>
      </c>
      <c r="K23" s="64">
        <v>43714</v>
      </c>
      <c r="L23" s="64">
        <v>71.900000000000006</v>
      </c>
      <c r="M23" s="59"/>
      <c r="N23" s="462">
        <v>37618</v>
      </c>
      <c r="O23" s="462">
        <v>44661</v>
      </c>
      <c r="P23" s="463">
        <v>84.230088891874345</v>
      </c>
      <c r="Q23" s="59"/>
    </row>
    <row r="24" spans="1:17">
      <c r="A24" s="58" t="s">
        <v>31</v>
      </c>
      <c r="B24" s="63">
        <v>4697</v>
      </c>
      <c r="C24" s="63">
        <v>49316</v>
      </c>
      <c r="D24" s="63">
        <v>9.5242923189228659</v>
      </c>
      <c r="E24" s="59"/>
      <c r="F24" s="59">
        <v>10991</v>
      </c>
      <c r="G24" s="59">
        <v>49558</v>
      </c>
      <c r="H24" s="59">
        <v>22.2</v>
      </c>
      <c r="I24" s="59"/>
      <c r="J24" s="64">
        <v>21409</v>
      </c>
      <c r="K24" s="64">
        <v>50245</v>
      </c>
      <c r="L24" s="64">
        <v>42.6</v>
      </c>
      <c r="M24" s="59"/>
      <c r="N24" s="462">
        <v>24509</v>
      </c>
      <c r="O24" s="462">
        <v>50782</v>
      </c>
      <c r="P24" s="463">
        <v>48.263164113268481</v>
      </c>
      <c r="Q24" s="59"/>
    </row>
    <row r="25" spans="1:17" ht="14.5">
      <c r="A25" s="60" t="s">
        <v>32</v>
      </c>
      <c r="B25" s="63">
        <v>620</v>
      </c>
      <c r="C25" s="63">
        <v>16592</v>
      </c>
      <c r="D25" s="63">
        <v>3.7367405978784953</v>
      </c>
      <c r="E25" s="59"/>
      <c r="F25" s="59">
        <v>750</v>
      </c>
      <c r="G25" s="59">
        <v>16684</v>
      </c>
      <c r="H25" s="59">
        <v>4.5</v>
      </c>
      <c r="I25" s="59"/>
      <c r="J25" s="64">
        <v>877</v>
      </c>
      <c r="K25" s="64">
        <v>16943</v>
      </c>
      <c r="L25" s="64">
        <v>5.2</v>
      </c>
      <c r="M25" s="59"/>
      <c r="N25" s="462">
        <v>969</v>
      </c>
      <c r="O25" s="462">
        <v>17164</v>
      </c>
      <c r="P25" s="463">
        <v>5.6455371708226521</v>
      </c>
      <c r="Q25" s="59"/>
    </row>
    <row r="26" spans="1:17">
      <c r="A26" s="58" t="s">
        <v>33</v>
      </c>
      <c r="B26" s="63">
        <v>6774</v>
      </c>
      <c r="C26" s="63">
        <v>71985</v>
      </c>
      <c r="D26" s="63">
        <v>9.4102938112106678</v>
      </c>
      <c r="E26" s="59"/>
      <c r="F26" s="59">
        <v>10928</v>
      </c>
      <c r="G26" s="59">
        <v>72396</v>
      </c>
      <c r="H26" s="59">
        <v>15.1</v>
      </c>
      <c r="I26" s="59"/>
      <c r="J26" s="64">
        <v>26525</v>
      </c>
      <c r="K26" s="64">
        <v>72907</v>
      </c>
      <c r="L26" s="64">
        <v>36.4</v>
      </c>
      <c r="M26" s="59"/>
      <c r="N26" s="462">
        <v>39085</v>
      </c>
      <c r="O26" s="462">
        <v>73434</v>
      </c>
      <c r="P26" s="463">
        <v>53.224664324427373</v>
      </c>
      <c r="Q26" s="59"/>
    </row>
    <row r="27" spans="1:17">
      <c r="A27" s="58" t="s">
        <v>34</v>
      </c>
      <c r="B27" s="63">
        <v>16060</v>
      </c>
      <c r="C27" s="63">
        <v>164951</v>
      </c>
      <c r="D27" s="63">
        <v>9.7362246970312398</v>
      </c>
      <c r="E27" s="59"/>
      <c r="F27" s="59">
        <v>23898</v>
      </c>
      <c r="G27" s="59">
        <v>165620</v>
      </c>
      <c r="H27" s="59">
        <v>14.4</v>
      </c>
      <c r="I27" s="59"/>
      <c r="J27" s="64">
        <v>44639</v>
      </c>
      <c r="K27" s="64">
        <v>166637</v>
      </c>
      <c r="L27" s="64">
        <v>26.8</v>
      </c>
      <c r="M27" s="59"/>
      <c r="N27" s="462">
        <v>53332</v>
      </c>
      <c r="O27" s="462">
        <v>167567</v>
      </c>
      <c r="P27" s="463">
        <v>31.827269092363053</v>
      </c>
      <c r="Q27" s="59"/>
    </row>
    <row r="28" spans="1:17">
      <c r="A28" s="58" t="s">
        <v>36</v>
      </c>
      <c r="B28" s="63">
        <v>3615</v>
      </c>
      <c r="C28" s="63">
        <v>78555</v>
      </c>
      <c r="D28" s="63">
        <v>4.6018713003628031</v>
      </c>
      <c r="E28" s="59"/>
      <c r="F28" s="59">
        <v>5544</v>
      </c>
      <c r="G28" s="59">
        <v>79353</v>
      </c>
      <c r="H28" s="59">
        <v>7</v>
      </c>
      <c r="I28" s="59"/>
      <c r="J28" s="64">
        <v>8568</v>
      </c>
      <c r="K28" s="64">
        <v>80101</v>
      </c>
      <c r="L28" s="64">
        <v>10.7</v>
      </c>
      <c r="M28" s="59"/>
      <c r="N28" s="462">
        <v>11024</v>
      </c>
      <c r="O28" s="462">
        <v>80949</v>
      </c>
      <c r="P28" s="463">
        <v>13.618451123546924</v>
      </c>
      <c r="Q28" s="59"/>
    </row>
    <row r="29" spans="1:17">
      <c r="A29" s="58" t="s">
        <v>37</v>
      </c>
      <c r="B29" s="63">
        <v>10671</v>
      </c>
      <c r="C29" s="63">
        <v>94677</v>
      </c>
      <c r="D29" s="63">
        <v>11.270952818530372</v>
      </c>
      <c r="E29" s="59"/>
      <c r="F29" s="59">
        <v>35526</v>
      </c>
      <c r="G29" s="59">
        <v>95282</v>
      </c>
      <c r="H29" s="59">
        <v>37.299999999999997</v>
      </c>
      <c r="I29" s="59"/>
      <c r="J29" s="64">
        <v>71129</v>
      </c>
      <c r="K29" s="64">
        <v>96776</v>
      </c>
      <c r="L29" s="64">
        <v>73.5</v>
      </c>
      <c r="M29" s="59"/>
      <c r="N29" s="462">
        <v>78610</v>
      </c>
      <c r="O29" s="462">
        <v>97532</v>
      </c>
      <c r="P29" s="463">
        <v>80.599187958823777</v>
      </c>
      <c r="Q29" s="59"/>
    </row>
    <row r="30" spans="1:17">
      <c r="A30" s="58" t="s">
        <v>38</v>
      </c>
      <c r="B30" s="63">
        <v>5649</v>
      </c>
      <c r="C30" s="63">
        <v>61777</v>
      </c>
      <c r="D30" s="63">
        <v>9.1441798727681824</v>
      </c>
      <c r="E30" s="59"/>
      <c r="F30" s="59">
        <v>11454</v>
      </c>
      <c r="G30" s="59">
        <v>64825</v>
      </c>
      <c r="H30" s="59">
        <v>17.7</v>
      </c>
      <c r="I30" s="59"/>
      <c r="J30" s="64">
        <v>16871</v>
      </c>
      <c r="K30" s="64">
        <v>65439</v>
      </c>
      <c r="L30" s="64">
        <v>25.8</v>
      </c>
      <c r="M30" s="59"/>
      <c r="N30" s="462">
        <v>24949</v>
      </c>
      <c r="O30" s="462">
        <v>65696</v>
      </c>
      <c r="P30" s="463">
        <v>37.976436921578177</v>
      </c>
      <c r="Q30" s="59"/>
    </row>
    <row r="31" spans="1:17">
      <c r="A31" s="58" t="s">
        <v>40</v>
      </c>
      <c r="B31" s="63">
        <v>599</v>
      </c>
      <c r="C31" s="63">
        <v>58823</v>
      </c>
      <c r="D31" s="63">
        <v>1.0183091647824831</v>
      </c>
      <c r="E31" s="59"/>
      <c r="F31" s="59">
        <v>15173</v>
      </c>
      <c r="G31" s="59">
        <v>58838</v>
      </c>
      <c r="H31" s="59">
        <v>25.8</v>
      </c>
      <c r="I31" s="59"/>
      <c r="J31" s="64">
        <v>27990</v>
      </c>
      <c r="K31" s="64">
        <v>59802</v>
      </c>
      <c r="L31" s="64">
        <v>46.8</v>
      </c>
      <c r="M31" s="59"/>
      <c r="N31" s="462">
        <v>33527</v>
      </c>
      <c r="O31" s="462">
        <v>60128</v>
      </c>
      <c r="P31" s="463">
        <v>55.759379989356042</v>
      </c>
      <c r="Q31" s="59"/>
    </row>
    <row r="32" spans="1:17">
      <c r="A32" s="58" t="s">
        <v>41</v>
      </c>
      <c r="B32" s="63">
        <v>17454</v>
      </c>
      <c r="C32" s="63">
        <v>160677</v>
      </c>
      <c r="D32" s="63">
        <v>10.862786833211972</v>
      </c>
      <c r="E32" s="59"/>
      <c r="F32" s="59">
        <v>32364</v>
      </c>
      <c r="G32" s="59">
        <v>161058</v>
      </c>
      <c r="H32" s="59">
        <v>20.100000000000001</v>
      </c>
      <c r="I32" s="59"/>
      <c r="J32" s="64">
        <v>45220</v>
      </c>
      <c r="K32" s="64">
        <v>163944</v>
      </c>
      <c r="L32" s="64">
        <v>27.6</v>
      </c>
      <c r="M32" s="59"/>
      <c r="N32" s="462">
        <v>66889</v>
      </c>
      <c r="O32" s="462">
        <v>165442</v>
      </c>
      <c r="P32" s="463">
        <v>40.43048319048367</v>
      </c>
      <c r="Q32" s="59"/>
    </row>
    <row r="33" spans="1:17">
      <c r="A33" s="58" t="s">
        <v>42</v>
      </c>
      <c r="B33" s="63">
        <v>22638</v>
      </c>
      <c r="C33" s="63">
        <v>46393</v>
      </c>
      <c r="D33" s="63">
        <v>48.796154592287628</v>
      </c>
      <c r="E33" s="59"/>
      <c r="F33" s="59">
        <v>22941</v>
      </c>
      <c r="G33" s="59">
        <v>46487</v>
      </c>
      <c r="H33" s="59">
        <v>49.3</v>
      </c>
      <c r="I33" s="59"/>
      <c r="J33" s="64">
        <v>22717</v>
      </c>
      <c r="K33" s="64">
        <v>46949</v>
      </c>
      <c r="L33" s="64">
        <v>48.4</v>
      </c>
      <c r="M33" s="59"/>
      <c r="N33" s="462">
        <v>24383</v>
      </c>
      <c r="O33" s="462">
        <v>47216</v>
      </c>
      <c r="P33" s="463">
        <v>51.641392748220937</v>
      </c>
      <c r="Q33" s="59"/>
    </row>
    <row r="34" spans="1:17">
      <c r="A34" s="58" t="s">
        <v>43</v>
      </c>
      <c r="B34" s="63">
        <v>300</v>
      </c>
      <c r="C34" s="63">
        <v>47053</v>
      </c>
      <c r="D34" s="63">
        <v>0.63757890038892318</v>
      </c>
      <c r="E34" s="59"/>
      <c r="F34" s="59">
        <v>612</v>
      </c>
      <c r="G34" s="59">
        <v>47127</v>
      </c>
      <c r="H34" s="59">
        <v>1.3</v>
      </c>
      <c r="I34" s="59"/>
      <c r="J34" s="64">
        <v>2327</v>
      </c>
      <c r="K34" s="64">
        <v>47588</v>
      </c>
      <c r="L34" s="64">
        <v>4.9000000000000004</v>
      </c>
      <c r="M34" s="59"/>
      <c r="N34" s="462">
        <v>4160</v>
      </c>
      <c r="O34" s="462">
        <v>48296</v>
      </c>
      <c r="P34" s="463">
        <v>8.6135497763789974</v>
      </c>
      <c r="Q34" s="59"/>
    </row>
    <row r="35" spans="1:17">
      <c r="A35" s="58" t="s">
        <v>44</v>
      </c>
      <c r="B35" s="63">
        <v>23089</v>
      </c>
      <c r="C35" s="63">
        <v>86073</v>
      </c>
      <c r="D35" s="63">
        <v>26.824904441578663</v>
      </c>
      <c r="E35" s="59"/>
      <c r="F35" s="59">
        <v>38245</v>
      </c>
      <c r="G35" s="59">
        <v>86888</v>
      </c>
      <c r="H35" s="59">
        <v>44</v>
      </c>
      <c r="I35" s="59"/>
      <c r="J35" s="64">
        <v>43959</v>
      </c>
      <c r="K35" s="64">
        <v>88004</v>
      </c>
      <c r="L35" s="64">
        <v>50</v>
      </c>
      <c r="M35" s="59"/>
      <c r="N35" s="462">
        <v>54452</v>
      </c>
      <c r="O35" s="462">
        <v>89387</v>
      </c>
      <c r="P35" s="463">
        <v>60.917135601373808</v>
      </c>
      <c r="Q35" s="59"/>
    </row>
    <row r="36" spans="1:17">
      <c r="J36" s="64"/>
      <c r="K36" s="64"/>
      <c r="L36" s="64"/>
      <c r="N36" s="64"/>
      <c r="O36" s="64"/>
      <c r="P36" s="64"/>
    </row>
    <row r="37" spans="1:17">
      <c r="A37" s="6" t="s">
        <v>543</v>
      </c>
      <c r="B37" s="393">
        <f>SUM(SUMIFS(B$6:B$35,$A$6:$A$35,{"Na h-Eileanan Siar","Argyll and Bute","Shetland Islands","Highland","Orkney Islands","Scottish Borders","Dumfries and Galloway","Aberdeenshire"}))</f>
        <v>30658</v>
      </c>
      <c r="C37" s="393">
        <f>SUM(SUMIFS(C$6:C$35,$A$6:$A$35,{"Na h-Eileanan Siar","Argyll and Bute","Shetland Islands","Highland","Orkney Islands","Scottish Borders","Dumfries and Galloway","Aberdeenshire"}))</f>
        <v>458758</v>
      </c>
      <c r="D37" s="403">
        <f>SUM(B37/C37)*100</f>
        <v>6.6828262395424165</v>
      </c>
      <c r="F37" s="393">
        <f>SUM(SUMIFS(F$6:F$35,$A$6:$A$35,{"Na h-Eileanan Siar","Argyll and Bute","Shetland Islands","Highland","Orkney Islands","Scottish Borders","Dumfries and Galloway","Aberdeenshire"}))</f>
        <v>63098</v>
      </c>
      <c r="G37" s="393">
        <f>SUM(SUMIFS(G$6:G$35,$A$6:$A$35,{"Na h-Eileanan Siar","Argyll and Bute","Shetland Islands","Highland","Orkney Islands","Scottish Borders","Dumfries and Galloway","Aberdeenshire"}))</f>
        <v>463076</v>
      </c>
      <c r="H37" s="403">
        <f>SUM(F37/G37)*100</f>
        <v>13.625841114633452</v>
      </c>
      <c r="J37" s="393">
        <f>SUM(SUMIFS(J$6:J$35,$A$6:$A$35,{"Na h-Eileanan Siar","Argyll and Bute","Shetland Islands","Highland","Orkney Islands","Scottish Borders","Dumfries and Galloway","Aberdeenshire"}))</f>
        <v>98800</v>
      </c>
      <c r="K37" s="393">
        <f>SUM(SUMIFS(K$6:K$35,$A$6:$A$35,{"Na h-Eileanan Siar","Argyll and Bute","Shetland Islands","Highland","Orkney Islands","Scottish Borders","Dumfries and Galloway","Aberdeenshire"}))</f>
        <v>470060</v>
      </c>
      <c r="L37" s="403">
        <f>SUM(J37/K37)*100</f>
        <v>21.018593371059012</v>
      </c>
      <c r="N37" s="393">
        <f>SUM(SUMIFS(N$6:N$35,$A$6:$A$35,{"Na h-Eileanan Siar","Argyll and Bute","Shetland Islands","Highland","Orkney Islands","Scottish Borders","Dumfries and Galloway","Aberdeenshire"}))</f>
        <v>133345</v>
      </c>
      <c r="O37" s="393">
        <f>SUM(SUMIFS(O$6:O$35,$A$6:$A$35,{"Na h-Eileanan Siar","Argyll and Bute","Shetland Islands","Highland","Orkney Islands","Scottish Borders","Dumfries and Galloway","Aberdeenshire"}))</f>
        <v>473814</v>
      </c>
      <c r="P37" s="403">
        <f>SUM(N37/O37)*100</f>
        <v>28.142899956523028</v>
      </c>
    </row>
    <row r="38" spans="1:17">
      <c r="A38" s="6" t="s">
        <v>544</v>
      </c>
      <c r="B38" s="393">
        <f>SUM(SUMIFS(B$6:B$35,$A$6:$A$35,{"Perth and Kinross","Stirling","Moray","South Ayrshire","East Ayrshire","East Lothian","North Ayrshire","Fife"}))</f>
        <v>115060</v>
      </c>
      <c r="C38" s="393">
        <f>SUM(SUMIFS(C$6:C$35,$A$6:$A$35,{"Perth and Kinross","Stirling","Moray","South Ayrshire","East Ayrshire","East Lothian","North Ayrshire","Fife"}))</f>
        <v>604313</v>
      </c>
      <c r="D38" s="403">
        <f>SUM(B38/C38)*100</f>
        <v>19.039802221696373</v>
      </c>
      <c r="F38" s="393">
        <f>SUM(SUMIFS(F$6:F$35,$A$6:$A$35,{"Perth and Kinross","Stirling","Moray","South Ayrshire","East Ayrshire","East Lothian","North Ayrshire","Fife"}))</f>
        <v>158299</v>
      </c>
      <c r="G38" s="393">
        <f>SUM(SUMIFS(G$6:G$35,$A$6:$A$35,{"Perth and Kinross","Stirling","Moray","South Ayrshire","East Ayrshire","East Lothian","North Ayrshire","Fife"}))</f>
        <v>608564</v>
      </c>
      <c r="H38" s="403">
        <f>SUM(F38/G38)*100</f>
        <v>26.011890285984713</v>
      </c>
      <c r="J38" s="393">
        <f>SUM(SUMIFS(J$6:J$35,$A$6:$A$35,{"Perth and Kinross","Stirling","Moray","South Ayrshire","East Ayrshire","East Lothian","North Ayrshire","Fife"}))</f>
        <v>244583</v>
      </c>
      <c r="K38" s="393">
        <f>SUM(SUMIFS(K$6:K$35,$A$6:$A$35,{"Perth and Kinross","Stirling","Moray","South Ayrshire","East Ayrshire","East Lothian","North Ayrshire","Fife"}))</f>
        <v>616610</v>
      </c>
      <c r="L38" s="403">
        <f>SUM(J38/K38)*100</f>
        <v>39.665753069200953</v>
      </c>
      <c r="N38" s="393">
        <f>SUM(SUMIFS(N$6:N$35,$A$6:$A$35,{"Perth and Kinross","Stirling","Moray","South Ayrshire","East Ayrshire","East Lothian","North Ayrshire","Fife"}))</f>
        <v>316213</v>
      </c>
      <c r="O38" s="393">
        <f>SUM(SUMIFS(O$6:O$35,$A$6:$A$35,{"Perth and Kinross","Stirling","Moray","South Ayrshire","East Ayrshire","East Lothian","North Ayrshire","Fife"}))</f>
        <v>624383</v>
      </c>
      <c r="P38" s="403">
        <f>SUM(N38/O38)*100</f>
        <v>50.64407583166102</v>
      </c>
    </row>
    <row r="39" spans="1:17">
      <c r="A39" s="6" t="s">
        <v>545</v>
      </c>
      <c r="B39" s="393">
        <f>SUM(SUMIFS(B$6:B$35,$A$6:$A$35,{"Angus","Clackmannanshire","Midlothian","South Lanarkshire","Inverclyde","Renfrewshire","West Lothian","East Renfrewshire"}))</f>
        <v>75579</v>
      </c>
      <c r="C39" s="393">
        <f>SUM(SUMIFS(C$6:C$35,$A$6:$A$35,{"Angus","Clackmannanshire","Midlothian","South Lanarkshire","Inverclyde","Renfrewshire","West Lothian","East Renfrewshire"}))</f>
        <v>551667</v>
      </c>
      <c r="D39" s="403">
        <f>SUM(B39/C39)*100</f>
        <v>13.700112567907812</v>
      </c>
      <c r="F39" s="393">
        <f>SUM(SUMIFS(F$6:F$35,$A$6:$A$35,{"Angus","Clackmannanshire","Midlothian","South Lanarkshire","Inverclyde","Renfrewshire","West Lothian","East Renfrewshire"}))</f>
        <v>151655</v>
      </c>
      <c r="G39" s="393">
        <f>SUM(SUMIFS(G$6:G$35,$A$6:$A$35,{"Angus","Clackmannanshire","Midlothian","South Lanarkshire","Inverclyde","Renfrewshire","West Lothian","East Renfrewshire"}))</f>
        <v>556231</v>
      </c>
      <c r="H39" s="403">
        <f>SUM(F39/G39)*100</f>
        <v>27.264751515107932</v>
      </c>
      <c r="J39" s="393">
        <f>SUM(SUMIFS(J$6:J$35,$A$6:$A$35,{"Angus","Clackmannanshire","Midlothian","South Lanarkshire","Inverclyde","Renfrewshire","West Lothian","East Renfrewshire"}))</f>
        <v>234754</v>
      </c>
      <c r="K39" s="393">
        <f>SUM(SUMIFS(K$6:K$35,$A$6:$A$35,{"Angus","Clackmannanshire","Midlothian","South Lanarkshire","Inverclyde","Renfrewshire","West Lothian","East Renfrewshire"}))</f>
        <v>564849</v>
      </c>
      <c r="L39" s="403">
        <f>SUM(J39/K39)*100</f>
        <v>41.560487847194558</v>
      </c>
      <c r="N39" s="393">
        <f>SUM(SUMIFS(N$6:N$35,$A$6:$A$35,{"Angus","Clackmannanshire","Midlothian","South Lanarkshire","Inverclyde","Renfrewshire","West Lothian","East Renfrewshire"}))</f>
        <v>306168</v>
      </c>
      <c r="O39" s="393">
        <f>SUM(SUMIFS(O$6:O$35,$A$6:$A$35,{"Angus","Clackmannanshire","Midlothian","South Lanarkshire","Inverclyde","Renfrewshire","West Lothian","East Renfrewshire"}))</f>
        <v>570261</v>
      </c>
      <c r="P39" s="403">
        <f>SUM(N39/O39)*100</f>
        <v>53.689100254094178</v>
      </c>
    </row>
    <row r="40" spans="1:17">
      <c r="A40" s="6" t="s">
        <v>546</v>
      </c>
      <c r="B40" s="393">
        <f>SUM(SUMIFS(B$6:B$35,$A$6:$A$35,{"North Lanarkshire","Falkirk","East Dunbartonshire","Aberdeen City","Edinburgh, City of","West Dunbartonshire","Dundee City","Glasgow City"}))</f>
        <v>229460</v>
      </c>
      <c r="C40" s="393">
        <f>SUM(SUMIFS(C$6:C$35,$A$6:$A$35,{"North Lanarkshire","Falkirk","East Dunbartonshire","Aberdeen City","Edinburgh, City of","West Dunbartonshire","Dundee City","Glasgow City"}))</f>
        <v>1141286</v>
      </c>
      <c r="D40" s="403">
        <f>SUM(B40/C40)*100</f>
        <v>20.105389884744053</v>
      </c>
      <c r="F40" s="393">
        <f>SUM(SUMIFS(F$6:F$35,$A$6:$A$35,{"North Lanarkshire","Falkirk","East Dunbartonshire","Aberdeen City","Edinburgh, City of","West Dunbartonshire","Dundee City","Glasgow City"}))</f>
        <v>367580</v>
      </c>
      <c r="G40" s="393">
        <f>SUM(SUMIFS(G$6:G$35,$A$6:$A$35,{"North Lanarkshire","Falkirk","East Dunbartonshire","Aberdeen City","Edinburgh, City of","West Dunbartonshire","Dundee City","Glasgow City"}))</f>
        <v>1147323</v>
      </c>
      <c r="H40" s="403">
        <f>SUM(F40/G40)*100</f>
        <v>32.038057286396246</v>
      </c>
      <c r="J40" s="393">
        <f>SUM(SUMIFS(J$6:J$35,$A$6:$A$35,{"North Lanarkshire","Falkirk","East Dunbartonshire","Aberdeen City","Edinburgh, City of","West Dunbartonshire","Dundee City","Glasgow City"}))</f>
        <v>542295</v>
      </c>
      <c r="K40" s="393">
        <f>SUM(SUMIFS(K$6:K$35,$A$6:$A$35,{"North Lanarkshire","Falkirk","East Dunbartonshire","Aberdeen City","Edinburgh, City of","West Dunbartonshire","Dundee City","Glasgow City"}))</f>
        <v>1169253</v>
      </c>
      <c r="L40" s="403">
        <f>SUM(J40/K40)*100</f>
        <v>46.379611598174222</v>
      </c>
      <c r="N40" s="393">
        <f>SUM(SUMIFS(N$6:N$35,$A$6:$A$35,{"North Lanarkshire","Falkirk","East Dunbartonshire","Aberdeen City","Edinburgh, City of","West Dunbartonshire","Dundee City","Glasgow City"}))</f>
        <v>728104</v>
      </c>
      <c r="O40" s="393">
        <f>SUM(SUMIFS(O$6:O$35,$A$6:$A$35,{"North Lanarkshire","Falkirk","East Dunbartonshire","Aberdeen City","Edinburgh, City of","West Dunbartonshire","Dundee City","Glasgow City"}))</f>
        <v>1176927</v>
      </c>
      <c r="P40" s="403">
        <f>SUM(N40/O40)*100</f>
        <v>61.864839535502206</v>
      </c>
    </row>
    <row r="41" spans="1:17">
      <c r="N41" s="64"/>
      <c r="O41" s="64"/>
      <c r="P41" s="64"/>
    </row>
  </sheetData>
  <autoFilter ref="A1" xr:uid="{00000000-0009-0000-0000-00004F000000}"/>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5" tint="0.79998168889431442"/>
    <pageSetUpPr autoPageBreaks="0"/>
  </sheetPr>
  <dimension ref="A1:AR86"/>
  <sheetViews>
    <sheetView topLeftCell="A26" workbookViewId="0">
      <selection activeCell="O37" sqref="O37"/>
    </sheetView>
  </sheetViews>
  <sheetFormatPr defaultColWidth="7.453125" defaultRowHeight="10"/>
  <cols>
    <col min="1" max="1" width="17.81640625" style="123" customWidth="1"/>
    <col min="2" max="5" width="9.81640625" style="123" customWidth="1"/>
    <col min="6" max="16384" width="7.453125" style="123"/>
  </cols>
  <sheetData>
    <row r="1" spans="1:44" ht="13">
      <c r="A1" s="126" t="s">
        <v>308</v>
      </c>
    </row>
    <row r="2" spans="1:44" ht="16.5" customHeight="1">
      <c r="A2" s="247" t="s">
        <v>612</v>
      </c>
    </row>
    <row r="4" spans="1:44" ht="11.25" hidden="1" customHeight="1"/>
    <row r="5" spans="1:44" ht="11.25" hidden="1" customHeight="1"/>
    <row r="6" spans="1:44" ht="12.75" customHeight="1"/>
    <row r="7" spans="1:44" ht="10.5">
      <c r="B7" s="128">
        <v>2020</v>
      </c>
      <c r="C7" s="128"/>
      <c r="D7" s="128"/>
      <c r="E7" s="128"/>
      <c r="F7" s="128">
        <v>2021</v>
      </c>
      <c r="G7" s="128"/>
      <c r="H7" s="128"/>
      <c r="I7" s="128"/>
      <c r="J7" s="128">
        <v>2022</v>
      </c>
      <c r="K7" s="128"/>
      <c r="L7" s="128"/>
      <c r="M7" s="128"/>
      <c r="N7" s="128">
        <v>2023</v>
      </c>
      <c r="O7" s="123">
        <v>2022</v>
      </c>
    </row>
    <row r="8" spans="1:44" s="124" customFormat="1" ht="10.5">
      <c r="A8" s="124" t="s">
        <v>302</v>
      </c>
      <c r="B8" s="127">
        <f>INDEX($B$54:$E$86,MATCH($A8,$A$54:$A$86,0),MATCH(B$7,$B$53:$E$53,0))</f>
        <v>15703</v>
      </c>
      <c r="C8" s="404">
        <f>SUM(INDEX('Population Data'!$B$8:$H$46,MATCH('Raw - New Builds'!$A8,'Population Data'!$A$8:$A$46,0),MATCH('Raw - New Builds'!B$7,'Population Data'!$B$7:$H$7,0))/10000)</f>
        <v>546.6</v>
      </c>
      <c r="D8" s="405">
        <f>SUM(B8/C8)</f>
        <v>28.728503476033662</v>
      </c>
      <c r="E8" s="127"/>
      <c r="F8" s="127">
        <f>INDEX($B$54:$E$86,MATCH($A8,$A$54:$A$86,0),MATCH(F$7,$B$53:$E$53,0))</f>
        <v>21154</v>
      </c>
      <c r="G8" s="404">
        <f>SUM(INDEX('Population Data'!$B$8:$H$46,MATCH('Raw - New Builds'!$A8,'Population Data'!$A$8:$A$46,0),MATCH('Raw - New Builds'!F$7,'Population Data'!$B$7:$H$7,0))/10000)</f>
        <v>547.99</v>
      </c>
      <c r="H8" s="405">
        <f>SUM(F8/G8)</f>
        <v>38.602894213398052</v>
      </c>
      <c r="I8" s="127"/>
      <c r="J8" s="127">
        <f>INDEX($B$54:$E$86,MATCH($A8,$A$54:$A$86,0),MATCH(J$7,$B$53:$E$53,0))</f>
        <v>23693</v>
      </c>
      <c r="K8" s="404">
        <f>SUM(INDEX('Population Data'!$B$8:$I$46,MATCH($A8,'Population Data'!$A$8:$A$46,0),MATCH(J$7,'Population Data'!$B$7:$I$7,0))/10000)</f>
        <v>544.77</v>
      </c>
      <c r="L8" s="405">
        <f>SUM(J8/K8)</f>
        <v>43.491748811425005</v>
      </c>
      <c r="M8" s="127"/>
      <c r="N8" s="127">
        <f>INDEX($B$54:$E$86,MATCH($A8,$A$54:$A$86,0),MATCH(N$7,$B$53:$E$53,0))</f>
        <v>20992</v>
      </c>
      <c r="O8" s="404">
        <f>SUM(INDEX('Population Data'!$B$8:$I$46,MATCH($A8,'Population Data'!$A$8:$A$46,0),MATCH(J$7,'Population Data'!$B$7:$I$7,0))/10000)</f>
        <v>544.77</v>
      </c>
      <c r="P8" s="405">
        <f>SUM(N8/O8)</f>
        <v>38.533693118196673</v>
      </c>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row>
    <row r="9" spans="1:44" ht="10.5">
      <c r="A9" s="124" t="s">
        <v>14</v>
      </c>
      <c r="B9" s="127">
        <f t="shared" ref="B9:B40" si="0">INDEX($B$54:$E$86,MATCH($A9,$A$54:$A$86,0),MATCH(B$7,$B$53:$E$53,0))</f>
        <v>572</v>
      </c>
      <c r="C9" s="404">
        <f>SUM(INDEX('Population Data'!$B$8:$H$46,MATCH('Raw - New Builds'!$A9,'Population Data'!$A$8:$A$46,0),MATCH('Raw - New Builds'!B$7,'Population Data'!$B$7:$H$7,0))/10000)</f>
        <v>22.905999999999999</v>
      </c>
      <c r="D9" s="405">
        <f t="shared" ref="D9:D40" si="1">SUM(B9/C9)</f>
        <v>24.97162315550511</v>
      </c>
      <c r="E9" s="127"/>
      <c r="F9" s="127">
        <f t="shared" ref="F9:F40" si="2">INDEX($B$54:$E$86,MATCH($A9,$A$54:$A$86,0),MATCH(F$7,$B$53:$E$53,0))</f>
        <v>1368</v>
      </c>
      <c r="G9" s="404">
        <f>SUM(INDEX('Population Data'!$B$8:$H$46,MATCH('Raw - New Builds'!$A9,'Population Data'!$A$8:$A$46,0),MATCH('Raw - New Builds'!F$7,'Population Data'!$B$7:$H$7,0))/10000)</f>
        <v>22.742999999999999</v>
      </c>
      <c r="H9" s="405">
        <f t="shared" ref="H9:H41" si="3">SUM(F9/G9)</f>
        <v>60.150375939849631</v>
      </c>
      <c r="I9" s="127"/>
      <c r="J9" s="127">
        <f t="shared" ref="J9:J40" si="4">INDEX($B$54:$E$86,MATCH($A9,$A$54:$A$86,0),MATCH(J$7,$B$53:$E$53,0))</f>
        <v>1790</v>
      </c>
      <c r="K9" s="404">
        <f>SUM(INDEX('Population Data'!$B$8:$I$46,MATCH($A9,'Population Data'!$A$8:$A$46,0),MATCH(J$7,'Population Data'!$B$7:$I$7,0))/10000)</f>
        <v>22.419</v>
      </c>
      <c r="L9" s="405">
        <f t="shared" ref="L9:L41" si="5">SUM(J9/K9)</f>
        <v>79.842990320710115</v>
      </c>
      <c r="M9" s="127"/>
      <c r="N9" s="127">
        <f t="shared" ref="N9:N40" si="6">INDEX($B$54:$E$86,MATCH($A9,$A$54:$A$86,0),MATCH(N$7,$B$53:$E$53,0))</f>
        <v>698</v>
      </c>
      <c r="O9" s="404">
        <f>SUM(INDEX('Population Data'!$B$8:$I$46,MATCH($A9,'Population Data'!$A$8:$A$46,0),MATCH(J$7,'Population Data'!$B$7:$I$7,0))/10000)</f>
        <v>22.419</v>
      </c>
      <c r="P9" s="405">
        <f t="shared" ref="P9:P41" si="7">SUM(N9/O9)</f>
        <v>31.13430572282439</v>
      </c>
    </row>
    <row r="10" spans="1:44" ht="10.5">
      <c r="A10" s="124" t="s">
        <v>15</v>
      </c>
      <c r="B10" s="127">
        <f t="shared" si="0"/>
        <v>728</v>
      </c>
      <c r="C10" s="404">
        <f>SUM(INDEX('Population Data'!$B$8:$H$46,MATCH('Raw - New Builds'!$A10,'Population Data'!$A$8:$A$46,0),MATCH('Raw - New Builds'!B$7,'Population Data'!$B$7:$H$7,0))/10000)</f>
        <v>26.077999999999999</v>
      </c>
      <c r="D10" s="405">
        <f t="shared" si="1"/>
        <v>27.916251246261218</v>
      </c>
      <c r="E10" s="127"/>
      <c r="F10" s="127">
        <f t="shared" si="2"/>
        <v>1070</v>
      </c>
      <c r="G10" s="404">
        <f>SUM(INDEX('Population Data'!$B$8:$H$46,MATCH('Raw - New Builds'!$A10,'Population Data'!$A$8:$A$46,0),MATCH('Raw - New Builds'!F$7,'Population Data'!$B$7:$H$7,0))/10000)</f>
        <v>26.268999999999998</v>
      </c>
      <c r="H10" s="405">
        <f t="shared" si="3"/>
        <v>40.73242224675473</v>
      </c>
      <c r="I10" s="127"/>
      <c r="J10" s="127">
        <f t="shared" si="4"/>
        <v>1032</v>
      </c>
      <c r="K10" s="404">
        <f>SUM(INDEX('Population Data'!$B$8:$I$46,MATCH($A10,'Population Data'!$A$8:$A$46,0),MATCH(J$7,'Population Data'!$B$7:$I$7,0))/10000)</f>
        <v>26.375</v>
      </c>
      <c r="L10" s="405">
        <f t="shared" si="5"/>
        <v>39.127962085308056</v>
      </c>
      <c r="M10" s="127"/>
      <c r="N10" s="127">
        <f t="shared" si="6"/>
        <v>952</v>
      </c>
      <c r="O10" s="404">
        <f>SUM(INDEX('Population Data'!$B$8:$I$46,MATCH($A10,'Population Data'!$A$8:$A$46,0),MATCH(J$7,'Population Data'!$B$7:$I$7,0))/10000)</f>
        <v>26.375</v>
      </c>
      <c r="P10" s="405">
        <f t="shared" si="7"/>
        <v>36.094786729857823</v>
      </c>
    </row>
    <row r="11" spans="1:44" ht="10.5">
      <c r="A11" s="124" t="s">
        <v>16</v>
      </c>
      <c r="B11" s="127">
        <f t="shared" si="0"/>
        <v>218</v>
      </c>
      <c r="C11" s="404">
        <f>SUM(INDEX('Population Data'!$B$8:$H$46,MATCH('Raw - New Builds'!$A11,'Population Data'!$A$8:$A$46,0),MATCH('Raw - New Builds'!B$7,'Population Data'!$B$7:$H$7,0))/10000)</f>
        <v>11.582000000000001</v>
      </c>
      <c r="D11" s="405">
        <f t="shared" si="1"/>
        <v>18.822310481782075</v>
      </c>
      <c r="E11" s="127"/>
      <c r="F11" s="127">
        <f t="shared" si="2"/>
        <v>312</v>
      </c>
      <c r="G11" s="404">
        <f>SUM(INDEX('Population Data'!$B$8:$H$46,MATCH('Raw - New Builds'!$A11,'Population Data'!$A$8:$A$46,0),MATCH('Raw - New Builds'!F$7,'Population Data'!$B$7:$H$7,0))/10000)</f>
        <v>11.612</v>
      </c>
      <c r="H11" s="405">
        <f t="shared" si="3"/>
        <v>26.868756458835687</v>
      </c>
      <c r="I11" s="127"/>
      <c r="J11" s="127">
        <f t="shared" si="4"/>
        <v>418</v>
      </c>
      <c r="K11" s="404">
        <f>SUM(INDEX('Population Data'!$B$8:$I$46,MATCH($A11,'Population Data'!$A$8:$A$46,0),MATCH(J$7,'Population Data'!$B$7:$I$7,0))/10000)</f>
        <v>11.465999999999999</v>
      </c>
      <c r="L11" s="405">
        <f t="shared" si="5"/>
        <v>36.455607884179315</v>
      </c>
      <c r="M11" s="127"/>
      <c r="N11" s="127">
        <f t="shared" si="6"/>
        <v>253</v>
      </c>
      <c r="O11" s="404">
        <f>SUM(INDEX('Population Data'!$B$8:$I$46,MATCH($A11,'Population Data'!$A$8:$A$46,0),MATCH(J$7,'Population Data'!$B$7:$I$7,0))/10000)</f>
        <v>11.465999999999999</v>
      </c>
      <c r="P11" s="405">
        <f t="shared" si="7"/>
        <v>22.065236350950638</v>
      </c>
    </row>
    <row r="12" spans="1:44" ht="10.5">
      <c r="A12" s="124" t="s">
        <v>17</v>
      </c>
      <c r="B12" s="127">
        <f t="shared" si="0"/>
        <v>205</v>
      </c>
      <c r="C12" s="404">
        <f>SUM(INDEX('Population Data'!$B$8:$H$46,MATCH('Raw - New Builds'!$A12,'Population Data'!$A$8:$A$46,0),MATCH('Raw - New Builds'!B$7,'Population Data'!$B$7:$H$7,0))/10000)</f>
        <v>8.5429999999999993</v>
      </c>
      <c r="D12" s="405">
        <f t="shared" si="1"/>
        <v>23.996254243240081</v>
      </c>
      <c r="E12" s="127"/>
      <c r="F12" s="127">
        <f t="shared" si="2"/>
        <v>154</v>
      </c>
      <c r="G12" s="404">
        <f>SUM(INDEX('Population Data'!$B$8:$H$46,MATCH('Raw - New Builds'!$A12,'Population Data'!$A$8:$A$46,0),MATCH('Raw - New Builds'!F$7,'Population Data'!$B$7:$H$7,0))/10000)</f>
        <v>8.6219999999999999</v>
      </c>
      <c r="H12" s="405">
        <f t="shared" si="3"/>
        <v>17.861285084667131</v>
      </c>
      <c r="I12" s="127"/>
      <c r="J12" s="127">
        <f t="shared" si="4"/>
        <v>160</v>
      </c>
      <c r="K12" s="404">
        <f>SUM(INDEX('Population Data'!$B$8:$I$46,MATCH($A12,'Population Data'!$A$8:$A$46,0),MATCH(J$7,'Population Data'!$B$7:$I$7,0))/10000)</f>
        <v>8.7919999999999998</v>
      </c>
      <c r="L12" s="405">
        <f t="shared" si="5"/>
        <v>18.198362147406733</v>
      </c>
      <c r="M12" s="127"/>
      <c r="N12" s="127">
        <f t="shared" si="6"/>
        <v>445</v>
      </c>
      <c r="O12" s="404">
        <f>SUM(INDEX('Population Data'!$B$8:$I$46,MATCH($A12,'Population Data'!$A$8:$A$46,0),MATCH(J$7,'Population Data'!$B$7:$I$7,0))/10000)</f>
        <v>8.7919999999999998</v>
      </c>
      <c r="P12" s="405">
        <f t="shared" si="7"/>
        <v>50.614194722474977</v>
      </c>
    </row>
    <row r="13" spans="1:44" ht="10.5">
      <c r="A13" s="124" t="s">
        <v>18</v>
      </c>
      <c r="B13" s="127">
        <f t="shared" si="0"/>
        <v>86</v>
      </c>
      <c r="C13" s="404">
        <f>SUM(INDEX('Population Data'!$B$8:$H$46,MATCH('Raw - New Builds'!$A13,'Population Data'!$A$8:$A$46,0),MATCH('Raw - New Builds'!B$7,'Population Data'!$B$7:$H$7,0))/10000)</f>
        <v>5.1289999999999996</v>
      </c>
      <c r="D13" s="405">
        <f t="shared" si="1"/>
        <v>16.76740105283681</v>
      </c>
      <c r="E13" s="127"/>
      <c r="F13" s="127">
        <f t="shared" si="2"/>
        <v>210</v>
      </c>
      <c r="G13" s="404">
        <f>SUM(INDEX('Population Data'!$B$8:$H$46,MATCH('Raw - New Builds'!$A13,'Population Data'!$A$8:$A$46,0),MATCH('Raw - New Builds'!F$7,'Population Data'!$B$7:$H$7,0))/10000)</f>
        <v>5.1539999999999999</v>
      </c>
      <c r="H13" s="405">
        <f t="shared" si="3"/>
        <v>40.745052386495928</v>
      </c>
      <c r="I13" s="127"/>
      <c r="J13" s="127">
        <f t="shared" si="4"/>
        <v>128</v>
      </c>
      <c r="K13" s="404">
        <f>SUM(INDEX('Population Data'!$B$8:$I$46,MATCH($A13,'Population Data'!$A$8:$A$46,0),MATCH(J$7,'Population Data'!$B$7:$I$7,0))/10000)</f>
        <v>5.1749999999999998</v>
      </c>
      <c r="L13" s="405">
        <f t="shared" si="5"/>
        <v>24.734299516908212</v>
      </c>
      <c r="M13" s="127"/>
      <c r="N13" s="127">
        <f t="shared" si="6"/>
        <v>100</v>
      </c>
      <c r="O13" s="404">
        <f>SUM(INDEX('Population Data'!$B$8:$I$46,MATCH($A13,'Population Data'!$A$8:$A$46,0),MATCH(J$7,'Population Data'!$B$7:$I$7,0))/10000)</f>
        <v>5.1749999999999998</v>
      </c>
      <c r="P13" s="405">
        <f t="shared" si="7"/>
        <v>19.323671497584542</v>
      </c>
    </row>
    <row r="14" spans="1:44" ht="10.5">
      <c r="A14" s="124" t="s">
        <v>19</v>
      </c>
      <c r="B14" s="127">
        <f t="shared" si="0"/>
        <v>156</v>
      </c>
      <c r="C14" s="404">
        <f>SUM(INDEX('Population Data'!$B$8:$H$46,MATCH('Raw - New Builds'!$A14,'Population Data'!$A$8:$A$46,0),MATCH('Raw - New Builds'!B$7,'Population Data'!$B$7:$H$7,0))/10000)</f>
        <v>14.829000000000001</v>
      </c>
      <c r="D14" s="405">
        <f t="shared" si="1"/>
        <v>10.519927169734979</v>
      </c>
      <c r="E14" s="127"/>
      <c r="F14" s="127">
        <f t="shared" si="2"/>
        <v>177</v>
      </c>
      <c r="G14" s="404">
        <f>SUM(INDEX('Population Data'!$B$8:$H$46,MATCH('Raw - New Builds'!$A14,'Population Data'!$A$8:$A$46,0),MATCH('Raw - New Builds'!F$7,'Population Data'!$B$7:$H$7,0))/10000)</f>
        <v>14.879</v>
      </c>
      <c r="H14" s="405">
        <f t="shared" si="3"/>
        <v>11.895960750050406</v>
      </c>
      <c r="I14" s="127"/>
      <c r="J14" s="127">
        <f t="shared" si="4"/>
        <v>497</v>
      </c>
      <c r="K14" s="404">
        <f>SUM(INDEX('Population Data'!$B$8:$I$46,MATCH($A14,'Population Data'!$A$8:$A$46,0),MATCH(J$7,'Population Data'!$B$7:$I$7,0))/10000)</f>
        <v>14.577</v>
      </c>
      <c r="L14" s="405">
        <f t="shared" si="5"/>
        <v>34.094806887562598</v>
      </c>
      <c r="M14" s="127"/>
      <c r="N14" s="127">
        <f t="shared" si="6"/>
        <v>223</v>
      </c>
      <c r="O14" s="404">
        <f>SUM(INDEX('Population Data'!$B$8:$I$46,MATCH($A14,'Population Data'!$A$8:$A$46,0),MATCH(J$7,'Population Data'!$B$7:$I$7,0))/10000)</f>
        <v>14.577</v>
      </c>
      <c r="P14" s="405">
        <f t="shared" si="7"/>
        <v>15.298072305687041</v>
      </c>
    </row>
    <row r="15" spans="1:44" ht="10.5">
      <c r="A15" s="124" t="s">
        <v>20</v>
      </c>
      <c r="B15" s="127">
        <f t="shared" si="0"/>
        <v>303</v>
      </c>
      <c r="C15" s="404">
        <f>SUM(INDEX('Population Data'!$B$8:$H$46,MATCH('Raw - New Builds'!$A15,'Population Data'!$A$8:$A$46,0),MATCH('Raw - New Builds'!B$7,'Population Data'!$B$7:$H$7,0))/10000)</f>
        <v>14.882</v>
      </c>
      <c r="D15" s="405">
        <f t="shared" si="1"/>
        <v>20.360166644268244</v>
      </c>
      <c r="E15" s="127"/>
      <c r="F15" s="127">
        <f t="shared" si="2"/>
        <v>527</v>
      </c>
      <c r="G15" s="404">
        <f>SUM(INDEX('Population Data'!$B$8:$H$46,MATCH('Raw - New Builds'!$A15,'Population Data'!$A$8:$A$46,0),MATCH('Raw - New Builds'!F$7,'Population Data'!$B$7:$H$7,0))/10000)</f>
        <v>14.772</v>
      </c>
      <c r="H15" s="405">
        <f t="shared" si="3"/>
        <v>35.675602491199569</v>
      </c>
      <c r="I15" s="127"/>
      <c r="J15" s="127">
        <f t="shared" si="4"/>
        <v>501</v>
      </c>
      <c r="K15" s="404">
        <f>SUM(INDEX('Population Data'!$B$8:$I$46,MATCH($A15,'Population Data'!$A$8:$A$46,0),MATCH(J$7,'Population Data'!$B$7:$I$7,0))/10000)</f>
        <v>14.835000000000001</v>
      </c>
      <c r="L15" s="405">
        <f t="shared" si="5"/>
        <v>33.771486349848331</v>
      </c>
      <c r="M15" s="127"/>
      <c r="N15" s="127">
        <f t="shared" si="6"/>
        <v>640</v>
      </c>
      <c r="O15" s="404">
        <f>SUM(INDEX('Population Data'!$B$8:$I$46,MATCH($A15,'Population Data'!$A$8:$A$46,0),MATCH(J$7,'Population Data'!$B$7:$I$7,0))/10000)</f>
        <v>14.835000000000001</v>
      </c>
      <c r="P15" s="405">
        <f t="shared" si="7"/>
        <v>43.1412200876306</v>
      </c>
    </row>
    <row r="16" spans="1:44" ht="10.5">
      <c r="A16" s="124" t="s">
        <v>21</v>
      </c>
      <c r="B16" s="127">
        <f t="shared" si="0"/>
        <v>260</v>
      </c>
      <c r="C16" s="404">
        <f>SUM(INDEX('Population Data'!$B$8:$H$46,MATCH('Raw - New Builds'!$A16,'Population Data'!$A$8:$A$46,0),MATCH('Raw - New Builds'!B$7,'Population Data'!$B$7:$H$7,0))/10000)</f>
        <v>12.16</v>
      </c>
      <c r="D16" s="405">
        <f t="shared" si="1"/>
        <v>21.381578947368421</v>
      </c>
      <c r="E16" s="127"/>
      <c r="F16" s="127">
        <f t="shared" si="2"/>
        <v>441</v>
      </c>
      <c r="G16" s="404">
        <f>SUM(INDEX('Population Data'!$B$8:$H$46,MATCH('Raw - New Builds'!$A16,'Population Data'!$A$8:$A$46,0),MATCH('Raw - New Builds'!F$7,'Population Data'!$B$7:$H$7,0))/10000)</f>
        <v>12.202</v>
      </c>
      <c r="H16" s="405">
        <f t="shared" si="3"/>
        <v>36.141616128503522</v>
      </c>
      <c r="I16" s="127"/>
      <c r="J16" s="127">
        <f t="shared" si="4"/>
        <v>396</v>
      </c>
      <c r="K16" s="404">
        <f>SUM(INDEX('Population Data'!$B$8:$I$46,MATCH($A16,'Population Data'!$A$8:$A$46,0),MATCH(J$7,'Population Data'!$B$7:$I$7,0))/10000)</f>
        <v>12.039</v>
      </c>
      <c r="L16" s="405">
        <f t="shared" si="5"/>
        <v>32.893097433341637</v>
      </c>
      <c r="M16" s="127"/>
      <c r="N16" s="127">
        <f t="shared" si="6"/>
        <v>362</v>
      </c>
      <c r="O16" s="404">
        <f>SUM(INDEX('Population Data'!$B$8:$I$46,MATCH($A16,'Population Data'!$A$8:$A$46,0),MATCH(J$7,'Population Data'!$B$7:$I$7,0))/10000)</f>
        <v>12.039</v>
      </c>
      <c r="P16" s="405">
        <f t="shared" si="7"/>
        <v>30.068942603206246</v>
      </c>
    </row>
    <row r="17" spans="1:16" ht="10.5">
      <c r="A17" s="124" t="s">
        <v>22</v>
      </c>
      <c r="B17" s="127">
        <f t="shared" si="0"/>
        <v>204</v>
      </c>
      <c r="C17" s="404">
        <f>SUM(INDEX('Population Data'!$B$8:$H$46,MATCH('Raw - New Builds'!$A17,'Population Data'!$A$8:$A$46,0),MATCH('Raw - New Builds'!B$7,'Population Data'!$B$7:$H$7,0))/10000)</f>
        <v>10.875</v>
      </c>
      <c r="D17" s="405">
        <f t="shared" si="1"/>
        <v>18.758620689655171</v>
      </c>
      <c r="E17" s="127"/>
      <c r="F17" s="127">
        <f t="shared" si="2"/>
        <v>287</v>
      </c>
      <c r="G17" s="404">
        <f>SUM(INDEX('Population Data'!$B$8:$H$46,MATCH('Raw - New Builds'!$A17,'Population Data'!$A$8:$A$46,0),MATCH('Raw - New Builds'!F$7,'Population Data'!$B$7:$H$7,0))/10000)</f>
        <v>10.89</v>
      </c>
      <c r="H17" s="405">
        <f t="shared" si="3"/>
        <v>26.354453627180899</v>
      </c>
      <c r="I17" s="127"/>
      <c r="J17" s="127">
        <f t="shared" si="4"/>
        <v>146</v>
      </c>
      <c r="K17" s="404">
        <f>SUM(INDEX('Population Data'!$B$8:$I$46,MATCH($A17,'Population Data'!$A$8:$A$46,0),MATCH(J$7,'Population Data'!$B$7:$I$7,0))/10000)</f>
        <v>10.898</v>
      </c>
      <c r="L17" s="405">
        <f t="shared" si="5"/>
        <v>13.396953569462287</v>
      </c>
      <c r="M17" s="127"/>
      <c r="N17" s="127">
        <f t="shared" si="6"/>
        <v>174</v>
      </c>
      <c r="O17" s="404">
        <f>SUM(INDEX('Population Data'!$B$8:$I$46,MATCH($A17,'Population Data'!$A$8:$A$46,0),MATCH(J$7,'Population Data'!$B$7:$I$7,0))/10000)</f>
        <v>10.898</v>
      </c>
      <c r="P17" s="405">
        <f t="shared" si="7"/>
        <v>15.966232336208479</v>
      </c>
    </row>
    <row r="18" spans="1:16" ht="10.5">
      <c r="A18" s="124" t="s">
        <v>23</v>
      </c>
      <c r="B18" s="127">
        <f t="shared" si="0"/>
        <v>687</v>
      </c>
      <c r="C18" s="404">
        <f>SUM(INDEX('Population Data'!$B$8:$H$46,MATCH('Raw - New Builds'!$A18,'Population Data'!$A$8:$A$46,0),MATCH('Raw - New Builds'!B$7,'Population Data'!$B$7:$H$7,0))/10000)</f>
        <v>10.79</v>
      </c>
      <c r="D18" s="405">
        <f t="shared" si="1"/>
        <v>63.670064874884154</v>
      </c>
      <c r="E18" s="127"/>
      <c r="F18" s="127">
        <f t="shared" si="2"/>
        <v>704</v>
      </c>
      <c r="G18" s="404">
        <f>SUM(INDEX('Population Data'!$B$8:$H$46,MATCH('Raw - New Builds'!$A18,'Population Data'!$A$8:$A$46,0),MATCH('Raw - New Builds'!F$7,'Population Data'!$B$7:$H$7,0))/10000)</f>
        <v>10.958</v>
      </c>
      <c r="H18" s="405">
        <f t="shared" si="3"/>
        <v>64.245300237269575</v>
      </c>
      <c r="I18" s="127"/>
      <c r="J18" s="127">
        <f t="shared" si="4"/>
        <v>896</v>
      </c>
      <c r="K18" s="404">
        <f>SUM(INDEX('Population Data'!$B$8:$I$46,MATCH($A18,'Population Data'!$A$8:$A$46,0),MATCH(J$7,'Population Data'!$B$7:$I$7,0))/10000)</f>
        <v>11.244999999999999</v>
      </c>
      <c r="L18" s="405">
        <f t="shared" si="5"/>
        <v>79.679857714539807</v>
      </c>
      <c r="M18" s="127"/>
      <c r="N18" s="127">
        <f t="shared" si="6"/>
        <v>835</v>
      </c>
      <c r="O18" s="404">
        <f>SUM(INDEX('Population Data'!$B$8:$I$46,MATCH($A18,'Population Data'!$A$8:$A$46,0),MATCH(J$7,'Population Data'!$B$7:$I$7,0))/10000)</f>
        <v>11.244999999999999</v>
      </c>
      <c r="P18" s="405">
        <f t="shared" si="7"/>
        <v>74.255224544241884</v>
      </c>
    </row>
    <row r="19" spans="1:16" ht="10.5">
      <c r="A19" s="124" t="s">
        <v>24</v>
      </c>
      <c r="B19" s="127">
        <f t="shared" si="0"/>
        <v>171</v>
      </c>
      <c r="C19" s="404">
        <f>SUM(INDEX('Population Data'!$B$8:$H$46,MATCH('Raw - New Builds'!$A19,'Population Data'!$A$8:$A$46,0),MATCH('Raw - New Builds'!B$7,'Population Data'!$B$7:$H$7,0))/10000)</f>
        <v>9.6059999999999999</v>
      </c>
      <c r="D19" s="405">
        <f t="shared" si="1"/>
        <v>17.801374141161773</v>
      </c>
      <c r="E19" s="127"/>
      <c r="F19" s="127">
        <f t="shared" si="2"/>
        <v>426</v>
      </c>
      <c r="G19" s="404">
        <f>SUM(INDEX('Population Data'!$B$8:$H$46,MATCH('Raw - New Builds'!$A19,'Population Data'!$A$8:$A$46,0),MATCH('Raw - New Builds'!F$7,'Population Data'!$B$7:$H$7,0))/10000)</f>
        <v>9.6579999999999995</v>
      </c>
      <c r="H19" s="405">
        <f t="shared" si="3"/>
        <v>44.108511078898324</v>
      </c>
      <c r="I19" s="127"/>
      <c r="J19" s="127">
        <f t="shared" si="4"/>
        <v>561</v>
      </c>
      <c r="K19" s="404">
        <f>SUM(INDEX('Population Data'!$B$8:$I$46,MATCH($A19,'Population Data'!$A$8:$A$46,0),MATCH(J$7,'Population Data'!$B$7:$I$7,0))/10000)</f>
        <v>9.7159999999999993</v>
      </c>
      <c r="L19" s="405">
        <f t="shared" si="5"/>
        <v>57.739810621655003</v>
      </c>
      <c r="M19" s="127"/>
      <c r="N19" s="127">
        <f t="shared" si="6"/>
        <v>475</v>
      </c>
      <c r="O19" s="404">
        <f>SUM(INDEX('Population Data'!$B$8:$I$46,MATCH($A19,'Population Data'!$A$8:$A$46,0),MATCH(J$7,'Population Data'!$B$7:$I$7,0))/10000)</f>
        <v>9.7159999999999993</v>
      </c>
      <c r="P19" s="405">
        <f t="shared" si="7"/>
        <v>48.888431453272958</v>
      </c>
    </row>
    <row r="20" spans="1:16" ht="12.5">
      <c r="A20" s="6" t="s">
        <v>189</v>
      </c>
      <c r="B20" s="127">
        <f t="shared" si="0"/>
        <v>2045</v>
      </c>
      <c r="C20" s="404">
        <f>SUM(INDEX('Population Data'!$B$8:$H$46,MATCH('Raw - New Builds'!$A20,'Population Data'!$A$8:$A$46,0),MATCH('Raw - New Builds'!B$7,'Population Data'!$B$7:$H$7,0))/10000)</f>
        <v>52.762</v>
      </c>
      <c r="D20" s="405">
        <f t="shared" si="1"/>
        <v>38.75895530874493</v>
      </c>
      <c r="E20" s="127"/>
      <c r="F20" s="127">
        <f t="shared" si="2"/>
        <v>2344</v>
      </c>
      <c r="G20" s="404">
        <f>SUM(INDEX('Population Data'!$B$8:$H$46,MATCH('Raw - New Builds'!$A20,'Population Data'!$A$8:$A$46,0),MATCH('Raw - New Builds'!F$7,'Population Data'!$B$7:$H$7,0))/10000)</f>
        <v>52.646999999999998</v>
      </c>
      <c r="H20" s="405">
        <f t="shared" si="3"/>
        <v>44.522954774251147</v>
      </c>
      <c r="I20" s="127"/>
      <c r="J20" s="127">
        <f t="shared" si="4"/>
        <v>2492</v>
      </c>
      <c r="K20" s="404">
        <f>SUM(INDEX('Population Data'!$B$8:$I$46,MATCH($A20,'Population Data'!$A$8:$A$46,0),MATCH(J$7,'Population Data'!$B$7:$I$7,0))/10000)</f>
        <v>51.499000000000002</v>
      </c>
      <c r="L20" s="405">
        <f t="shared" si="5"/>
        <v>48.389289112409948</v>
      </c>
      <c r="M20" s="127"/>
      <c r="N20" s="127">
        <f t="shared" si="6"/>
        <v>1980</v>
      </c>
      <c r="O20" s="404">
        <f>SUM(INDEX('Population Data'!$B$8:$I$46,MATCH($A20,'Population Data'!$A$8:$A$46,0),MATCH(J$7,'Population Data'!$B$7:$I$7,0))/10000)</f>
        <v>51.499000000000002</v>
      </c>
      <c r="P20" s="405">
        <f t="shared" si="7"/>
        <v>38.44734849220373</v>
      </c>
    </row>
    <row r="21" spans="1:16" ht="10.5">
      <c r="A21" s="124" t="s">
        <v>25</v>
      </c>
      <c r="B21" s="127">
        <f t="shared" si="0"/>
        <v>359</v>
      </c>
      <c r="C21" s="404">
        <f>SUM(INDEX('Population Data'!$B$8:$H$46,MATCH('Raw - New Builds'!$A21,'Population Data'!$A$8:$A$46,0),MATCH('Raw - New Builds'!B$7,'Population Data'!$B$7:$H$7,0))/10000)</f>
        <v>16.056000000000001</v>
      </c>
      <c r="D21" s="405">
        <f t="shared" si="1"/>
        <v>22.359242650722472</v>
      </c>
      <c r="E21" s="127"/>
      <c r="F21" s="127">
        <f t="shared" si="2"/>
        <v>374</v>
      </c>
      <c r="G21" s="404">
        <f>SUM(INDEX('Population Data'!$B$8:$H$46,MATCH('Raw - New Builds'!$A21,'Population Data'!$A$8:$A$46,0),MATCH('Raw - New Builds'!F$7,'Population Data'!$B$7:$H$7,0))/10000)</f>
        <v>16.07</v>
      </c>
      <c r="H21" s="405">
        <f t="shared" si="3"/>
        <v>23.273179838207842</v>
      </c>
      <c r="I21" s="127"/>
      <c r="J21" s="127">
        <f t="shared" si="4"/>
        <v>364</v>
      </c>
      <c r="K21" s="404">
        <f>SUM(INDEX('Population Data'!$B$8:$I$46,MATCH($A21,'Population Data'!$A$8:$A$46,0),MATCH(J$7,'Population Data'!$B$7:$I$7,0))/10000)</f>
        <v>15.845000000000001</v>
      </c>
      <c r="L21" s="405">
        <f t="shared" si="5"/>
        <v>22.972546544651308</v>
      </c>
      <c r="M21" s="127"/>
      <c r="N21" s="127">
        <f t="shared" si="6"/>
        <v>347</v>
      </c>
      <c r="O21" s="404">
        <f>SUM(INDEX('Population Data'!$B$8:$I$46,MATCH($A21,'Population Data'!$A$8:$A$46,0),MATCH(J$7,'Population Data'!$B$7:$I$7,0))/10000)</f>
        <v>15.845000000000001</v>
      </c>
      <c r="P21" s="405">
        <f t="shared" si="7"/>
        <v>21.899652887346164</v>
      </c>
    </row>
    <row r="22" spans="1:16" ht="10.5">
      <c r="A22" s="124" t="s">
        <v>26</v>
      </c>
      <c r="B22" s="127">
        <f t="shared" si="0"/>
        <v>1126</v>
      </c>
      <c r="C22" s="404">
        <f>SUM(INDEX('Population Data'!$B$8:$H$46,MATCH('Raw - New Builds'!$A22,'Population Data'!$A$8:$A$46,0),MATCH('Raw - New Builds'!B$7,'Population Data'!$B$7:$H$7,0))/10000)</f>
        <v>37.412999999999997</v>
      </c>
      <c r="D22" s="405">
        <f t="shared" si="1"/>
        <v>30.096490524683936</v>
      </c>
      <c r="E22" s="127"/>
      <c r="F22" s="127">
        <f t="shared" si="2"/>
        <v>1021</v>
      </c>
      <c r="G22" s="404">
        <f>SUM(INDEX('Population Data'!$B$8:$H$46,MATCH('Raw - New Builds'!$A22,'Population Data'!$A$8:$A$46,0),MATCH('Raw - New Builds'!F$7,'Population Data'!$B$7:$H$7,0))/10000)</f>
        <v>37.472999999999999</v>
      </c>
      <c r="H22" s="405">
        <f t="shared" si="3"/>
        <v>27.246283991140288</v>
      </c>
      <c r="I22" s="127"/>
      <c r="J22" s="127">
        <f t="shared" si="4"/>
        <v>1489</v>
      </c>
      <c r="K22" s="404">
        <f>SUM(INDEX('Population Data'!$B$8:$I$46,MATCH($A22,'Population Data'!$A$8:$A$46,0),MATCH(J$7,'Population Data'!$B$7:$I$7,0))/10000)</f>
        <v>37.134</v>
      </c>
      <c r="L22" s="405">
        <f t="shared" si="5"/>
        <v>40.098023374804761</v>
      </c>
      <c r="M22" s="127"/>
      <c r="N22" s="127">
        <f t="shared" si="6"/>
        <v>1408</v>
      </c>
      <c r="O22" s="404">
        <f>SUM(INDEX('Population Data'!$B$8:$I$46,MATCH($A22,'Population Data'!$A$8:$A$46,0),MATCH(J$7,'Population Data'!$B$7:$I$7,0))/10000)</f>
        <v>37.134</v>
      </c>
      <c r="P22" s="405">
        <f t="shared" si="7"/>
        <v>37.9167339904131</v>
      </c>
    </row>
    <row r="23" spans="1:16" ht="10.5">
      <c r="A23" s="124" t="s">
        <v>27</v>
      </c>
      <c r="B23" s="127">
        <f t="shared" si="0"/>
        <v>1741</v>
      </c>
      <c r="C23" s="404">
        <f>SUM(INDEX('Population Data'!$B$8:$H$46,MATCH('Raw - New Builds'!$A23,'Population Data'!$A$8:$A$46,0),MATCH('Raw - New Builds'!B$7,'Population Data'!$B$7:$H$7,0))/10000)</f>
        <v>63.564</v>
      </c>
      <c r="D23" s="405">
        <f t="shared" si="1"/>
        <v>27.389717450129005</v>
      </c>
      <c r="E23" s="127"/>
      <c r="F23" s="127">
        <f t="shared" si="2"/>
        <v>1547</v>
      </c>
      <c r="G23" s="404">
        <f>SUM(INDEX('Population Data'!$B$8:$H$46,MATCH('Raw - New Builds'!$A23,'Population Data'!$A$8:$A$46,0),MATCH('Raw - New Builds'!F$7,'Population Data'!$B$7:$H$7,0))/10000)</f>
        <v>63.512999999999998</v>
      </c>
      <c r="H23" s="405">
        <f t="shared" si="3"/>
        <v>24.357218207296146</v>
      </c>
      <c r="I23" s="127"/>
      <c r="J23" s="127">
        <f t="shared" si="4"/>
        <v>1960</v>
      </c>
      <c r="K23" s="404">
        <f>SUM(INDEX('Population Data'!$B$8:$I$46,MATCH($A23,'Population Data'!$A$8:$A$46,0),MATCH(J$7,'Population Data'!$B$7:$I$7,0))/10000)</f>
        <v>62.281999999999996</v>
      </c>
      <c r="L23" s="405">
        <f t="shared" si="5"/>
        <v>31.469766545711444</v>
      </c>
      <c r="M23" s="127"/>
      <c r="N23" s="127">
        <f t="shared" si="6"/>
        <v>2134</v>
      </c>
      <c r="O23" s="404">
        <f>SUM(INDEX('Population Data'!$B$8:$I$46,MATCH($A23,'Population Data'!$A$8:$A$46,0),MATCH(J$7,'Population Data'!$B$7:$I$7,0))/10000)</f>
        <v>62.281999999999996</v>
      </c>
      <c r="P23" s="405">
        <f t="shared" si="7"/>
        <v>34.263511126810315</v>
      </c>
    </row>
    <row r="24" spans="1:16" ht="10.5">
      <c r="A24" s="124" t="s">
        <v>28</v>
      </c>
      <c r="B24" s="127">
        <f t="shared" si="0"/>
        <v>921</v>
      </c>
      <c r="C24" s="404">
        <f>SUM(INDEX('Population Data'!$B$8:$H$46,MATCH('Raw - New Builds'!$A24,'Population Data'!$A$8:$A$46,0),MATCH('Raw - New Builds'!B$7,'Population Data'!$B$7:$H$7,0))/10000)</f>
        <v>23.542999999999999</v>
      </c>
      <c r="D24" s="405">
        <f t="shared" si="1"/>
        <v>39.119908252983905</v>
      </c>
      <c r="E24" s="127"/>
      <c r="F24" s="127">
        <f t="shared" si="2"/>
        <v>1413</v>
      </c>
      <c r="G24" s="404">
        <f>SUM(INDEX('Population Data'!$B$8:$H$46,MATCH('Raw - New Builds'!$A24,'Population Data'!$A$8:$A$46,0),MATCH('Raw - New Builds'!F$7,'Population Data'!$B$7:$H$7,0))/10000)</f>
        <v>23.806000000000001</v>
      </c>
      <c r="H24" s="405">
        <f t="shared" si="3"/>
        <v>59.354784508107194</v>
      </c>
      <c r="I24" s="127"/>
      <c r="J24" s="127">
        <f t="shared" si="4"/>
        <v>1367</v>
      </c>
      <c r="K24" s="404">
        <f>SUM(INDEX('Population Data'!$B$8:$I$46,MATCH($A24,'Population Data'!$A$8:$A$46,0),MATCH(J$7,'Population Data'!$B$7:$I$7,0))/10000)</f>
        <v>23.571000000000002</v>
      </c>
      <c r="L24" s="405">
        <f t="shared" si="5"/>
        <v>57.994993848372999</v>
      </c>
      <c r="M24" s="127"/>
      <c r="N24" s="127">
        <f t="shared" si="6"/>
        <v>1096</v>
      </c>
      <c r="O24" s="404">
        <f>SUM(INDEX('Population Data'!$B$8:$I$46,MATCH($A24,'Population Data'!$A$8:$A$46,0),MATCH(J$7,'Population Data'!$B$7:$I$7,0))/10000)</f>
        <v>23.571000000000002</v>
      </c>
      <c r="P24" s="405">
        <f t="shared" si="7"/>
        <v>46.497815111789912</v>
      </c>
    </row>
    <row r="25" spans="1:16" ht="10.5">
      <c r="A25" s="124" t="s">
        <v>29</v>
      </c>
      <c r="B25" s="127">
        <f t="shared" si="0"/>
        <v>101</v>
      </c>
      <c r="C25" s="404">
        <f>SUM(INDEX('Population Data'!$B$8:$H$46,MATCH('Raw - New Builds'!$A25,'Population Data'!$A$8:$A$46,0),MATCH('Raw - New Builds'!B$7,'Population Data'!$B$7:$H$7,0))/10000)</f>
        <v>7.7060000000000004</v>
      </c>
      <c r="D25" s="405">
        <f t="shared" si="1"/>
        <v>13.106670127173631</v>
      </c>
      <c r="E25" s="127"/>
      <c r="F25" s="127">
        <f t="shared" si="2"/>
        <v>447</v>
      </c>
      <c r="G25" s="404">
        <f>SUM(INDEX('Population Data'!$B$8:$H$46,MATCH('Raw - New Builds'!$A25,'Population Data'!$A$8:$A$46,0),MATCH('Raw - New Builds'!F$7,'Population Data'!$B$7:$H$7,0))/10000)</f>
        <v>7.67</v>
      </c>
      <c r="H25" s="405">
        <f t="shared" si="3"/>
        <v>58.279009126466754</v>
      </c>
      <c r="I25" s="127"/>
      <c r="J25" s="127">
        <f t="shared" si="4"/>
        <v>304</v>
      </c>
      <c r="K25" s="404">
        <f>SUM(INDEX('Population Data'!$B$8:$I$46,MATCH($A25,'Population Data'!$A$8:$A$46,0),MATCH(J$7,'Population Data'!$B$7:$I$7,0))/10000)</f>
        <v>7.8339999999999996</v>
      </c>
      <c r="L25" s="405">
        <f t="shared" si="5"/>
        <v>38.805208067398524</v>
      </c>
      <c r="M25" s="127"/>
      <c r="N25" s="127">
        <f t="shared" si="6"/>
        <v>256</v>
      </c>
      <c r="O25" s="404">
        <f>SUM(INDEX('Population Data'!$B$8:$I$46,MATCH($A25,'Population Data'!$A$8:$A$46,0),MATCH(J$7,'Population Data'!$B$7:$I$7,0))/10000)</f>
        <v>7.8339999999999996</v>
      </c>
      <c r="P25" s="405">
        <f t="shared" si="7"/>
        <v>32.678069951493491</v>
      </c>
    </row>
    <row r="26" spans="1:16" ht="10.5">
      <c r="A26" s="124" t="s">
        <v>30</v>
      </c>
      <c r="B26" s="127">
        <f t="shared" si="0"/>
        <v>529</v>
      </c>
      <c r="C26" s="404">
        <f>SUM(INDEX('Population Data'!$B$8:$H$46,MATCH('Raw - New Builds'!$A26,'Population Data'!$A$8:$A$46,0),MATCH('Raw - New Builds'!B$7,'Population Data'!$B$7:$H$7,0))/10000)</f>
        <v>9.3149999999999995</v>
      </c>
      <c r="D26" s="405">
        <f t="shared" si="1"/>
        <v>56.790123456790127</v>
      </c>
      <c r="E26" s="127"/>
      <c r="F26" s="127">
        <f t="shared" si="2"/>
        <v>847</v>
      </c>
      <c r="G26" s="404">
        <f>SUM(INDEX('Population Data'!$B$8:$H$46,MATCH('Raw - New Builds'!$A26,'Population Data'!$A$8:$A$46,0),MATCH('Raw - New Builds'!F$7,'Population Data'!$B$7:$H$7,0))/10000)</f>
        <v>9.468</v>
      </c>
      <c r="H26" s="405">
        <f t="shared" si="3"/>
        <v>89.459231094212086</v>
      </c>
      <c r="I26" s="127"/>
      <c r="J26" s="127">
        <f t="shared" si="4"/>
        <v>832</v>
      </c>
      <c r="K26" s="404">
        <f>SUM(INDEX('Population Data'!$B$8:$I$46,MATCH($A26,'Population Data'!$A$8:$A$46,0),MATCH(J$7,'Population Data'!$B$7:$I$7,0))/10000)</f>
        <v>9.7029999999999994</v>
      </c>
      <c r="L26" s="405">
        <f t="shared" si="5"/>
        <v>85.746676285684842</v>
      </c>
      <c r="M26" s="127"/>
      <c r="N26" s="127">
        <f t="shared" si="6"/>
        <v>1170</v>
      </c>
      <c r="O26" s="404">
        <f>SUM(INDEX('Population Data'!$B$8:$I$46,MATCH($A26,'Population Data'!$A$8:$A$46,0),MATCH(J$7,'Population Data'!$B$7:$I$7,0))/10000)</f>
        <v>9.7029999999999994</v>
      </c>
      <c r="P26" s="405">
        <f t="shared" si="7"/>
        <v>120.58126352674431</v>
      </c>
    </row>
    <row r="27" spans="1:16" ht="10.5">
      <c r="A27" s="124" t="s">
        <v>31</v>
      </c>
      <c r="B27" s="127">
        <f t="shared" si="0"/>
        <v>315</v>
      </c>
      <c r="C27" s="404">
        <f>SUM(INDEX('Population Data'!$B$8:$H$46,MATCH('Raw - New Builds'!$A27,'Population Data'!$A$8:$A$46,0),MATCH('Raw - New Builds'!B$7,'Population Data'!$B$7:$H$7,0))/10000)</f>
        <v>9.5709999999999997</v>
      </c>
      <c r="D27" s="405">
        <f t="shared" si="1"/>
        <v>32.911921429317729</v>
      </c>
      <c r="E27" s="127"/>
      <c r="F27" s="127">
        <f t="shared" si="2"/>
        <v>396</v>
      </c>
      <c r="G27" s="404">
        <f>SUM(INDEX('Population Data'!$B$8:$H$46,MATCH('Raw - New Builds'!$A27,'Population Data'!$A$8:$A$46,0),MATCH('Raw - New Builds'!F$7,'Population Data'!$B$7:$H$7,0))/10000)</f>
        <v>9.641</v>
      </c>
      <c r="H27" s="405">
        <f t="shared" si="3"/>
        <v>41.074577326003528</v>
      </c>
      <c r="I27" s="127"/>
      <c r="J27" s="127">
        <f t="shared" si="4"/>
        <v>430</v>
      </c>
      <c r="K27" s="404">
        <f>SUM(INDEX('Population Data'!$B$8:$I$46,MATCH($A27,'Population Data'!$A$8:$A$46,0),MATCH(J$7,'Population Data'!$B$7:$I$7,0))/10000)</f>
        <v>9.4280000000000008</v>
      </c>
      <c r="L27" s="405">
        <f t="shared" si="5"/>
        <v>45.608824777259223</v>
      </c>
      <c r="M27" s="127"/>
      <c r="N27" s="127">
        <f t="shared" si="6"/>
        <v>347</v>
      </c>
      <c r="O27" s="404">
        <f>SUM(INDEX('Population Data'!$B$8:$I$46,MATCH($A27,'Population Data'!$A$8:$A$46,0),MATCH(J$7,'Population Data'!$B$7:$I$7,0))/10000)</f>
        <v>9.4280000000000008</v>
      </c>
      <c r="P27" s="405">
        <f t="shared" si="7"/>
        <v>36.805260924904537</v>
      </c>
    </row>
    <row r="28" spans="1:16" ht="10.5">
      <c r="A28" s="124" t="s">
        <v>32</v>
      </c>
      <c r="B28" s="127">
        <f t="shared" si="0"/>
        <v>116</v>
      </c>
      <c r="C28" s="404">
        <f>SUM(INDEX('Population Data'!$B$8:$H$46,MATCH('Raw - New Builds'!$A28,'Population Data'!$A$8:$A$46,0),MATCH('Raw - New Builds'!B$7,'Population Data'!$B$7:$H$7,0))/10000)</f>
        <v>2.65</v>
      </c>
      <c r="D28" s="405">
        <f t="shared" si="1"/>
        <v>43.773584905660378</v>
      </c>
      <c r="E28" s="127"/>
      <c r="F28" s="127">
        <f t="shared" si="2"/>
        <v>71</v>
      </c>
      <c r="G28" s="404">
        <f>SUM(INDEX('Population Data'!$B$8:$H$46,MATCH('Raw - New Builds'!$A28,'Population Data'!$A$8:$A$46,0),MATCH('Raw - New Builds'!F$7,'Population Data'!$B$7:$H$7,0))/10000)</f>
        <v>2.6640000000000001</v>
      </c>
      <c r="H28" s="405">
        <f t="shared" si="3"/>
        <v>26.651651651651651</v>
      </c>
      <c r="I28" s="127"/>
      <c r="J28" s="127">
        <f t="shared" si="4"/>
        <v>168</v>
      </c>
      <c r="K28" s="404">
        <f>SUM(INDEX('Population Data'!$B$8:$I$46,MATCH($A28,'Population Data'!$A$8:$A$46,0),MATCH(J$7,'Population Data'!$B$7:$I$7,0))/10000)</f>
        <v>2.6120000000000001</v>
      </c>
      <c r="L28" s="405">
        <f t="shared" si="5"/>
        <v>64.318529862174572</v>
      </c>
      <c r="M28" s="127"/>
      <c r="N28" s="127">
        <f t="shared" si="6"/>
        <v>154</v>
      </c>
      <c r="O28" s="404">
        <f>SUM(INDEX('Population Data'!$B$8:$I$46,MATCH($A28,'Population Data'!$A$8:$A$46,0),MATCH(J$7,'Population Data'!$B$7:$I$7,0))/10000)</f>
        <v>2.6120000000000001</v>
      </c>
      <c r="P28" s="405">
        <f t="shared" si="7"/>
        <v>58.95865237366003</v>
      </c>
    </row>
    <row r="29" spans="1:16" ht="10.5">
      <c r="A29" s="124" t="s">
        <v>33</v>
      </c>
      <c r="B29" s="127">
        <f t="shared" si="0"/>
        <v>405</v>
      </c>
      <c r="C29" s="404">
        <f>SUM(INDEX('Population Data'!$B$8:$H$46,MATCH('Raw - New Builds'!$A29,'Population Data'!$A$8:$A$46,0),MATCH('Raw - New Builds'!B$7,'Population Data'!$B$7:$H$7,0))/10000)</f>
        <v>13.425000000000001</v>
      </c>
      <c r="D29" s="405">
        <f t="shared" si="1"/>
        <v>30.167597765363126</v>
      </c>
      <c r="E29" s="127"/>
      <c r="F29" s="127">
        <f t="shared" si="2"/>
        <v>478</v>
      </c>
      <c r="G29" s="404">
        <f>SUM(INDEX('Population Data'!$B$8:$H$46,MATCH('Raw - New Builds'!$A29,'Population Data'!$A$8:$A$46,0),MATCH('Raw - New Builds'!F$7,'Population Data'!$B$7:$H$7,0))/10000)</f>
        <v>13.422000000000001</v>
      </c>
      <c r="H29" s="405">
        <f t="shared" si="3"/>
        <v>35.613172403516614</v>
      </c>
      <c r="I29" s="127"/>
      <c r="J29" s="127">
        <f t="shared" si="4"/>
        <v>480</v>
      </c>
      <c r="K29" s="404">
        <f>SUM(INDEX('Population Data'!$B$8:$I$46,MATCH($A29,'Population Data'!$A$8:$A$46,0),MATCH(J$7,'Population Data'!$B$7:$I$7,0))/10000)</f>
        <v>13.349</v>
      </c>
      <c r="L29" s="405">
        <f t="shared" si="5"/>
        <v>35.957749644168103</v>
      </c>
      <c r="M29" s="127"/>
      <c r="N29" s="127">
        <f t="shared" si="6"/>
        <v>502</v>
      </c>
      <c r="O29" s="404">
        <f>SUM(INDEX('Population Data'!$B$8:$I$46,MATCH($A29,'Population Data'!$A$8:$A$46,0),MATCH(J$7,'Population Data'!$B$7:$I$7,0))/10000)</f>
        <v>13.349</v>
      </c>
      <c r="P29" s="405">
        <f t="shared" si="7"/>
        <v>37.60581316952581</v>
      </c>
    </row>
    <row r="30" spans="1:16" ht="10.5">
      <c r="A30" s="124" t="s">
        <v>34</v>
      </c>
      <c r="B30" s="127">
        <f t="shared" si="0"/>
        <v>624</v>
      </c>
      <c r="C30" s="404">
        <f>SUM(INDEX('Population Data'!$B$8:$H$46,MATCH('Raw - New Builds'!$A30,'Population Data'!$A$8:$A$46,0),MATCH('Raw - New Builds'!B$7,'Population Data'!$B$7:$H$7,0))/10000)</f>
        <v>34.113999999999997</v>
      </c>
      <c r="D30" s="405">
        <f t="shared" si="1"/>
        <v>18.291610482499856</v>
      </c>
      <c r="E30" s="127"/>
      <c r="F30" s="127">
        <f t="shared" si="2"/>
        <v>805</v>
      </c>
      <c r="G30" s="404">
        <f>SUM(INDEX('Population Data'!$B$8:$H$46,MATCH('Raw - New Builds'!$A30,'Population Data'!$A$8:$A$46,0),MATCH('Raw - New Builds'!F$7,'Population Data'!$B$7:$H$7,0))/10000)</f>
        <v>34.14</v>
      </c>
      <c r="H30" s="405">
        <f t="shared" si="3"/>
        <v>23.579379027533683</v>
      </c>
      <c r="I30" s="127"/>
      <c r="J30" s="127">
        <f t="shared" si="4"/>
        <v>929</v>
      </c>
      <c r="K30" s="404">
        <f>SUM(INDEX('Population Data'!$B$8:$I$46,MATCH($A30,'Population Data'!$A$8:$A$46,0),MATCH(J$7,'Population Data'!$B$7:$I$7,0))/10000)</f>
        <v>34.093000000000004</v>
      </c>
      <c r="L30" s="405">
        <f t="shared" si="5"/>
        <v>27.248995394949105</v>
      </c>
      <c r="M30" s="127"/>
      <c r="N30" s="127">
        <f t="shared" si="6"/>
        <v>838</v>
      </c>
      <c r="O30" s="404">
        <f>SUM(INDEX('Population Data'!$B$8:$I$46,MATCH($A30,'Population Data'!$A$8:$A$46,0),MATCH(J$7,'Population Data'!$B$7:$I$7,0))/10000)</f>
        <v>34.093000000000004</v>
      </c>
      <c r="P30" s="405">
        <f t="shared" si="7"/>
        <v>24.57982577068606</v>
      </c>
    </row>
    <row r="31" spans="1:16" ht="10.5">
      <c r="A31" s="124" t="s">
        <v>35</v>
      </c>
      <c r="B31" s="127">
        <f t="shared" si="0"/>
        <v>77</v>
      </c>
      <c r="C31" s="404">
        <f>SUM(INDEX('Population Data'!$B$8:$H$46,MATCH('Raw - New Builds'!$A31,'Population Data'!$A$8:$A$46,0),MATCH('Raw - New Builds'!B$7,'Population Data'!$B$7:$H$7,0))/10000)</f>
        <v>2.2400000000000002</v>
      </c>
      <c r="D31" s="405">
        <f t="shared" si="1"/>
        <v>34.375</v>
      </c>
      <c r="E31" s="127"/>
      <c r="F31" s="127">
        <f t="shared" si="2"/>
        <v>96</v>
      </c>
      <c r="G31" s="404">
        <f>SUM(INDEX('Population Data'!$B$8:$H$46,MATCH('Raw - New Builds'!$A31,'Population Data'!$A$8:$A$46,0),MATCH('Raw - New Builds'!F$7,'Population Data'!$B$7:$H$7,0))/10000)</f>
        <v>2.254</v>
      </c>
      <c r="H31" s="405">
        <f t="shared" si="3"/>
        <v>42.590949423247558</v>
      </c>
      <c r="I31" s="127"/>
      <c r="J31" s="127">
        <f t="shared" si="4"/>
        <v>82</v>
      </c>
      <c r="K31" s="404">
        <f>SUM(INDEX('Population Data'!$B$8:$I$46,MATCH($A31,'Population Data'!$A$8:$A$46,0),MATCH(J$7,'Population Data'!$B$7:$I$7,0))/10000)</f>
        <v>2.202</v>
      </c>
      <c r="L31" s="405">
        <f t="shared" si="5"/>
        <v>37.23887375113533</v>
      </c>
      <c r="M31" s="127"/>
      <c r="N31" s="127">
        <f t="shared" si="6"/>
        <v>96</v>
      </c>
      <c r="O31" s="404">
        <f>SUM(INDEX('Population Data'!$B$8:$I$46,MATCH($A31,'Population Data'!$A$8:$A$46,0),MATCH(J$7,'Population Data'!$B$7:$I$7,0))/10000)</f>
        <v>2.202</v>
      </c>
      <c r="P31" s="405">
        <f t="shared" si="7"/>
        <v>43.596730245231612</v>
      </c>
    </row>
    <row r="32" spans="1:16" ht="10.5">
      <c r="A32" s="124" t="s">
        <v>36</v>
      </c>
      <c r="B32" s="127">
        <f t="shared" si="0"/>
        <v>790</v>
      </c>
      <c r="C32" s="404">
        <f>SUM(INDEX('Population Data'!$B$8:$H$46,MATCH('Raw - New Builds'!$A32,'Population Data'!$A$8:$A$46,0),MATCH('Raw - New Builds'!B$7,'Population Data'!$B$7:$H$7,0))/10000)</f>
        <v>15.191000000000001</v>
      </c>
      <c r="D32" s="405">
        <f t="shared" si="1"/>
        <v>52.004476334671843</v>
      </c>
      <c r="E32" s="127"/>
      <c r="F32" s="127">
        <f t="shared" si="2"/>
        <v>881</v>
      </c>
      <c r="G32" s="404">
        <f>SUM(INDEX('Population Data'!$B$8:$H$46,MATCH('Raw - New Builds'!$A32,'Population Data'!$A$8:$A$46,0),MATCH('Raw - New Builds'!F$7,'Population Data'!$B$7:$H$7,0))/10000)</f>
        <v>15.381</v>
      </c>
      <c r="H32" s="405">
        <f t="shared" si="3"/>
        <v>57.278460438202977</v>
      </c>
      <c r="I32" s="127"/>
      <c r="J32" s="127">
        <f t="shared" si="4"/>
        <v>1014</v>
      </c>
      <c r="K32" s="404">
        <f>SUM(INDEX('Population Data'!$B$8:$I$46,MATCH($A32,'Population Data'!$A$8:$A$46,0),MATCH(J$7,'Population Data'!$B$7:$I$7,0))/10000)</f>
        <v>15.112</v>
      </c>
      <c r="L32" s="405">
        <f t="shared" si="5"/>
        <v>67.098994176813122</v>
      </c>
      <c r="M32" s="127"/>
      <c r="N32" s="127">
        <f t="shared" si="6"/>
        <v>755</v>
      </c>
      <c r="O32" s="404">
        <f>SUM(INDEX('Population Data'!$B$8:$I$46,MATCH($A32,'Population Data'!$A$8:$A$46,0),MATCH(J$7,'Population Data'!$B$7:$I$7,0))/10000)</f>
        <v>15.112</v>
      </c>
      <c r="P32" s="405">
        <f t="shared" si="7"/>
        <v>49.960296453149816</v>
      </c>
    </row>
    <row r="33" spans="1:16" ht="10.5">
      <c r="A33" s="124" t="s">
        <v>37</v>
      </c>
      <c r="B33" s="127">
        <f t="shared" si="0"/>
        <v>579</v>
      </c>
      <c r="C33" s="404">
        <f>SUM(INDEX('Population Data'!$B$8:$H$46,MATCH('Raw - New Builds'!$A33,'Population Data'!$A$8:$A$46,0),MATCH('Raw - New Builds'!B$7,'Population Data'!$B$7:$H$7,0))/10000)</f>
        <v>17.939</v>
      </c>
      <c r="D33" s="405">
        <f t="shared" si="1"/>
        <v>32.276046602374713</v>
      </c>
      <c r="E33" s="127"/>
      <c r="F33" s="127">
        <f t="shared" si="2"/>
        <v>725</v>
      </c>
      <c r="G33" s="404">
        <f>SUM(INDEX('Population Data'!$B$8:$H$46,MATCH('Raw - New Builds'!$A33,'Population Data'!$A$8:$A$46,0),MATCH('Raw - New Builds'!F$7,'Population Data'!$B$7:$H$7,0))/10000)</f>
        <v>17.994</v>
      </c>
      <c r="H33" s="405">
        <f t="shared" si="3"/>
        <v>40.291208180504611</v>
      </c>
      <c r="I33" s="127"/>
      <c r="J33" s="127">
        <f t="shared" si="4"/>
        <v>832</v>
      </c>
      <c r="K33" s="404">
        <f>SUM(INDEX('Population Data'!$B$8:$I$46,MATCH($A33,'Population Data'!$A$8:$A$46,0),MATCH(J$7,'Population Data'!$B$7:$I$7,0))/10000)</f>
        <v>18.434000000000001</v>
      </c>
      <c r="L33" s="405">
        <f t="shared" si="5"/>
        <v>45.133991537376588</v>
      </c>
      <c r="M33" s="127"/>
      <c r="N33" s="127">
        <f t="shared" si="6"/>
        <v>1137</v>
      </c>
      <c r="O33" s="404">
        <f>SUM(INDEX('Population Data'!$B$8:$I$46,MATCH($A33,'Population Data'!$A$8:$A$46,0),MATCH(J$7,'Population Data'!$B$7:$I$7,0))/10000)</f>
        <v>18.434000000000001</v>
      </c>
      <c r="P33" s="405">
        <f t="shared" si="7"/>
        <v>61.679505262015837</v>
      </c>
    </row>
    <row r="34" spans="1:16" ht="10.5">
      <c r="A34" s="124" t="s">
        <v>38</v>
      </c>
      <c r="B34" s="127">
        <f t="shared" si="0"/>
        <v>158</v>
      </c>
      <c r="C34" s="404">
        <f>SUM(INDEX('Population Data'!$B$8:$H$46,MATCH('Raw - New Builds'!$A34,'Population Data'!$A$8:$A$46,0),MATCH('Raw - New Builds'!B$7,'Population Data'!$B$7:$H$7,0))/10000)</f>
        <v>11.523999999999999</v>
      </c>
      <c r="D34" s="405">
        <f t="shared" si="1"/>
        <v>13.71051718153419</v>
      </c>
      <c r="E34" s="127"/>
      <c r="F34" s="127">
        <f t="shared" si="2"/>
        <v>328</v>
      </c>
      <c r="G34" s="404">
        <f>SUM(INDEX('Population Data'!$B$8:$H$46,MATCH('Raw - New Builds'!$A34,'Population Data'!$A$8:$A$46,0),MATCH('Raw - New Builds'!F$7,'Population Data'!$B$7:$H$7,0))/10000)</f>
        <v>11.602</v>
      </c>
      <c r="H34" s="405">
        <f t="shared" si="3"/>
        <v>28.270987760730907</v>
      </c>
      <c r="I34" s="127"/>
      <c r="J34" s="127">
        <f t="shared" si="4"/>
        <v>256</v>
      </c>
      <c r="K34" s="404">
        <f>SUM(INDEX('Population Data'!$B$8:$I$46,MATCH($A34,'Population Data'!$A$8:$A$46,0),MATCH(J$7,'Population Data'!$B$7:$I$7,0))/10000)</f>
        <v>11.682</v>
      </c>
      <c r="L34" s="405">
        <f t="shared" si="5"/>
        <v>21.914055812360896</v>
      </c>
      <c r="M34" s="127"/>
      <c r="N34" s="127">
        <f t="shared" si="6"/>
        <v>187</v>
      </c>
      <c r="O34" s="404">
        <f>SUM(INDEX('Population Data'!$B$8:$I$46,MATCH($A34,'Population Data'!$A$8:$A$46,0),MATCH(J$7,'Population Data'!$B$7:$I$7,0))/10000)</f>
        <v>11.682</v>
      </c>
      <c r="P34" s="405">
        <f t="shared" si="7"/>
        <v>16.007532956685498</v>
      </c>
    </row>
    <row r="35" spans="1:16" ht="10.5">
      <c r="A35" s="124" t="s">
        <v>39</v>
      </c>
      <c r="B35" s="127">
        <f t="shared" si="0"/>
        <v>18</v>
      </c>
      <c r="C35" s="404">
        <f>SUM(INDEX('Population Data'!$B$8:$H$46,MATCH('Raw - New Builds'!$A35,'Population Data'!$A$8:$A$46,0),MATCH('Raw - New Builds'!B$7,'Population Data'!$B$7:$H$7,0))/10000)</f>
        <v>2.2869999999999999</v>
      </c>
      <c r="D35" s="405">
        <f t="shared" si="1"/>
        <v>7.8705728027984261</v>
      </c>
      <c r="E35" s="127"/>
      <c r="F35" s="127">
        <f t="shared" si="2"/>
        <v>107</v>
      </c>
      <c r="G35" s="404">
        <f>SUM(INDEX('Population Data'!$B$8:$H$46,MATCH('Raw - New Builds'!$A35,'Population Data'!$A$8:$A$46,0),MATCH('Raw - New Builds'!F$7,'Population Data'!$B$7:$H$7,0))/10000)</f>
        <v>2.294</v>
      </c>
      <c r="H35" s="405">
        <f t="shared" si="3"/>
        <v>46.643417611159549</v>
      </c>
      <c r="I35" s="127"/>
      <c r="J35" s="127">
        <f t="shared" si="4"/>
        <v>77</v>
      </c>
      <c r="K35" s="404">
        <f>SUM(INDEX('Population Data'!$B$8:$I$46,MATCH($A35,'Population Data'!$A$8:$A$46,0),MATCH(J$7,'Population Data'!$B$7:$I$7,0))/10000)</f>
        <v>2.302</v>
      </c>
      <c r="L35" s="405">
        <f t="shared" si="5"/>
        <v>33.449174630755863</v>
      </c>
      <c r="M35" s="127"/>
      <c r="N35" s="127">
        <f t="shared" si="6"/>
        <v>90</v>
      </c>
      <c r="O35" s="404">
        <f>SUM(INDEX('Population Data'!$B$8:$I$46,MATCH($A35,'Population Data'!$A$8:$A$46,0),MATCH(J$7,'Population Data'!$B$7:$I$7,0))/10000)</f>
        <v>2.302</v>
      </c>
      <c r="P35" s="405">
        <f t="shared" si="7"/>
        <v>39.096437880104254</v>
      </c>
    </row>
    <row r="36" spans="1:16" ht="10.5">
      <c r="A36" s="124" t="s">
        <v>40</v>
      </c>
      <c r="B36" s="127">
        <f t="shared" si="0"/>
        <v>117</v>
      </c>
      <c r="C36" s="404">
        <f>SUM(INDEX('Population Data'!$B$8:$H$46,MATCH('Raw - New Builds'!$A36,'Population Data'!$A$8:$A$46,0),MATCH('Raw - New Builds'!B$7,'Population Data'!$B$7:$H$7,0))/10000)</f>
        <v>11.214</v>
      </c>
      <c r="D36" s="405">
        <f t="shared" si="1"/>
        <v>10.433386837881219</v>
      </c>
      <c r="E36" s="127"/>
      <c r="F36" s="127">
        <f t="shared" si="2"/>
        <v>292</v>
      </c>
      <c r="G36" s="404">
        <f>SUM(INDEX('Population Data'!$B$8:$H$46,MATCH('Raw - New Builds'!$A36,'Population Data'!$A$8:$A$46,0),MATCH('Raw - New Builds'!F$7,'Population Data'!$B$7:$H$7,0))/10000)</f>
        <v>11.244999999999999</v>
      </c>
      <c r="H36" s="405">
        <f t="shared" si="3"/>
        <v>25.967096487327701</v>
      </c>
      <c r="I36" s="127"/>
      <c r="J36" s="127">
        <f t="shared" si="4"/>
        <v>409</v>
      </c>
      <c r="K36" s="404">
        <f>SUM(INDEX('Population Data'!$B$8:$I$46,MATCH($A36,'Population Data'!$A$8:$A$46,0),MATCH(J$7,'Population Data'!$B$7:$I$7,0))/10000)</f>
        <v>11.156000000000001</v>
      </c>
      <c r="L36" s="405">
        <f t="shared" si="5"/>
        <v>36.661885980638218</v>
      </c>
      <c r="M36" s="127"/>
      <c r="N36" s="127">
        <f t="shared" si="6"/>
        <v>298</v>
      </c>
      <c r="O36" s="404">
        <f>SUM(INDEX('Population Data'!$B$8:$I$46,MATCH($A36,'Population Data'!$A$8:$A$46,0),MATCH(J$7,'Population Data'!$B$7:$I$7,0))/10000)</f>
        <v>11.156000000000001</v>
      </c>
      <c r="P36" s="405">
        <f t="shared" si="7"/>
        <v>26.712083183936894</v>
      </c>
    </row>
    <row r="37" spans="1:16" ht="10.5">
      <c r="A37" s="124" t="s">
        <v>41</v>
      </c>
      <c r="B37" s="127">
        <f t="shared" si="0"/>
        <v>1067</v>
      </c>
      <c r="C37" s="404">
        <f>SUM(INDEX('Population Data'!$B$8:$H$46,MATCH('Raw - New Builds'!$A37,'Population Data'!$A$8:$A$46,0),MATCH('Raw - New Builds'!B$7,'Population Data'!$B$7:$H$7,0))/10000)</f>
        <v>32.082000000000001</v>
      </c>
      <c r="D37" s="405">
        <f t="shared" si="1"/>
        <v>33.258525029611619</v>
      </c>
      <c r="E37" s="127"/>
      <c r="F37" s="127">
        <f t="shared" si="2"/>
        <v>1783</v>
      </c>
      <c r="G37" s="404">
        <f>SUM(INDEX('Population Data'!$B$8:$H$46,MATCH('Raw - New Builds'!$A37,'Population Data'!$A$8:$A$46,0),MATCH('Raw - New Builds'!F$7,'Population Data'!$B$7:$H$7,0))/10000)</f>
        <v>32.262999999999998</v>
      </c>
      <c r="H37" s="405">
        <f t="shared" si="3"/>
        <v>55.264544524687729</v>
      </c>
      <c r="I37" s="127"/>
      <c r="J37" s="127">
        <f t="shared" si="4"/>
        <v>1798</v>
      </c>
      <c r="K37" s="404">
        <f>SUM(INDEX('Population Data'!$B$8:$I$46,MATCH($A37,'Population Data'!$A$8:$A$46,0),MATCH(J$7,'Population Data'!$B$7:$I$7,0))/10000)</f>
        <v>32.743000000000002</v>
      </c>
      <c r="L37" s="405">
        <f t="shared" si="5"/>
        <v>54.912500381760985</v>
      </c>
      <c r="M37" s="127"/>
      <c r="N37" s="127">
        <f t="shared" si="6"/>
        <v>1299</v>
      </c>
      <c r="O37" s="404">
        <f>SUM(INDEX('Population Data'!$B$8:$I$46,MATCH($A37,'Population Data'!$A$8:$A$46,0),MATCH(J$7,'Population Data'!$B$7:$I$7,0))/10000)</f>
        <v>32.743000000000002</v>
      </c>
      <c r="P37" s="405">
        <f t="shared" si="7"/>
        <v>39.672601777479152</v>
      </c>
    </row>
    <row r="38" spans="1:16" ht="10.5">
      <c r="A38" s="124" t="s">
        <v>42</v>
      </c>
      <c r="B38" s="127">
        <f t="shared" si="0"/>
        <v>53</v>
      </c>
      <c r="C38" s="404">
        <f>SUM(INDEX('Population Data'!$B$8:$H$46,MATCH('Raw - New Builds'!$A38,'Population Data'!$A$8:$A$46,0),MATCH('Raw - New Builds'!B$7,'Population Data'!$B$7:$H$7,0))/10000)</f>
        <v>9.4079999999999995</v>
      </c>
      <c r="D38" s="405">
        <f t="shared" si="1"/>
        <v>5.6335034013605449</v>
      </c>
      <c r="E38" s="127"/>
      <c r="F38" s="127">
        <f t="shared" si="2"/>
        <v>249</v>
      </c>
      <c r="G38" s="404">
        <f>SUM(INDEX('Population Data'!$B$8:$H$46,MATCH('Raw - New Builds'!$A38,'Population Data'!$A$8:$A$46,0),MATCH('Raw - New Builds'!F$7,'Population Data'!$B$7:$H$7,0))/10000)</f>
        <v>9.3469999999999995</v>
      </c>
      <c r="H38" s="405">
        <f t="shared" si="3"/>
        <v>26.639563496308977</v>
      </c>
      <c r="I38" s="127"/>
      <c r="J38" s="127">
        <f t="shared" si="4"/>
        <v>259</v>
      </c>
      <c r="K38" s="404">
        <f>SUM(INDEX('Population Data'!$B$8:$I$46,MATCH($A38,'Population Data'!$A$8:$A$46,0),MATCH(J$7,'Population Data'!$B$7:$I$7,0))/10000)</f>
        <v>9.2530000000000001</v>
      </c>
      <c r="L38" s="405">
        <f t="shared" si="5"/>
        <v>27.990921863179508</v>
      </c>
      <c r="M38" s="127"/>
      <c r="N38" s="127">
        <f t="shared" si="6"/>
        <v>208</v>
      </c>
      <c r="O38" s="404">
        <f>SUM(INDEX('Population Data'!$B$8:$I$46,MATCH($A38,'Population Data'!$A$8:$A$46,0),MATCH(J$7,'Population Data'!$B$7:$I$7,0))/10000)</f>
        <v>9.2530000000000001</v>
      </c>
      <c r="P38" s="405">
        <f t="shared" si="7"/>
        <v>22.479195936453042</v>
      </c>
    </row>
    <row r="39" spans="1:16" ht="10.5">
      <c r="A39" s="124" t="s">
        <v>43</v>
      </c>
      <c r="B39" s="127">
        <f t="shared" si="0"/>
        <v>169</v>
      </c>
      <c r="C39" s="404">
        <f>SUM(INDEX('Population Data'!$B$8:$H$46,MATCH('Raw - New Builds'!$A39,'Population Data'!$A$8:$A$46,0),MATCH('Raw - New Builds'!B$7,'Population Data'!$B$7:$H$7,0))/10000)</f>
        <v>8.8339999999999996</v>
      </c>
      <c r="D39" s="405">
        <f t="shared" si="1"/>
        <v>19.130631650441476</v>
      </c>
      <c r="E39" s="127"/>
      <c r="F39" s="127">
        <f t="shared" si="2"/>
        <v>515</v>
      </c>
      <c r="G39" s="404">
        <f>SUM(INDEX('Population Data'!$B$8:$H$46,MATCH('Raw - New Builds'!$A39,'Population Data'!$A$8:$A$46,0),MATCH('Raw - New Builds'!F$7,'Population Data'!$B$7:$H$7,0))/10000)</f>
        <v>8.7789999999999999</v>
      </c>
      <c r="H39" s="405">
        <f t="shared" si="3"/>
        <v>58.662717849413376</v>
      </c>
      <c r="I39" s="127"/>
      <c r="J39" s="127">
        <f t="shared" si="4"/>
        <v>325</v>
      </c>
      <c r="K39" s="404">
        <f>SUM(INDEX('Population Data'!$B$8:$I$46,MATCH($A39,'Population Data'!$A$8:$A$46,0),MATCH(J$7,'Population Data'!$B$7:$I$7,0))/10000)</f>
        <v>8.827</v>
      </c>
      <c r="L39" s="405">
        <f t="shared" si="5"/>
        <v>36.81885125184094</v>
      </c>
      <c r="M39" s="127"/>
      <c r="N39" s="127">
        <f t="shared" si="6"/>
        <v>154</v>
      </c>
      <c r="O39" s="404">
        <f>SUM(INDEX('Population Data'!$B$8:$I$46,MATCH($A39,'Population Data'!$A$8:$A$46,0),MATCH(J$7,'Population Data'!$B$7:$I$7,0))/10000)</f>
        <v>8.827</v>
      </c>
      <c r="P39" s="405">
        <f t="shared" si="7"/>
        <v>17.446471054718476</v>
      </c>
    </row>
    <row r="40" spans="1:16" s="124" customFormat="1" ht="10.5">
      <c r="A40" s="124" t="s">
        <v>44</v>
      </c>
      <c r="B40" s="127">
        <f t="shared" si="0"/>
        <v>803</v>
      </c>
      <c r="C40" s="404">
        <f>SUM(INDEX('Population Data'!$B$8:$H$46,MATCH('Raw - New Builds'!$A40,'Population Data'!$A$8:$A$46,0),MATCH('Raw - New Builds'!B$7,'Population Data'!$B$7:$H$7,0))/10000)</f>
        <v>18.382000000000001</v>
      </c>
      <c r="D40" s="405">
        <f t="shared" si="1"/>
        <v>43.68403873354368</v>
      </c>
      <c r="E40" s="127"/>
      <c r="F40" s="127">
        <f t="shared" si="2"/>
        <v>759</v>
      </c>
      <c r="G40" s="404">
        <f>SUM(INDEX('Population Data'!$B$8:$H$46,MATCH('Raw - New Builds'!$A40,'Population Data'!$A$8:$A$46,0),MATCH('Raw - New Builds'!F$7,'Population Data'!$B$7:$H$7,0))/10000)</f>
        <v>18.558</v>
      </c>
      <c r="H40" s="405">
        <f t="shared" si="3"/>
        <v>40.898803750404142</v>
      </c>
      <c r="I40" s="127"/>
      <c r="J40" s="127">
        <f t="shared" si="4"/>
        <v>1301</v>
      </c>
      <c r="K40" s="404">
        <f>SUM(INDEX('Population Data'!$B$8:$I$46,MATCH($A40,'Population Data'!$A$8:$A$46,0),MATCH(J$7,'Population Data'!$B$7:$I$7,0))/10000)</f>
        <v>18.172000000000001</v>
      </c>
      <c r="L40" s="405">
        <f t="shared" si="5"/>
        <v>71.593660576711429</v>
      </c>
      <c r="M40" s="127"/>
      <c r="N40" s="127">
        <f t="shared" si="6"/>
        <v>1379</v>
      </c>
      <c r="O40" s="404">
        <f>SUM(INDEX('Population Data'!$B$8:$I$46,MATCH($A40,'Population Data'!$A$8:$A$46,0),MATCH(J$7,'Population Data'!$B$7:$I$7,0))/10000)</f>
        <v>18.172000000000001</v>
      </c>
      <c r="P40" s="405">
        <f t="shared" si="7"/>
        <v>75.885978428351308</v>
      </c>
    </row>
    <row r="41" spans="1:16" ht="10.5">
      <c r="A41" s="124" t="s">
        <v>47</v>
      </c>
      <c r="B41" s="404">
        <f>SUM(B39+B37+B33+B30+B25+B23+B19+B17)</f>
        <v>4656</v>
      </c>
      <c r="C41" s="404">
        <f>SUM(C39+C37+C33+C30+C25+C23+C19+C17)</f>
        <v>184.72</v>
      </c>
      <c r="D41" s="405">
        <f t="shared" ref="D41" si="8">SUM(B41/C41)</f>
        <v>25.205716760502384</v>
      </c>
      <c r="F41" s="404">
        <f>SUM(F39+F37+F33+F30+F25+F23+F19+F17)</f>
        <v>6535</v>
      </c>
      <c r="G41" s="404">
        <f>SUM(G39+G37+G33+G30+G25+G23+G19+G17)</f>
        <v>184.90699999999998</v>
      </c>
      <c r="H41" s="405">
        <f t="shared" si="3"/>
        <v>35.342090888933356</v>
      </c>
      <c r="J41" s="404">
        <f>SUM(J39+J37+J33+J30+J25+J23+J19+J17)</f>
        <v>6855</v>
      </c>
      <c r="K41" s="404">
        <f>SUM(K39+K37+K33+K30+K25+K23+K19+K17)</f>
        <v>184.82700000000003</v>
      </c>
      <c r="L41" s="405">
        <f t="shared" si="5"/>
        <v>37.08873703517343</v>
      </c>
      <c r="N41" s="404">
        <f>SUM(N39+N37+N33+N30+N25+N23+N19+N17)</f>
        <v>6467</v>
      </c>
      <c r="O41" s="404">
        <f>SUM(O39+O37+O33+O30+O25+O23+O19+O17)</f>
        <v>184.82700000000003</v>
      </c>
      <c r="P41" s="405">
        <f t="shared" si="7"/>
        <v>34.989476645728161</v>
      </c>
    </row>
    <row r="42" spans="1:16" ht="10.5">
      <c r="A42" s="124"/>
      <c r="D42" s="202"/>
      <c r="H42" s="202"/>
      <c r="L42" s="202"/>
      <c r="P42" s="202"/>
    </row>
    <row r="43" spans="1:16" ht="12.5">
      <c r="A43" s="124" t="s">
        <v>543</v>
      </c>
      <c r="B43" s="385" cm="1">
        <f t="array" ref="B43">SUM(SUMIFS(B$9:B$40,$A$9:$A$40,{"East Renfrewshire","East Dunbartonshire","Aberdeenshire","Edinburgh, City of","Perth and Kinross","Aberdeen City","Shetland Islands","Orkney Islands"}))</f>
        <v>4605</v>
      </c>
      <c r="C43" s="385" cm="1">
        <f t="array" ref="C43">SUM(SUMIFS(C$9:C$40,$A$9:$A$40,{"East Renfrewshire","East Dunbartonshire","Aberdeenshire","Edinburgh, City of","Perth and Kinross","Aberdeen City","Shetland Islands","Orkney Islands"}))</f>
        <v>141.94500000000002</v>
      </c>
      <c r="D43" s="389">
        <f>SUM(B43/C43)</f>
        <v>32.442143083588711</v>
      </c>
      <c r="E43" s="9"/>
      <c r="F43" s="385" cm="1">
        <f t="array" ref="F43">SUM(SUMIFS(F$9:F$40,$A$9:$A$40,{"East Renfrewshire","East Dunbartonshire","Aberdeenshire","Edinburgh, City of","Perth and Kinross","Aberdeen City","Shetland Islands","Orkney Islands"}))</f>
        <v>6579</v>
      </c>
      <c r="G43" s="385" cm="1">
        <f t="array" ref="G43">SUM(SUMIFS(G$9:G$40,$A$9:$A$40,{"East Renfrewshire","East Dunbartonshire","Aberdeenshire","Edinburgh, City of","Perth and Kinross","Aberdeen City","Shetland Islands","Orkney Islands"}))</f>
        <v>142.136</v>
      </c>
      <c r="H43" s="389">
        <f>SUM(F43/G43)</f>
        <v>46.286655034614739</v>
      </c>
      <c r="I43" s="9"/>
      <c r="J43" s="385" cm="1">
        <f t="array" ref="J43">SUM(SUMIFS(J$9:J$40,$A$9:$A$40,{"East Renfrewshire","East Dunbartonshire","Aberdeenshire","Edinburgh, City of","Perth and Kinross","Aberdeen City","Shetland Islands","Orkney Islands"}))</f>
        <v>7194</v>
      </c>
      <c r="K43" s="385" cm="1">
        <f t="array" ref="K43">SUM(SUMIFS(K$9:K$40,$A$9:$A$40,{"East Renfrewshire","East Dunbartonshire","Aberdeenshire","Edinburgh, City of","Perth and Kinross","Aberdeen City","Shetland Islands","Orkney Islands"}))</f>
        <v>140.523</v>
      </c>
      <c r="L43" s="389">
        <f>SUM(J43/K43)</f>
        <v>51.194466386285519</v>
      </c>
      <c r="M43" s="9"/>
      <c r="N43" s="385" cm="1">
        <f t="array" ref="N43">SUM(SUMIFS(N$9:N$40,$A$9:$A$40,{"East Renfrewshire","East Dunbartonshire","Aberdeenshire","Edinburgh, City of","Perth and Kinross","Aberdeen City","Shetland Islands","Orkney Islands"}))</f>
        <v>5220</v>
      </c>
      <c r="O43" s="385" cm="1">
        <f t="array" ref="O43">SUM(SUMIFS(O$9:O$40,$A$9:$A$40,{"East Renfrewshire","East Dunbartonshire","Aberdeenshire","Edinburgh, City of","Perth and Kinross","Aberdeen City","Shetland Islands","Orkney Islands"}))</f>
        <v>140.523</v>
      </c>
      <c r="P43" s="389">
        <f>SUM(N43/O43)</f>
        <v>37.146943916654216</v>
      </c>
    </row>
    <row r="44" spans="1:16" ht="12.5">
      <c r="A44" s="124" t="s">
        <v>544</v>
      </c>
      <c r="B44" s="385" cm="1">
        <f t="array" ref="B44">SUM(SUMIFS(B$9:B$40,$A$9:$A$40,{"Moray","Stirling","East Lothian","Angus","Scottish Borders","Highland","Argyll and Bute","Midlothian"}))</f>
        <v>3086</v>
      </c>
      <c r="C44" s="385" cm="1">
        <f t="array" ref="C44">SUM(SUMIFS(C$9:C$40,$A$9:$A$40,{"Moray","Stirling","East Lothian","Angus","Scottish Borders","Highland","Argyll and Bute","Midlothian"}))</f>
        <v>94.27600000000001</v>
      </c>
      <c r="D44" s="389">
        <f t="shared" ref="D44:D46" si="9">SUM(B44/C44)</f>
        <v>32.733675590818443</v>
      </c>
      <c r="E44" s="9"/>
      <c r="F44" s="385" cm="1">
        <f t="array" ref="F44">SUM(SUMIFS(F$9:F$40,$A$9:$A$40,{"Moray","Stirling","East Lothian","Angus","Scottish Borders","Highland","Argyll and Bute","Midlothian"}))</f>
        <v>4403</v>
      </c>
      <c r="G44" s="385" cm="1">
        <f t="array" ref="G44">SUM(SUMIFS(G$9:G$40,$A$9:$A$40,{"Moray","Stirling","East Lothian","Angus","Scottish Borders","Highland","Argyll and Bute","Midlothian"}))</f>
        <v>95.055999999999997</v>
      </c>
      <c r="H44" s="389">
        <f t="shared" ref="H44:H46" si="10">SUM(F44/G44)</f>
        <v>46.320063962295912</v>
      </c>
      <c r="I44" s="9"/>
      <c r="J44" s="385" cm="1">
        <f t="array" ref="J44">SUM(SUMIFS(J$9:J$40,$A$9:$A$40,{"Moray","Stirling","East Lothian","Angus","Scottish Borders","Highland","Argyll and Bute","Midlothian"}))</f>
        <v>4618</v>
      </c>
      <c r="K44" s="385" cm="1">
        <f t="array" ref="K44">SUM(SUMIFS(K$9:K$40,$A$9:$A$40,{"Moray","Stirling","East Lothian","Angus","Scottish Borders","Highland","Argyll and Bute","Midlothian"}))</f>
        <v>95.140000000000015</v>
      </c>
      <c r="L44" s="389">
        <f t="shared" ref="L44:L46" si="11">SUM(J44/K44)</f>
        <v>48.538995165019962</v>
      </c>
      <c r="M44" s="9"/>
      <c r="N44" s="385" cm="1">
        <f t="array" ref="N44">SUM(SUMIFS(N$9:N$40,$A$9:$A$40,{"Moray","Stirling","East Lothian","Angus","Scottish Borders","Highland","Argyll and Bute","Midlothian"}))</f>
        <v>4541</v>
      </c>
      <c r="O44" s="385" cm="1">
        <f t="array" ref="O44">SUM(SUMIFS(O$9:O$40,$A$9:$A$40,{"Moray","Stirling","East Lothian","Angus","Scottish Borders","Highland","Argyll and Bute","Midlothian"}))</f>
        <v>95.140000000000015</v>
      </c>
      <c r="P44" s="389">
        <f t="shared" ref="P44:P46" si="12">SUM(N44/O44)</f>
        <v>47.729661551397932</v>
      </c>
    </row>
    <row r="45" spans="1:16" ht="12.5">
      <c r="A45" s="124" t="s">
        <v>545</v>
      </c>
      <c r="B45" s="385" cm="1">
        <f t="array" ref="B45">SUM(SUMIFS(B$9:B$40,$A$9:$A$40,{"Falkirk","Dumfries and Galloway","Fife","South Ayrshire","West Lothian","South Lanarkshire","Renfrewshire","Clackmannanshire"}))</f>
        <v>4293</v>
      </c>
      <c r="C45" s="385" cm="1">
        <f t="array" ref="C45">SUM(SUMIFS(C$9:C$40,$A$9:$A$40,{"Falkirk","Dumfries and Galloway","Fife","South Ayrshire","West Lothian","South Lanarkshire","Renfrewshire","Clackmannanshire"}))</f>
        <v>153.04399999999998</v>
      </c>
      <c r="D45" s="389">
        <f t="shared" si="9"/>
        <v>28.050756645147803</v>
      </c>
      <c r="E45" s="9"/>
      <c r="F45" s="385" cm="1">
        <f t="array" ref="F45">SUM(SUMIFS(F$9:F$40,$A$9:$A$40,{"Falkirk","Dumfries and Galloway","Fife","South Ayrshire","West Lothian","South Lanarkshire","Renfrewshire","Clackmannanshire"}))</f>
        <v>5341</v>
      </c>
      <c r="G45" s="385" cm="1">
        <f t="array" ref="G45">SUM(SUMIFS(G$9:G$40,$A$9:$A$40,{"Falkirk","Dumfries and Galloway","Fife","South Ayrshire","West Lothian","South Lanarkshire","Renfrewshire","Clackmannanshire"}))</f>
        <v>153.636</v>
      </c>
      <c r="H45" s="389">
        <f t="shared" si="10"/>
        <v>34.763987607071257</v>
      </c>
      <c r="I45" s="9"/>
      <c r="J45" s="385" cm="1">
        <f t="array" ref="J45">SUM(SUMIFS(J$9:J$40,$A$9:$A$40,{"Falkirk","Dumfries and Galloway","Fife","South Ayrshire","West Lothian","South Lanarkshire","Renfrewshire","Clackmannanshire"}))</f>
        <v>6818</v>
      </c>
      <c r="K45" s="385" cm="1">
        <f t="array" ref="K45">SUM(SUMIFS(K$9:K$40,$A$9:$A$40,{"Falkirk","Dumfries and Galloway","Fife","South Ayrshire","West Lothian","South Lanarkshire","Renfrewshire","Clackmannanshire"}))</f>
        <v>153.23600000000002</v>
      </c>
      <c r="L45" s="389">
        <f t="shared" si="11"/>
        <v>44.493461066590093</v>
      </c>
      <c r="M45" s="9"/>
      <c r="N45" s="385" cm="1">
        <f t="array" ref="N45">SUM(SUMIFS(N$9:N$40,$A$9:$A$40,{"Falkirk","Dumfries and Galloway","Fife","South Ayrshire","West Lothian","South Lanarkshire","Renfrewshire","Clackmannanshire"}))</f>
        <v>6191</v>
      </c>
      <c r="O45" s="385" cm="1">
        <f t="array" ref="O45">SUM(SUMIFS(O$9:O$40,$A$9:$A$40,{"Falkirk","Dumfries and Galloway","Fife","South Ayrshire","West Lothian","South Lanarkshire","Renfrewshire","Clackmannanshire"}))</f>
        <v>153.23600000000002</v>
      </c>
      <c r="P45" s="389">
        <f t="shared" si="12"/>
        <v>40.401733274165338</v>
      </c>
    </row>
    <row r="46" spans="1:16" ht="12.5">
      <c r="A46" s="124" t="s">
        <v>546</v>
      </c>
      <c r="B46" s="385" cm="1">
        <f t="array" ref="B46">SUM(SUMIFS(B$9:B$40,$A$9:$A$40,{"Na h-Eileanan Siar","Dundee City","East Ayrshire","North Ayrshire","North Lanarkshire","Inverclyde","West Dunbartonshire","Glasgow City"}))</f>
        <v>3719</v>
      </c>
      <c r="C46" s="385" cm="1">
        <f t="array" ref="C46">SUM(SUMIFS(C$9:C$40,$A$9:$A$40,{"Na h-Eileanan Siar","Dundee City","East Ayrshire","North Ayrshire","North Lanarkshire","Inverclyde","West Dunbartonshire","Glasgow City"}))</f>
        <v>157.33500000000001</v>
      </c>
      <c r="D46" s="389">
        <f t="shared" si="9"/>
        <v>23.637461467569199</v>
      </c>
      <c r="E46" s="9"/>
      <c r="F46" s="385" cm="1">
        <f t="array" ref="F46">SUM(SUMIFS(F$9:F$40,$A$9:$A$40,{"Na h-Eileanan Siar","Dundee City","East Ayrshire","North Ayrshire","North Lanarkshire","Inverclyde","West Dunbartonshire","Glasgow City"}))</f>
        <v>4831</v>
      </c>
      <c r="G46" s="385" cm="1">
        <f t="array" ref="G46">SUM(SUMIFS(G$9:G$40,$A$9:$A$40,{"Na h-Eileanan Siar","Dundee City","East Ayrshire","North Ayrshire","North Lanarkshire","Inverclyde","West Dunbartonshire","Glasgow City"}))</f>
        <v>157.16200000000001</v>
      </c>
      <c r="H46" s="389">
        <f t="shared" si="10"/>
        <v>30.738982705743119</v>
      </c>
      <c r="I46" s="9"/>
      <c r="J46" s="385" cm="1">
        <f t="array" ref="J46">SUM(SUMIFS(J$9:J$40,$A$9:$A$40,{"Na h-Eileanan Siar","Dundee City","East Ayrshire","North Ayrshire","North Lanarkshire","Inverclyde","West Dunbartonshire","Glasgow City"}))</f>
        <v>5063</v>
      </c>
      <c r="K46" s="385" cm="1">
        <f t="array" ref="K46">SUM(SUMIFS(K$9:K$40,$A$9:$A$40,{"Na h-Eileanan Siar","Dundee City","East Ayrshire","North Ayrshire","North Lanarkshire","Inverclyde","West Dunbartonshire","Glasgow City"}))</f>
        <v>155.87100000000001</v>
      </c>
      <c r="L46" s="389">
        <f t="shared" si="11"/>
        <v>32.481988310846788</v>
      </c>
      <c r="M46" s="9"/>
      <c r="N46" s="385" cm="1">
        <f t="array" ref="N46">SUM(SUMIFS(N$9:N$40,$A$9:$A$40,{"Na h-Eileanan Siar","Dundee City","East Ayrshire","North Ayrshire","North Lanarkshire","Inverclyde","West Dunbartonshire","Glasgow City"}))</f>
        <v>5040</v>
      </c>
      <c r="O46" s="385" cm="1">
        <f t="array" ref="O46">SUM(SUMIFS(O$9:O$40,$A$9:$A$40,{"Na h-Eileanan Siar","Dundee City","East Ayrshire","North Ayrshire","North Lanarkshire","Inverclyde","West Dunbartonshire","Glasgow City"}))</f>
        <v>155.87100000000001</v>
      </c>
      <c r="P46" s="389">
        <f t="shared" si="12"/>
        <v>32.334430394364567</v>
      </c>
    </row>
    <row r="47" spans="1:16" ht="10.5">
      <c r="A47" s="124"/>
      <c r="D47" s="202"/>
      <c r="H47" s="202"/>
      <c r="L47" s="202"/>
      <c r="P47" s="202"/>
    </row>
    <row r="48" spans="1:16" ht="13">
      <c r="A48" s="126" t="s">
        <v>301</v>
      </c>
    </row>
    <row r="49" spans="1:5" ht="12.5">
      <c r="A49" s="125" t="s">
        <v>300</v>
      </c>
    </row>
    <row r="50" spans="1:5" ht="10.5">
      <c r="A50" s="124"/>
    </row>
    <row r="51" spans="1:5" ht="10.5">
      <c r="A51" s="124"/>
    </row>
    <row r="52" spans="1:5" ht="10.5">
      <c r="A52" s="124"/>
    </row>
    <row r="53" spans="1:5" ht="15.5">
      <c r="A53" s="455" t="s">
        <v>5</v>
      </c>
      <c r="B53" s="456">
        <v>2020</v>
      </c>
      <c r="C53" s="456">
        <v>2021</v>
      </c>
      <c r="D53" s="456">
        <v>2022</v>
      </c>
      <c r="E53" s="456">
        <v>2023</v>
      </c>
    </row>
    <row r="54" spans="1:5" ht="15.5">
      <c r="A54" s="457" t="s">
        <v>302</v>
      </c>
      <c r="B54" s="458">
        <v>15703</v>
      </c>
      <c r="C54" s="458">
        <v>21154</v>
      </c>
      <c r="D54" s="458">
        <v>23693</v>
      </c>
      <c r="E54" s="458">
        <v>20992</v>
      </c>
    </row>
    <row r="55" spans="1:5" ht="15.5">
      <c r="A55" s="124" t="s">
        <v>14</v>
      </c>
      <c r="B55" s="458">
        <v>572</v>
      </c>
      <c r="C55" s="458">
        <v>1368</v>
      </c>
      <c r="D55" s="458">
        <v>1790</v>
      </c>
      <c r="E55" s="458">
        <v>698</v>
      </c>
    </row>
    <row r="56" spans="1:5" ht="15.5">
      <c r="A56" s="457" t="s">
        <v>15</v>
      </c>
      <c r="B56" s="458">
        <v>728</v>
      </c>
      <c r="C56" s="458">
        <v>1070</v>
      </c>
      <c r="D56" s="458">
        <v>1032</v>
      </c>
      <c r="E56" s="458">
        <v>952</v>
      </c>
    </row>
    <row r="57" spans="1:5" ht="15.5">
      <c r="A57" s="457" t="s">
        <v>16</v>
      </c>
      <c r="B57" s="458">
        <v>218</v>
      </c>
      <c r="C57" s="458">
        <v>312</v>
      </c>
      <c r="D57" s="458">
        <v>418</v>
      </c>
      <c r="E57" s="458">
        <v>253</v>
      </c>
    </row>
    <row r="58" spans="1:5" ht="15.5">
      <c r="A58" s="457" t="s">
        <v>739</v>
      </c>
      <c r="B58" s="458">
        <v>205</v>
      </c>
      <c r="C58" s="458">
        <v>154</v>
      </c>
      <c r="D58" s="458">
        <v>160</v>
      </c>
      <c r="E58" s="458">
        <v>445</v>
      </c>
    </row>
    <row r="59" spans="1:5" ht="15.5">
      <c r="A59" s="457" t="s">
        <v>18</v>
      </c>
      <c r="B59" s="458">
        <v>86</v>
      </c>
      <c r="C59" s="458">
        <v>210</v>
      </c>
      <c r="D59" s="458">
        <v>128</v>
      </c>
      <c r="E59" s="458">
        <v>100</v>
      </c>
    </row>
    <row r="60" spans="1:5" ht="15.5">
      <c r="A60" s="457" t="s">
        <v>740</v>
      </c>
      <c r="B60" s="458">
        <v>156</v>
      </c>
      <c r="C60" s="458">
        <v>177</v>
      </c>
      <c r="D60" s="458">
        <v>497</v>
      </c>
      <c r="E60" s="458">
        <v>223</v>
      </c>
    </row>
    <row r="61" spans="1:5" ht="15.5">
      <c r="A61" s="457" t="s">
        <v>20</v>
      </c>
      <c r="B61" s="458">
        <v>303</v>
      </c>
      <c r="C61" s="458">
        <v>527</v>
      </c>
      <c r="D61" s="458">
        <v>501</v>
      </c>
      <c r="E61" s="458">
        <v>640</v>
      </c>
    </row>
    <row r="62" spans="1:5" ht="15.5">
      <c r="A62" s="457" t="s">
        <v>21</v>
      </c>
      <c r="B62" s="458">
        <v>260</v>
      </c>
      <c r="C62" s="458">
        <v>441</v>
      </c>
      <c r="D62" s="458">
        <v>396</v>
      </c>
      <c r="E62" s="458">
        <v>362</v>
      </c>
    </row>
    <row r="63" spans="1:5" ht="15.5">
      <c r="A63" s="457" t="s">
        <v>22</v>
      </c>
      <c r="B63" s="458">
        <v>204</v>
      </c>
      <c r="C63" s="458">
        <v>287</v>
      </c>
      <c r="D63" s="458">
        <v>146</v>
      </c>
      <c r="E63" s="458">
        <v>174</v>
      </c>
    </row>
    <row r="64" spans="1:5" ht="15.5">
      <c r="A64" s="457" t="s">
        <v>23</v>
      </c>
      <c r="B64" s="458">
        <v>687</v>
      </c>
      <c r="C64" s="458">
        <v>704</v>
      </c>
      <c r="D64" s="458">
        <v>896</v>
      </c>
      <c r="E64" s="458">
        <v>835</v>
      </c>
    </row>
    <row r="65" spans="1:5" ht="15.5">
      <c r="A65" s="457" t="s">
        <v>24</v>
      </c>
      <c r="B65" s="458">
        <v>171</v>
      </c>
      <c r="C65" s="458">
        <v>426</v>
      </c>
      <c r="D65" s="458">
        <v>561</v>
      </c>
      <c r="E65" s="458">
        <v>475</v>
      </c>
    </row>
    <row r="66" spans="1:5" ht="15.5">
      <c r="A66" s="457" t="s">
        <v>189</v>
      </c>
      <c r="B66" s="458">
        <v>2045</v>
      </c>
      <c r="C66" s="458">
        <v>2344</v>
      </c>
      <c r="D66" s="458">
        <v>2492</v>
      </c>
      <c r="E66" s="458">
        <v>1980</v>
      </c>
    </row>
    <row r="67" spans="1:5" ht="15.5">
      <c r="A67" s="457" t="s">
        <v>25</v>
      </c>
      <c r="B67" s="458">
        <v>359</v>
      </c>
      <c r="C67" s="458">
        <v>374</v>
      </c>
      <c r="D67" s="458">
        <v>364</v>
      </c>
      <c r="E67" s="458">
        <v>347</v>
      </c>
    </row>
    <row r="68" spans="1:5" ht="15.5">
      <c r="A68" s="457" t="s">
        <v>26</v>
      </c>
      <c r="B68" s="458">
        <v>1126</v>
      </c>
      <c r="C68" s="458">
        <v>1021</v>
      </c>
      <c r="D68" s="458">
        <v>1489</v>
      </c>
      <c r="E68" s="458">
        <v>1408</v>
      </c>
    </row>
    <row r="69" spans="1:5" ht="15.5">
      <c r="A69" s="457" t="s">
        <v>27</v>
      </c>
      <c r="B69" s="458">
        <v>1741</v>
      </c>
      <c r="C69" s="458">
        <v>1547</v>
      </c>
      <c r="D69" s="458">
        <v>1960</v>
      </c>
      <c r="E69" s="458">
        <v>2134</v>
      </c>
    </row>
    <row r="70" spans="1:5" ht="15.5">
      <c r="A70" s="457" t="s">
        <v>28</v>
      </c>
      <c r="B70" s="458">
        <v>921</v>
      </c>
      <c r="C70" s="458">
        <v>1413</v>
      </c>
      <c r="D70" s="458">
        <v>1367</v>
      </c>
      <c r="E70" s="458">
        <v>1096</v>
      </c>
    </row>
    <row r="71" spans="1:5" ht="15.5">
      <c r="A71" s="457" t="s">
        <v>29</v>
      </c>
      <c r="B71" s="458">
        <v>101</v>
      </c>
      <c r="C71" s="458">
        <v>447</v>
      </c>
      <c r="D71" s="458">
        <v>304</v>
      </c>
      <c r="E71" s="458">
        <v>256</v>
      </c>
    </row>
    <row r="72" spans="1:5" ht="15.5">
      <c r="A72" s="457" t="s">
        <v>30</v>
      </c>
      <c r="B72" s="458">
        <v>529</v>
      </c>
      <c r="C72" s="458">
        <v>847</v>
      </c>
      <c r="D72" s="458">
        <v>832</v>
      </c>
      <c r="E72" s="458">
        <v>1170</v>
      </c>
    </row>
    <row r="73" spans="1:5" ht="15.5">
      <c r="A73" s="457" t="s">
        <v>31</v>
      </c>
      <c r="B73" s="458">
        <v>315</v>
      </c>
      <c r="C73" s="458">
        <v>396</v>
      </c>
      <c r="D73" s="458">
        <v>430</v>
      </c>
      <c r="E73" s="458">
        <v>347</v>
      </c>
    </row>
    <row r="74" spans="1:5" ht="15.5">
      <c r="A74" s="457" t="s">
        <v>32</v>
      </c>
      <c r="B74" s="458">
        <v>116</v>
      </c>
      <c r="C74" s="458">
        <v>71</v>
      </c>
      <c r="D74" s="458">
        <v>168</v>
      </c>
      <c r="E74" s="458">
        <v>154</v>
      </c>
    </row>
    <row r="75" spans="1:5" ht="15.5">
      <c r="A75" s="457" t="s">
        <v>33</v>
      </c>
      <c r="B75" s="458">
        <v>405</v>
      </c>
      <c r="C75" s="458">
        <v>478</v>
      </c>
      <c r="D75" s="458">
        <v>480</v>
      </c>
      <c r="E75" s="458">
        <v>502</v>
      </c>
    </row>
    <row r="76" spans="1:5" ht="15.5">
      <c r="A76" s="457" t="s">
        <v>34</v>
      </c>
      <c r="B76" s="458">
        <v>624</v>
      </c>
      <c r="C76" s="458">
        <v>805</v>
      </c>
      <c r="D76" s="458">
        <v>929</v>
      </c>
      <c r="E76" s="458">
        <v>838</v>
      </c>
    </row>
    <row r="77" spans="1:5" ht="15.5">
      <c r="A77" s="457" t="s">
        <v>742</v>
      </c>
      <c r="B77" s="458">
        <v>77</v>
      </c>
      <c r="C77" s="458">
        <v>96</v>
      </c>
      <c r="D77" s="458">
        <v>82</v>
      </c>
      <c r="E77" s="458">
        <v>96</v>
      </c>
    </row>
    <row r="78" spans="1:5" ht="15.5">
      <c r="A78" s="457" t="s">
        <v>741</v>
      </c>
      <c r="B78" s="458">
        <v>790</v>
      </c>
      <c r="C78" s="458">
        <v>881</v>
      </c>
      <c r="D78" s="458">
        <v>1014</v>
      </c>
      <c r="E78" s="458">
        <v>755</v>
      </c>
    </row>
    <row r="79" spans="1:5" ht="15.5">
      <c r="A79" s="457" t="s">
        <v>37</v>
      </c>
      <c r="B79" s="458">
        <v>579</v>
      </c>
      <c r="C79" s="458">
        <v>725</v>
      </c>
      <c r="D79" s="458">
        <v>832</v>
      </c>
      <c r="E79" s="458">
        <v>1137</v>
      </c>
    </row>
    <row r="80" spans="1:5" ht="15.5">
      <c r="A80" s="457" t="s">
        <v>38</v>
      </c>
      <c r="B80" s="458">
        <v>158</v>
      </c>
      <c r="C80" s="458">
        <v>328</v>
      </c>
      <c r="D80" s="458">
        <v>256</v>
      </c>
      <c r="E80" s="458">
        <v>187</v>
      </c>
    </row>
    <row r="81" spans="1:5" ht="15.5">
      <c r="A81" s="457" t="s">
        <v>743</v>
      </c>
      <c r="B81" s="458">
        <v>18</v>
      </c>
      <c r="C81" s="458">
        <v>107</v>
      </c>
      <c r="D81" s="458">
        <v>77</v>
      </c>
      <c r="E81" s="458">
        <v>90</v>
      </c>
    </row>
    <row r="82" spans="1:5" ht="15.5">
      <c r="A82" s="457" t="s">
        <v>40</v>
      </c>
      <c r="B82" s="458">
        <v>117</v>
      </c>
      <c r="C82" s="458">
        <v>292</v>
      </c>
      <c r="D82" s="458">
        <v>409</v>
      </c>
      <c r="E82" s="458">
        <v>298</v>
      </c>
    </row>
    <row r="83" spans="1:5" ht="15.5">
      <c r="A83" s="457" t="s">
        <v>41</v>
      </c>
      <c r="B83" s="458">
        <v>1067</v>
      </c>
      <c r="C83" s="458">
        <v>1783</v>
      </c>
      <c r="D83" s="458">
        <v>1798</v>
      </c>
      <c r="E83" s="458">
        <v>1299</v>
      </c>
    </row>
    <row r="84" spans="1:5" ht="15.5">
      <c r="A84" s="457" t="s">
        <v>42</v>
      </c>
      <c r="B84" s="458">
        <v>53</v>
      </c>
      <c r="C84" s="458">
        <v>249</v>
      </c>
      <c r="D84" s="458">
        <v>259</v>
      </c>
      <c r="E84" s="458">
        <v>208</v>
      </c>
    </row>
    <row r="85" spans="1:5" ht="15.5">
      <c r="A85" s="457" t="s">
        <v>43</v>
      </c>
      <c r="B85" s="458">
        <v>169</v>
      </c>
      <c r="C85" s="458">
        <v>515</v>
      </c>
      <c r="D85" s="458">
        <v>325</v>
      </c>
      <c r="E85" s="458">
        <v>154</v>
      </c>
    </row>
    <row r="86" spans="1:5" ht="15.5">
      <c r="A86" s="459" t="s">
        <v>44</v>
      </c>
      <c r="B86" s="458">
        <v>803</v>
      </c>
      <c r="C86" s="458">
        <v>759</v>
      </c>
      <c r="D86" s="458">
        <v>1301</v>
      </c>
      <c r="E86" s="458">
        <v>1379</v>
      </c>
    </row>
  </sheetData>
  <pageMargins left="0.75" right="0.75" top="1" bottom="1" header="0.5" footer="0.5"/>
  <pageSetup paperSize="9" orientation="portrait"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B2:L24"/>
  <sheetViews>
    <sheetView zoomScale="90" zoomScaleNormal="90" workbookViewId="0">
      <selection activeCell="F2" sqref="F2:G2"/>
    </sheetView>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153</v>
      </c>
      <c r="F2" s="595" t="s">
        <v>507</v>
      </c>
      <c r="G2" s="596"/>
    </row>
    <row r="3" spans="2:12" ht="13">
      <c r="B3" s="286" t="s">
        <v>49</v>
      </c>
      <c r="C3" s="288" t="s">
        <v>154</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331">
        <v>44440</v>
      </c>
      <c r="E6" s="331">
        <v>44805</v>
      </c>
      <c r="F6" s="331">
        <v>45170</v>
      </c>
      <c r="G6" s="331">
        <v>45536</v>
      </c>
      <c r="H6" s="294" t="s">
        <v>768</v>
      </c>
      <c r="I6" s="295" t="s">
        <v>53</v>
      </c>
      <c r="J6" s="295" t="s">
        <v>54</v>
      </c>
      <c r="K6" s="295" t="s">
        <v>56</v>
      </c>
      <c r="L6" s="295" t="s">
        <v>57</v>
      </c>
    </row>
    <row r="7" spans="2:12" ht="19.5" customHeight="1">
      <c r="B7" s="296" t="s">
        <v>249</v>
      </c>
      <c r="C7" s="296" t="s">
        <v>22</v>
      </c>
      <c r="D7" s="297">
        <f>VLOOKUP($C7,'Raw - Claimant Count'!$A:$Q,4,FALSE)</f>
        <v>2.9</v>
      </c>
      <c r="E7" s="297">
        <f>VLOOKUP($C7,'Raw - Claimant Count'!$A:$Q,8,FALSE)</f>
        <v>2</v>
      </c>
      <c r="F7" s="297">
        <f>VLOOKUP($C7,'Raw - Claimant Count'!$A:$Q,12,FALSE)</f>
        <v>1.9</v>
      </c>
      <c r="G7" s="297">
        <f>VLOOKUP($C7,'Raw - Claimant Count'!$A:$Q,16,FALSE)</f>
        <v>2.1</v>
      </c>
      <c r="H7" s="318">
        <f>VLOOKUP(C7,'Raw - Claimant Count'!A:Q,14,FALSE)</f>
        <v>1325</v>
      </c>
      <c r="I7" s="299">
        <f>SUM(G7-D7)</f>
        <v>-0.79999999999999982</v>
      </c>
      <c r="J7" s="300">
        <f>SUM(VLOOKUP(C7,'Raw - Claimant Count'!A:Q,14,FALSE)-VLOOKUP(C7,'Raw - Claimant Count'!A:Q,2,FALSE))</f>
        <v>-560</v>
      </c>
      <c r="K7" s="301">
        <f t="shared" ref="K7:K14" si="0">IF(IF($K$5="LGBF Family Group",SUM(G$17-G7),IF($K$5="Glasgow City Region",SUM(G$18-G7),IF($K$5="Scotland",SUM(G$19-G7),IF($K$5="United Kingdom",SUM(G$20-G7),SUM(G$16-G7)))))&gt;0,"",IF($K$5="LGBF Family Group",SUM(G$17-G7),IF($K$5="Glasgow City Region",SUM(G$18-G7),IF($K$5="Scotland",SUM(G$19-G7),IF($K$5="United Kingdom",SUM(G$20-G7),SUM(G$16-G7))))))</f>
        <v>-0.60000000000000009</v>
      </c>
      <c r="L7" s="302">
        <f>IF(K7="","",IF($K$5="LGBF Family Group",SUM(MROUND(SUM(SUM(VLOOKUP(C$17,'Raw - Claimant Count'!A:Q,16,FALSE)*VLOOKUP(C7,'Raw - Claimant Count'!A:Q,15,FALSE))/100),100)-MROUND(SUM(SUM(VLOOKUP(C7,'Raw - Claimant Count'!A:Q,16,FALSE)*VLOOKUP(C7,'Raw - Claimant Count'!A:Q,15,FALSE))/100),100)),IF($K$5="Glasgow City Region",SUM(MROUND(SUM(SUM(VLOOKUP(C$18,'Raw - Claimant Count'!A:Q,16,FALSE)*VLOOKUP(C7,'Raw - Claimant Count'!A:Q,15,FALSE))/100),100)-MROUND(SUM(SUM(VLOOKUP(C7,'Raw - Claimant Count'!A:Q,16,FALSE)*VLOOKUP(C7,'Raw - Claimant Count'!A:Q,15,FALSE))/100),100)),IF($K$5="Scotland",SUM(MROUND(SUM(SUM(VLOOKUP(C$19,'Raw - Claimant Count'!A:Q,16,FALSE)*VLOOKUP(C7,'Raw - Claimant Count'!A:Q,15,FALSE))/100),100)-MROUND(SUM(SUM(VLOOKUP(C7,'Raw - Claimant Count'!A:Q,16,FALSE)*VLOOKUP(C7,'Raw - Claimant Count'!A:Q,15,FALSE))/100),100)),IF($K$5="United Kingdom",SUM(MROUND(SUM(SUM(VLOOKUP(C$20,'Raw - Claimant Count'!A:Q,16,FALSE)*VLOOKUP(C7,'Raw - Claimant Count'!A:Q,15,FALSE))/100),100)-MROUND(SUM(SUM(VLOOKUP(C7,'Raw - Claimant Count'!A:Q,16,FALSE)*VLOOKUP(C7,'Raw - Claimant Count'!A:Q,15,FALSE))/100),100)),SUM(MROUND(SUM(SUM(VLOOKUP(C$16,'Raw - Claimant Count'!A:Q,16,FALSE)*VLOOKUP(C7,'Raw - Claimant Count'!A:Q,15,FALSE))/100),100)-MROUND(SUM(SUM(VLOOKUP(C7,'Raw - Claimant Count'!A:Q,16,FALSE)*VLOOKUP(C7,'Raw - Claimant Count'!A:Q,15,FALSE))/100),100)))))))</f>
        <v>-400</v>
      </c>
    </row>
    <row r="8" spans="2:12" ht="19.5" customHeight="1">
      <c r="B8" s="296" t="s">
        <v>249</v>
      </c>
      <c r="C8" s="296" t="s">
        <v>24</v>
      </c>
      <c r="D8" s="297">
        <f>VLOOKUP($C8,'Raw - Claimant Count'!$A:$Q,4,FALSE)</f>
        <v>2.5</v>
      </c>
      <c r="E8" s="297">
        <f>VLOOKUP($C8,'Raw - Claimant Count'!$A:$Q,8,FALSE)</f>
        <v>1.7</v>
      </c>
      <c r="F8" s="297">
        <f>VLOOKUP($C8,'Raw - Claimant Count'!$A:$Q,12,FALSE)</f>
        <v>1.8</v>
      </c>
      <c r="G8" s="297">
        <f>VLOOKUP($C8,'Raw - Claimant Count'!$A:$Q,16,FALSE)</f>
        <v>2</v>
      </c>
      <c r="H8" s="318">
        <f>VLOOKUP(C8,'Raw - Claimant Count'!A:Q,14,FALSE)</f>
        <v>1145</v>
      </c>
      <c r="I8" s="299">
        <f t="shared" ref="I8:I20" si="1">SUM(G8-D8)</f>
        <v>-0.5</v>
      </c>
      <c r="J8" s="300">
        <f>SUM(VLOOKUP(C8,'Raw - Claimant Count'!A:Q,14,FALSE)-VLOOKUP(C8,'Raw - Claimant Count'!A:Q,2,FALSE))</f>
        <v>-285</v>
      </c>
      <c r="K8" s="301">
        <f t="shared" si="0"/>
        <v>-0.5</v>
      </c>
      <c r="L8" s="302">
        <f>IF(K8="","",IF($K$5="LGBF Family Group",SUM(MROUND(SUM(SUM(VLOOKUP(C$17,'Raw - Claimant Count'!A:Q,16,FALSE)*VLOOKUP(C8,'Raw - Claimant Count'!A:Q,15,FALSE))/100),100)-MROUND(SUM(SUM(VLOOKUP(C8,'Raw - Claimant Count'!A:Q,16,FALSE)*VLOOKUP(C8,'Raw - Claimant Count'!A:Q,15,FALSE))/100),100)),IF($K$5="Glasgow City Region",SUM(MROUND(SUM(SUM(VLOOKUP(C$18,'Raw - Claimant Count'!A:Q,16,FALSE)*VLOOKUP(C8,'Raw - Claimant Count'!A:Q,15,FALSE))/100),100)-MROUND(SUM(SUM(VLOOKUP(C8,'Raw - Claimant Count'!A:Q,16,FALSE)*VLOOKUP(C8,'Raw - Claimant Count'!A:Q,15,FALSE))/100),100)),IF($K$5="Scotland",SUM(MROUND(SUM(SUM(VLOOKUP(C$19,'Raw - Claimant Count'!A:Q,16,FALSE)*VLOOKUP(C8,'Raw - Claimant Count'!A:Q,15,FALSE))/100),100)-MROUND(SUM(SUM(VLOOKUP(C8,'Raw - Claimant Count'!A:Q,16,FALSE)*VLOOKUP(C8,'Raw - Claimant Count'!A:Q,15,FALSE))/100),100)),IF($K$5="United Kingdom",SUM(MROUND(SUM(SUM(VLOOKUP(C$20,'Raw - Claimant Count'!A:Q,16,FALSE)*VLOOKUP(C8,'Raw - Claimant Count'!A:Q,15,FALSE))/100),100)-MROUND(SUM(SUM(VLOOKUP(C8,'Raw - Claimant Count'!A:Q,16,FALSE)*VLOOKUP(C8,'Raw - Claimant Count'!A:Q,15,FALSE))/100),100)),SUM(MROUND(SUM(SUM(VLOOKUP(C$16,'Raw - Claimant Count'!A:Q,16,FALSE)*VLOOKUP(C8,'Raw - Claimant Count'!A:Q,15,FALSE))/100),100)-MROUND(SUM(SUM(VLOOKUP(C8,'Raw - Claimant Count'!A:Q,16,FALSE)*VLOOKUP(C8,'Raw - Claimant Count'!A:Q,15,FALSE))/100),100)))))))</f>
        <v>-200</v>
      </c>
    </row>
    <row r="9" spans="2:12" ht="19.5" customHeight="1">
      <c r="B9" s="296" t="s">
        <v>249</v>
      </c>
      <c r="C9" s="296" t="s">
        <v>27</v>
      </c>
      <c r="D9" s="297">
        <f>VLOOKUP($C9,'Raw - Claimant Count'!$A:$Q,4,FALSE)</f>
        <v>6.4</v>
      </c>
      <c r="E9" s="297">
        <f>VLOOKUP($C9,'Raw - Claimant Count'!$A:$Q,8,FALSE)</f>
        <v>4.7</v>
      </c>
      <c r="F9" s="297">
        <f>VLOOKUP($C9,'Raw - Claimant Count'!$A:$Q,12,FALSE)</f>
        <v>4.5999999999999996</v>
      </c>
      <c r="G9" s="297">
        <f>VLOOKUP($C9,'Raw - Claimant Count'!$A:$Q,16,FALSE)</f>
        <v>5.3</v>
      </c>
      <c r="H9" s="318">
        <f>VLOOKUP(C9,'Raw - Claimant Count'!A:Q,14,FALSE)</f>
        <v>23680</v>
      </c>
      <c r="I9" s="299">
        <f t="shared" si="1"/>
        <v>-1.1000000000000005</v>
      </c>
      <c r="J9" s="300">
        <f>SUM(VLOOKUP(C9,'Raw - Claimant Count'!A:Q,14,FALSE)-VLOOKUP(C9,'Raw - Claimant Count'!A:Q,2,FALSE))</f>
        <v>-4960</v>
      </c>
      <c r="K9" s="301">
        <f t="shared" si="0"/>
        <v>-3.8</v>
      </c>
      <c r="L9" s="302">
        <f>IF(K9="","",IF($K$5="LGBF Family Group",SUM(MROUND(SUM(SUM(VLOOKUP(C$17,'Raw - Claimant Count'!A:Q,16,FALSE)*VLOOKUP(C9,'Raw - Claimant Count'!A:Q,15,FALSE))/100),100)-MROUND(SUM(SUM(VLOOKUP(C9,'Raw - Claimant Count'!A:Q,16,FALSE)*VLOOKUP(C9,'Raw - Claimant Count'!A:Q,15,FALSE))/100),100)),IF($K$5="Glasgow City Region",SUM(MROUND(SUM(SUM(VLOOKUP(C$18,'Raw - Claimant Count'!A:Q,16,FALSE)*VLOOKUP(C9,'Raw - Claimant Count'!A:Q,15,FALSE))/100),100)-MROUND(SUM(SUM(VLOOKUP(C9,'Raw - Claimant Count'!A:Q,16,FALSE)*VLOOKUP(C9,'Raw - Claimant Count'!A:Q,15,FALSE))/100),100)),IF($K$5="Scotland",SUM(MROUND(SUM(SUM(VLOOKUP(C$19,'Raw - Claimant Count'!A:Q,16,FALSE)*VLOOKUP(C9,'Raw - Claimant Count'!A:Q,15,FALSE))/100),100)-MROUND(SUM(SUM(VLOOKUP(C9,'Raw - Claimant Count'!A:Q,16,FALSE)*VLOOKUP(C9,'Raw - Claimant Count'!A:Q,15,FALSE))/100),100)),IF($K$5="United Kingdom",SUM(MROUND(SUM(SUM(VLOOKUP(C$20,'Raw - Claimant Count'!A:Q,16,FALSE)*VLOOKUP(C9,'Raw - Claimant Count'!A:Q,15,FALSE))/100),100)-MROUND(SUM(SUM(VLOOKUP(C9,'Raw - Claimant Count'!A:Q,16,FALSE)*VLOOKUP(C9,'Raw - Claimant Count'!A:Q,15,FALSE))/100),100)),SUM(MROUND(SUM(SUM(VLOOKUP(C$16,'Raw - Claimant Count'!A:Q,16,FALSE)*VLOOKUP(C9,'Raw - Claimant Count'!A:Q,15,FALSE))/100),100)-MROUND(SUM(SUM(VLOOKUP(C9,'Raw - Claimant Count'!A:Q,16,FALSE)*VLOOKUP(C9,'Raw - Claimant Count'!A:Q,15,FALSE))/100),100)))))))</f>
        <v>-17000</v>
      </c>
    </row>
    <row r="10" spans="2:12" ht="19.5" customHeight="1">
      <c r="B10" s="296" t="s">
        <v>249</v>
      </c>
      <c r="C10" s="296" t="s">
        <v>29</v>
      </c>
      <c r="D10" s="297">
        <f>VLOOKUP($C10,'Raw - Claimant Count'!$A:$Q,4,FALSE)</f>
        <v>5.2</v>
      </c>
      <c r="E10" s="297">
        <f>VLOOKUP($C10,'Raw - Claimant Count'!$A:$Q,8,FALSE)</f>
        <v>3.8</v>
      </c>
      <c r="F10" s="297">
        <f>VLOOKUP($C10,'Raw - Claimant Count'!$A:$Q,12,FALSE)</f>
        <v>3.5</v>
      </c>
      <c r="G10" s="297">
        <f>VLOOKUP($C10,'Raw - Claimant Count'!$A:$Q,16,FALSE)</f>
        <v>3.7</v>
      </c>
      <c r="H10" s="318">
        <f>VLOOKUP(C10,'Raw - Claimant Count'!A:Q,14,FALSE)</f>
        <v>1750</v>
      </c>
      <c r="I10" s="299">
        <f t="shared" si="1"/>
        <v>-1.5</v>
      </c>
      <c r="J10" s="300">
        <f>SUM(VLOOKUP(C10,'Raw - Claimant Count'!A:Q,14,FALSE)-VLOOKUP(C10,'Raw - Claimant Count'!A:Q,2,FALSE))</f>
        <v>-745</v>
      </c>
      <c r="K10" s="301">
        <f t="shared" si="0"/>
        <v>-2.2000000000000002</v>
      </c>
      <c r="L10" s="302">
        <f>IF(K10="","",IF($K$5="LGBF Family Group",SUM(MROUND(SUM(SUM(VLOOKUP(C$17,'Raw - Claimant Count'!A:Q,16,FALSE)*VLOOKUP(C10,'Raw - Claimant Count'!A:Q,15,FALSE))/100),100)-MROUND(SUM(SUM(VLOOKUP(C10,'Raw - Claimant Count'!A:Q,16,FALSE)*VLOOKUP(C10,'Raw - Claimant Count'!A:Q,15,FALSE))/100),100)),IF($K$5="Glasgow City Region",SUM(MROUND(SUM(SUM(VLOOKUP(C$18,'Raw - Claimant Count'!A:Q,16,FALSE)*VLOOKUP(C10,'Raw - Claimant Count'!A:Q,15,FALSE))/100),100)-MROUND(SUM(SUM(VLOOKUP(C10,'Raw - Claimant Count'!A:Q,16,FALSE)*VLOOKUP(C10,'Raw - Claimant Count'!A:Q,15,FALSE))/100),100)),IF($K$5="Scotland",SUM(MROUND(SUM(SUM(VLOOKUP(C$19,'Raw - Claimant Count'!A:Q,16,FALSE)*VLOOKUP(C10,'Raw - Claimant Count'!A:Q,15,FALSE))/100),100)-MROUND(SUM(SUM(VLOOKUP(C10,'Raw - Claimant Count'!A:Q,16,FALSE)*VLOOKUP(C10,'Raw - Claimant Count'!A:Q,15,FALSE))/100),100)),IF($K$5="United Kingdom",SUM(MROUND(SUM(SUM(VLOOKUP(C$20,'Raw - Claimant Count'!A:Q,16,FALSE)*VLOOKUP(C10,'Raw - Claimant Count'!A:Q,15,FALSE))/100),100)-MROUND(SUM(SUM(VLOOKUP(C10,'Raw - Claimant Count'!A:Q,16,FALSE)*VLOOKUP(C10,'Raw - Claimant Count'!A:Q,15,FALSE))/100),100)),SUM(MROUND(SUM(SUM(VLOOKUP(C$16,'Raw - Claimant Count'!A:Q,16,FALSE)*VLOOKUP(C10,'Raw - Claimant Count'!A:Q,15,FALSE))/100),100)-MROUND(SUM(SUM(VLOOKUP(C10,'Raw - Claimant Count'!A:Q,16,FALSE)*VLOOKUP(C10,'Raw - Claimant Count'!A:Q,15,FALSE))/100),100)))))))</f>
        <v>-1100</v>
      </c>
    </row>
    <row r="11" spans="2:12" ht="19.5" customHeight="1">
      <c r="B11" s="296" t="s">
        <v>249</v>
      </c>
      <c r="C11" s="296" t="s">
        <v>34</v>
      </c>
      <c r="D11" s="297">
        <f>VLOOKUP($C11,'Raw - Claimant Count'!$A:$Q,4,FALSE)</f>
        <v>4.9000000000000004</v>
      </c>
      <c r="E11" s="297">
        <f>VLOOKUP($C11,'Raw - Claimant Count'!$A:$Q,8,FALSE)</f>
        <v>3.4</v>
      </c>
      <c r="F11" s="297">
        <f>VLOOKUP($C11,'Raw - Claimant Count'!$A:$Q,12,FALSE)</f>
        <v>3.3</v>
      </c>
      <c r="G11" s="297">
        <f>VLOOKUP($C11,'Raw - Claimant Count'!$A:$Q,16,FALSE)</f>
        <v>3.5</v>
      </c>
      <c r="H11" s="318">
        <f>VLOOKUP(C11,'Raw - Claimant Count'!A:Q,14,FALSE)</f>
        <v>7645</v>
      </c>
      <c r="I11" s="299">
        <f t="shared" si="1"/>
        <v>-1.4000000000000004</v>
      </c>
      <c r="J11" s="300">
        <f>SUM(VLOOKUP(C11,'Raw - Claimant Count'!A:Q,14,FALSE)-VLOOKUP(C11,'Raw - Claimant Count'!A:Q,2,FALSE))</f>
        <v>-3150</v>
      </c>
      <c r="K11" s="301">
        <f t="shared" si="0"/>
        <v>-2</v>
      </c>
      <c r="L11" s="302">
        <f>IF(K11="","",IF($K$5="LGBF Family Group",SUM(MROUND(SUM(SUM(VLOOKUP(C$17,'Raw - Claimant Count'!A:Q,16,FALSE)*VLOOKUP(C11,'Raw - Claimant Count'!A:Q,15,FALSE))/100),100)-MROUND(SUM(SUM(VLOOKUP(C11,'Raw - Claimant Count'!A:Q,16,FALSE)*VLOOKUP(C11,'Raw - Claimant Count'!A:Q,15,FALSE))/100),100)),IF($K$5="Glasgow City Region",SUM(MROUND(SUM(SUM(VLOOKUP(C$18,'Raw - Claimant Count'!A:Q,16,FALSE)*VLOOKUP(C11,'Raw - Claimant Count'!A:Q,15,FALSE))/100),100)-MROUND(SUM(SUM(VLOOKUP(C11,'Raw - Claimant Count'!A:Q,16,FALSE)*VLOOKUP(C11,'Raw - Claimant Count'!A:Q,15,FALSE))/100),100)),IF($K$5="Scotland",SUM(MROUND(SUM(SUM(VLOOKUP(C$19,'Raw - Claimant Count'!A:Q,16,FALSE)*VLOOKUP(C11,'Raw - Claimant Count'!A:Q,15,FALSE))/100),100)-MROUND(SUM(SUM(VLOOKUP(C11,'Raw - Claimant Count'!A:Q,16,FALSE)*VLOOKUP(C11,'Raw - Claimant Count'!A:Q,15,FALSE))/100),100)),IF($K$5="United Kingdom",SUM(MROUND(SUM(SUM(VLOOKUP(C$20,'Raw - Claimant Count'!A:Q,16,FALSE)*VLOOKUP(C11,'Raw - Claimant Count'!A:Q,15,FALSE))/100),100)-MROUND(SUM(SUM(VLOOKUP(C11,'Raw - Claimant Count'!A:Q,16,FALSE)*VLOOKUP(C11,'Raw - Claimant Count'!A:Q,15,FALSE))/100),100)),SUM(MROUND(SUM(SUM(VLOOKUP(C$16,'Raw - Claimant Count'!A:Q,16,FALSE)*VLOOKUP(C11,'Raw - Claimant Count'!A:Q,15,FALSE))/100),100)-MROUND(SUM(SUM(VLOOKUP(C11,'Raw - Claimant Count'!A:Q,16,FALSE)*VLOOKUP(C11,'Raw - Claimant Count'!A:Q,15,FALSE))/100),100)))))))</f>
        <v>-4300</v>
      </c>
    </row>
    <row r="12" spans="2:12" ht="19.5" customHeight="1">
      <c r="B12" s="296" t="s">
        <v>249</v>
      </c>
      <c r="C12" s="296" t="s">
        <v>37</v>
      </c>
      <c r="D12" s="297">
        <f>VLOOKUP($C12,'Raw - Claimant Count'!$A:$Q,4,FALSE)</f>
        <v>4.4000000000000004</v>
      </c>
      <c r="E12" s="297">
        <f>VLOOKUP($C12,'Raw - Claimant Count'!$A:$Q,8,FALSE)</f>
        <v>3.1</v>
      </c>
      <c r="F12" s="297">
        <f>VLOOKUP($C12,'Raw - Claimant Count'!$A:$Q,12,FALSE)</f>
        <v>3.1</v>
      </c>
      <c r="G12" s="297">
        <f>VLOOKUP($C12,'Raw - Claimant Count'!$A:$Q,16,FALSE)</f>
        <v>3.2</v>
      </c>
      <c r="H12" s="318">
        <f>VLOOKUP(C12,'Raw - Claimant Count'!A:Q,14,FALSE)</f>
        <v>3670</v>
      </c>
      <c r="I12" s="299">
        <f t="shared" si="1"/>
        <v>-1.2000000000000002</v>
      </c>
      <c r="J12" s="300">
        <f>SUM(VLOOKUP(C12,'Raw - Claimant Count'!A:Q,14,FALSE)-VLOOKUP(C12,'Raw - Claimant Count'!A:Q,2,FALSE))</f>
        <v>-1405</v>
      </c>
      <c r="K12" s="301">
        <f t="shared" si="0"/>
        <v>-1.7000000000000002</v>
      </c>
      <c r="L12" s="302">
        <f>IF(K12="","",IF($K$5="LGBF Family Group",SUM(MROUND(SUM(SUM(VLOOKUP(C$17,'Raw - Claimant Count'!A:Q,16,FALSE)*VLOOKUP(C12,'Raw - Claimant Count'!A:Q,15,FALSE))/100),100)-MROUND(SUM(SUM(VLOOKUP(C12,'Raw - Claimant Count'!A:Q,16,FALSE)*VLOOKUP(C12,'Raw - Claimant Count'!A:Q,15,FALSE))/100),100)),IF($K$5="Glasgow City Region",SUM(MROUND(SUM(SUM(VLOOKUP(C$18,'Raw - Claimant Count'!A:Q,16,FALSE)*VLOOKUP(C12,'Raw - Claimant Count'!A:Q,15,FALSE))/100),100)-MROUND(SUM(SUM(VLOOKUP(C12,'Raw - Claimant Count'!A:Q,16,FALSE)*VLOOKUP(C12,'Raw - Claimant Count'!A:Q,15,FALSE))/100),100)),IF($K$5="Scotland",SUM(MROUND(SUM(SUM(VLOOKUP(C$19,'Raw - Claimant Count'!A:Q,16,FALSE)*VLOOKUP(C12,'Raw - Claimant Count'!A:Q,15,FALSE))/100),100)-MROUND(SUM(SUM(VLOOKUP(C12,'Raw - Claimant Count'!A:Q,16,FALSE)*VLOOKUP(C12,'Raw - Claimant Count'!A:Q,15,FALSE))/100),100)),IF($K$5="United Kingdom",SUM(MROUND(SUM(SUM(VLOOKUP(C$20,'Raw - Claimant Count'!A:Q,16,FALSE)*VLOOKUP(C12,'Raw - Claimant Count'!A:Q,15,FALSE))/100),100)-MROUND(SUM(SUM(VLOOKUP(C12,'Raw - Claimant Count'!A:Q,16,FALSE)*VLOOKUP(C12,'Raw - Claimant Count'!A:Q,15,FALSE))/100),100)),SUM(MROUND(SUM(SUM(VLOOKUP(C$16,'Raw - Claimant Count'!A:Q,16,FALSE)*VLOOKUP(C12,'Raw - Claimant Count'!A:Q,15,FALSE))/100),100)-MROUND(SUM(SUM(VLOOKUP(C12,'Raw - Claimant Count'!A:Q,16,FALSE)*VLOOKUP(C12,'Raw - Claimant Count'!A:Q,15,FALSE))/100),100)))))))</f>
        <v>-2000</v>
      </c>
    </row>
    <row r="13" spans="2:12" ht="19.5" customHeight="1">
      <c r="B13" s="296" t="s">
        <v>249</v>
      </c>
      <c r="C13" s="296" t="s">
        <v>41</v>
      </c>
      <c r="D13" s="297">
        <f>VLOOKUP($C13,'Raw - Claimant Count'!$A:$Q,4,FALSE)</f>
        <v>4.5999999999999996</v>
      </c>
      <c r="E13" s="297">
        <f>VLOOKUP($C13,'Raw - Claimant Count'!$A:$Q,8,FALSE)</f>
        <v>3.1</v>
      </c>
      <c r="F13" s="297">
        <f>VLOOKUP($C13,'Raw - Claimant Count'!$A:$Q,12,FALSE)</f>
        <v>2.9</v>
      </c>
      <c r="G13" s="297">
        <f>VLOOKUP($C13,'Raw - Claimant Count'!$A:$Q,16,FALSE)</f>
        <v>3.1</v>
      </c>
      <c r="H13" s="318">
        <f>VLOOKUP(C13,'Raw - Claimant Count'!A:Q,14,FALSE)</f>
        <v>6220</v>
      </c>
      <c r="I13" s="299">
        <f t="shared" si="1"/>
        <v>-1.4999999999999996</v>
      </c>
      <c r="J13" s="300">
        <f>SUM(VLOOKUP(C13,'Raw - Claimant Count'!A:Q,14,FALSE)-VLOOKUP(C13,'Raw - Claimant Count'!A:Q,2,FALSE))</f>
        <v>-3135</v>
      </c>
      <c r="K13" s="301">
        <f t="shared" si="0"/>
        <v>-1.6</v>
      </c>
      <c r="L13" s="302">
        <f>IF(K13="","",IF($K$5="LGBF Family Group",SUM(MROUND(SUM(SUM(VLOOKUP(C$17,'Raw - Claimant Count'!A:Q,16,FALSE)*VLOOKUP(C13,'Raw - Claimant Count'!A:Q,15,FALSE))/100),100)-MROUND(SUM(SUM(VLOOKUP(C13,'Raw - Claimant Count'!A:Q,16,FALSE)*VLOOKUP(C13,'Raw - Claimant Count'!A:Q,15,FALSE))/100),100)),IF($K$5="Glasgow City Region",SUM(MROUND(SUM(SUM(VLOOKUP(C$18,'Raw - Claimant Count'!A:Q,16,FALSE)*VLOOKUP(C13,'Raw - Claimant Count'!A:Q,15,FALSE))/100),100)-MROUND(SUM(SUM(VLOOKUP(C13,'Raw - Claimant Count'!A:Q,16,FALSE)*VLOOKUP(C13,'Raw - Claimant Count'!A:Q,15,FALSE))/100),100)),IF($K$5="Scotland",SUM(MROUND(SUM(SUM(VLOOKUP(C$19,'Raw - Claimant Count'!A:Q,16,FALSE)*VLOOKUP(C13,'Raw - Claimant Count'!A:Q,15,FALSE))/100),100)-MROUND(SUM(SUM(VLOOKUP(C13,'Raw - Claimant Count'!A:Q,16,FALSE)*VLOOKUP(C13,'Raw - Claimant Count'!A:Q,15,FALSE))/100),100)),IF($K$5="United Kingdom",SUM(MROUND(SUM(SUM(VLOOKUP(C$20,'Raw - Claimant Count'!A:Q,16,FALSE)*VLOOKUP(C13,'Raw - Claimant Count'!A:Q,15,FALSE))/100),100)-MROUND(SUM(SUM(VLOOKUP(C13,'Raw - Claimant Count'!A:Q,16,FALSE)*VLOOKUP(C13,'Raw - Claimant Count'!A:Q,15,FALSE))/100),100)),SUM(MROUND(SUM(SUM(VLOOKUP(C$16,'Raw - Claimant Count'!A:Q,16,FALSE)*VLOOKUP(C13,'Raw - Claimant Count'!A:Q,15,FALSE))/100),100)-MROUND(SUM(SUM(VLOOKUP(C13,'Raw - Claimant Count'!A:Q,16,FALSE)*VLOOKUP(C13,'Raw - Claimant Count'!A:Q,15,FALSE))/100),100)))))))</f>
        <v>-3200</v>
      </c>
    </row>
    <row r="14" spans="2:12" ht="19.5" customHeight="1">
      <c r="B14" s="296" t="s">
        <v>249</v>
      </c>
      <c r="C14" s="296" t="s">
        <v>43</v>
      </c>
      <c r="D14" s="297">
        <f>VLOOKUP($C14,'Raw - Claimant Count'!$A:$Q,4,FALSE)</f>
        <v>6.1</v>
      </c>
      <c r="E14" s="297">
        <f>VLOOKUP($C14,'Raw - Claimant Count'!$A:$Q,8,FALSE)</f>
        <v>4.4000000000000004</v>
      </c>
      <c r="F14" s="297">
        <f>VLOOKUP($C14,'Raw - Claimant Count'!$A:$Q,12,FALSE)</f>
        <v>4.3</v>
      </c>
      <c r="G14" s="297">
        <f>VLOOKUP($C14,'Raw - Claimant Count'!$A:$Q,16,FALSE)</f>
        <v>4.2</v>
      </c>
      <c r="H14" s="318">
        <f>VLOOKUP(C14,'Raw - Claimant Count'!A:Q,14,FALSE)</f>
        <v>2325</v>
      </c>
      <c r="I14" s="299">
        <f t="shared" si="1"/>
        <v>-1.8999999999999995</v>
      </c>
      <c r="J14" s="300">
        <f>SUM(VLOOKUP(C14,'Raw - Claimant Count'!A:Q,14,FALSE)-VLOOKUP(C14,'Raw - Claimant Count'!A:Q,2,FALSE))</f>
        <v>-1075</v>
      </c>
      <c r="K14" s="301">
        <f t="shared" si="0"/>
        <v>-2.7</v>
      </c>
      <c r="L14" s="302">
        <f>IF(K14="","",IF($K$5="LGBF Family Group",SUM(MROUND(SUM(SUM(VLOOKUP(C$17,'Raw - Claimant Count'!A:Q,16,FALSE)*VLOOKUP(C14,'Raw - Claimant Count'!A:Q,15,FALSE))/100),100)-MROUND(SUM(SUM(VLOOKUP(C14,'Raw - Claimant Count'!A:Q,16,FALSE)*VLOOKUP(C14,'Raw - Claimant Count'!A:Q,15,FALSE))/100),100)),IF($K$5="Glasgow City Region",SUM(MROUND(SUM(SUM(VLOOKUP(C$18,'Raw - Claimant Count'!A:Q,16,FALSE)*VLOOKUP(C14,'Raw - Claimant Count'!A:Q,15,FALSE))/100),100)-MROUND(SUM(SUM(VLOOKUP(C14,'Raw - Claimant Count'!A:Q,16,FALSE)*VLOOKUP(C14,'Raw - Claimant Count'!A:Q,15,FALSE))/100),100)),IF($K$5="Scotland",SUM(MROUND(SUM(SUM(VLOOKUP(C$19,'Raw - Claimant Count'!A:Q,16,FALSE)*VLOOKUP(C14,'Raw - Claimant Count'!A:Q,15,FALSE))/100),100)-MROUND(SUM(SUM(VLOOKUP(C14,'Raw - Claimant Count'!A:Q,16,FALSE)*VLOOKUP(C14,'Raw - Claimant Count'!A:Q,15,FALSE))/100),100)),IF($K$5="United Kingdom",SUM(MROUND(SUM(SUM(VLOOKUP(C$20,'Raw - Claimant Count'!A:Q,16,FALSE)*VLOOKUP(C14,'Raw - Claimant Count'!A:Q,15,FALSE))/100),100)-MROUND(SUM(SUM(VLOOKUP(C14,'Raw - Claimant Count'!A:Q,16,FALSE)*VLOOKUP(C14,'Raw - Claimant Count'!A:Q,15,FALSE))/100),100)),SUM(MROUND(SUM(SUM(VLOOKUP(C$16,'Raw - Claimant Count'!A:Q,16,FALSE)*VLOOKUP(C14,'Raw - Claimant Count'!A:Q,15,FALSE))/100),100)-MROUND(SUM(SUM(VLOOKUP(C14,'Raw - Claimant Count'!A:Q,16,FALSE)*VLOOKUP(C14,'Raw - Claimant Count'!A:Q,15,FALSE))/100),100)))))))</f>
        <v>-1500</v>
      </c>
    </row>
    <row r="15" spans="2:12" ht="19.5" customHeight="1">
      <c r="B15" s="303"/>
      <c r="C15" s="303"/>
      <c r="D15" s="304"/>
      <c r="E15" s="304"/>
      <c r="F15" s="304"/>
      <c r="G15" s="304"/>
      <c r="H15" s="304"/>
      <c r="I15" s="306"/>
      <c r="J15" s="306"/>
      <c r="K15" s="306"/>
      <c r="L15" s="306"/>
    </row>
    <row r="16" spans="2:12" ht="19.5" customHeight="1">
      <c r="B16" s="307" t="s">
        <v>51</v>
      </c>
      <c r="C16" s="296" t="str">
        <f>INDEX('Raw - Claimant Count'!$A$9:$A$41,MATCH(MIN('Raw - Claimant Count'!P9:P41),'Raw - Claimant Count'!P9:P41,0))</f>
        <v>Shetland Islands</v>
      </c>
      <c r="D16" s="297">
        <f>VLOOKUP($C16,'Raw - Claimant Count'!$A:$Q,4,FALSE)</f>
        <v>2.2999999999999998</v>
      </c>
      <c r="E16" s="297">
        <f>VLOOKUP($C16,'Raw - Claimant Count'!$A:$Q,8,FALSE)</f>
        <v>1.7</v>
      </c>
      <c r="F16" s="297">
        <f>VLOOKUP($C16,'Raw - Claimant Count'!$A:$Q,12,FALSE)</f>
        <v>1.5</v>
      </c>
      <c r="G16" s="297">
        <f>VLOOKUP($C16,'Raw - Claimant Count'!$A:$Q,16,FALSE)</f>
        <v>1.5</v>
      </c>
      <c r="H16" s="318">
        <f>VLOOKUP(C16,'Raw - Claimant Count'!A:Q,14,FALSE)</f>
        <v>215</v>
      </c>
      <c r="I16" s="299">
        <f>SUM(G16-D16)</f>
        <v>-0.79999999999999982</v>
      </c>
      <c r="J16" s="300">
        <f>SUM(VLOOKUP(C16,'Raw - Claimant Count'!A:Q,14,FALSE)-VLOOKUP(C16,'Raw - Claimant Count'!A:Q,2,FALSE))</f>
        <v>-100</v>
      </c>
    </row>
    <row r="17" spans="2:12" ht="19.5" customHeight="1">
      <c r="B17" s="307" t="s">
        <v>542</v>
      </c>
      <c r="C17" s="308" t="s">
        <v>546</v>
      </c>
      <c r="D17" s="297">
        <f>VLOOKUP($C17,'Raw - Claimant Count'!$A:$Q,4,FALSE)</f>
        <v>4.9531561461794018</v>
      </c>
      <c r="E17" s="297">
        <f>VLOOKUP($C17,'Raw - Claimant Count'!$A:$Q,8,FALSE)</f>
        <v>3.5098684210526319</v>
      </c>
      <c r="F17" s="297">
        <f>VLOOKUP($C17,'Raw - Claimant Count'!$A:$Q,12,FALSE)</f>
        <v>3.4093637454981991</v>
      </c>
      <c r="G17" s="297">
        <f>VLOOKUP($C17,'Raw - Claimant Count'!$A:$Q,16,FALSE)</f>
        <v>3.7821881254169445</v>
      </c>
      <c r="H17" s="318">
        <f>VLOOKUP(C17,'Raw - Claimant Count'!A:Q,14,FALSE)</f>
        <v>56695</v>
      </c>
      <c r="I17" s="299">
        <f>SUM(G17-D17)</f>
        <v>-1.1709680207624573</v>
      </c>
      <c r="J17" s="300">
        <f>SUM(VLOOKUP(C17,'Raw - Claimant Count'!A:Q,14,FALSE)-VLOOKUP(C17,'Raw - Claimant Count'!A:Q,2,FALSE))</f>
        <v>-17850</v>
      </c>
    </row>
    <row r="18" spans="2:12" ht="19.5" customHeight="1">
      <c r="B18" s="307" t="s">
        <v>250</v>
      </c>
      <c r="C18" s="296" t="s">
        <v>47</v>
      </c>
      <c r="D18" s="297">
        <f>VLOOKUP($C18,'Raw - Claimant Count'!$A:$Q,4,FALSE)</f>
        <v>5.2</v>
      </c>
      <c r="E18" s="297">
        <f>VLOOKUP($C18,'Raw - Claimant Count'!$A:$Q,8,FALSE)</f>
        <v>3.7</v>
      </c>
      <c r="F18" s="297">
        <f>VLOOKUP($C18,'Raw - Claimant Count'!$A:$Q,12,FALSE)</f>
        <v>3.6</v>
      </c>
      <c r="G18" s="297">
        <f>VLOOKUP($C18,'Raw - Claimant Count'!$A:$Q,16,FALSE)</f>
        <v>3.9</v>
      </c>
      <c r="H18" s="318">
        <f>VLOOKUP(C18,'Raw - Claimant Count'!A:Q,14,FALSE)</f>
        <v>47755</v>
      </c>
      <c r="I18" s="299">
        <f t="shared" si="1"/>
        <v>-1.3000000000000003</v>
      </c>
      <c r="J18" s="300">
        <f>SUM(VLOOKUP(C18,'Raw - Claimant Count'!A:Q,14,FALSE)-VLOOKUP(C18,'Raw - Claimant Count'!A:Q,2,FALSE))</f>
        <v>-15325</v>
      </c>
    </row>
    <row r="19" spans="2:12" ht="19.5" customHeight="1">
      <c r="B19" s="307" t="s">
        <v>251</v>
      </c>
      <c r="C19" s="296" t="s">
        <v>45</v>
      </c>
      <c r="D19" s="297">
        <f>VLOOKUP($C19,'Raw - Claimant Count'!$A:$Q,4,FALSE)</f>
        <v>4.4000000000000004</v>
      </c>
      <c r="E19" s="297">
        <f>VLOOKUP($C19,'Raw - Claimant Count'!$A:$Q,8,FALSE)</f>
        <v>3.1</v>
      </c>
      <c r="F19" s="297">
        <f>VLOOKUP($C19,'Raw - Claimant Count'!$A:$Q,12,FALSE)</f>
        <v>3</v>
      </c>
      <c r="G19" s="297">
        <f>VLOOKUP($C19,'Raw - Claimant Count'!$A:$Q,16,FALSE)</f>
        <v>3.2</v>
      </c>
      <c r="H19" s="318">
        <f>VLOOKUP(C19,'Raw - Claimant Count'!A:Q,14,FALSE)</f>
        <v>113535</v>
      </c>
      <c r="I19" s="299">
        <f t="shared" si="1"/>
        <v>-1.2000000000000002</v>
      </c>
      <c r="J19" s="300">
        <f>SUM(VLOOKUP(C19,'Raw - Claimant Count'!A:Q,14,FALSE)-VLOOKUP(C19,'Raw - Claimant Count'!A:Q,2,FALSE))</f>
        <v>-41970</v>
      </c>
    </row>
    <row r="20" spans="2:12" ht="19.5" customHeight="1">
      <c r="B20" s="307" t="s">
        <v>251</v>
      </c>
      <c r="C20" s="296" t="s">
        <v>46</v>
      </c>
      <c r="D20" s="297">
        <f>VLOOKUP($C20,'Raw - Claimant Count'!$A:$Q,4,FALSE)</f>
        <v>4.8</v>
      </c>
      <c r="E20" s="297">
        <f>VLOOKUP($C20,'Raw - Claimant Count'!$A:$Q,8,FALSE)</f>
        <v>3.6</v>
      </c>
      <c r="F20" s="297">
        <f>VLOOKUP($C20,'Raw - Claimant Count'!$A:$Q,12,FALSE)</f>
        <v>3.6</v>
      </c>
      <c r="G20" s="297">
        <f>VLOOKUP($C20,'Raw - Claimant Count'!$A:$Q,16,FALSE)</f>
        <v>4.3</v>
      </c>
      <c r="H20" s="318">
        <f>VLOOKUP(C20,'Raw - Claimant Count'!A:Q,14,FALSE)</f>
        <v>1793460</v>
      </c>
      <c r="I20" s="299">
        <f t="shared" si="1"/>
        <v>-0.5</v>
      </c>
      <c r="J20" s="300">
        <f>SUM(VLOOKUP(C20,'Raw - Claimant Count'!A:Q,14,FALSE)-VLOOKUP(C20,'Raw - Claimant Count'!A:Q,2,FALSE))</f>
        <v>-239230</v>
      </c>
    </row>
    <row r="21" spans="2:12" ht="19.5" customHeight="1">
      <c r="C21" s="309"/>
      <c r="D21" s="310"/>
      <c r="E21" s="310"/>
      <c r="F21" s="310"/>
      <c r="G21" s="310"/>
      <c r="H21" s="310"/>
      <c r="I21" s="310"/>
      <c r="J21" s="310"/>
      <c r="K21" s="310"/>
      <c r="L21" s="310"/>
    </row>
    <row r="22" spans="2:12">
      <c r="B22" s="313"/>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oS8AUGaQX2dsJ4iRGFiJAHgQ+s/sPtzsmb4rZ85LxZ+xNAPiPsV9t5iiNvsRYBBsKdgxnZ3aBBhqAWTaYfJl4Q==" saltValue="9dbYmnbCz+KT2Dp8nkwN7Q==" spinCount="100000" sheet="1" objects="1" scenarios="1"/>
  <autoFilter ref="C6:L14" xr:uid="{00000000-0009-0000-0000-000006000000}">
    <sortState xmlns:xlrd2="http://schemas.microsoft.com/office/spreadsheetml/2017/richdata2" ref="B7:I14">
      <sortCondition descending="1" ref="H6"/>
    </sortState>
  </autoFilter>
  <mergeCells count="4">
    <mergeCell ref="K4:L4"/>
    <mergeCell ref="I5:J5"/>
    <mergeCell ref="K5:L5"/>
    <mergeCell ref="F2:G2"/>
  </mergeCells>
  <dataValidations disablePrompts="1" count="1">
    <dataValidation type="list" allowBlank="1" showInputMessage="1" showErrorMessage="1" sqref="C17" xr:uid="{00000000-0002-0000-0600-000000000000}">
      <formula1>IF(B17="LGBF Family Group 1",LGBF_5,IF(B17="LGBF Family Group 3",LGBF_7,IF(B17="LGBF Family Group 4",LGBF_8,LGBF_6)))</formula1>
    </dataValidation>
  </dataValidations>
  <hyperlinks>
    <hyperlink ref="C3" r:id="rId1" xr:uid="{00000000-0004-0000-0600-000000000000}"/>
    <hyperlink ref="F2:G2" location="'Index RAG'!A1" display="Return to Index RAG" xr:uid="{00000000-0004-0000-06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1000000}">
          <x14:formula1>
            <xm:f>Lookups!$L$8:$O$8</xm:f>
          </x14:formula1>
          <xm:sqref>B17</xm:sqref>
        </x14:dataValidation>
        <x14:dataValidation type="list" allowBlank="1" showInputMessage="1" showErrorMessage="1" xr:uid="{00000000-0002-0000-0600-000002000000}">
          <x14:formula1>
            <xm:f>Lookups!$B$3:$B$7</xm:f>
          </x14:formula1>
          <xm:sqref>K5:L5</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5" tint="0.79998168889431442"/>
    <pageSetUpPr autoPageBreaks="0"/>
  </sheetPr>
  <dimension ref="A1:AR86"/>
  <sheetViews>
    <sheetView topLeftCell="A20" workbookViewId="0">
      <selection activeCell="O37" sqref="O37"/>
    </sheetView>
  </sheetViews>
  <sheetFormatPr defaultColWidth="7.453125" defaultRowHeight="10"/>
  <cols>
    <col min="1" max="1" width="17.81640625" style="123" customWidth="1"/>
    <col min="2" max="5" width="9.81640625" style="123" customWidth="1"/>
    <col min="6" max="16384" width="7.453125" style="123"/>
  </cols>
  <sheetData>
    <row r="1" spans="1:44" ht="13">
      <c r="A1" s="126" t="s">
        <v>308</v>
      </c>
    </row>
    <row r="2" spans="1:44" ht="16.5" customHeight="1">
      <c r="A2" s="247" t="s">
        <v>612</v>
      </c>
    </row>
    <row r="4" spans="1:44" ht="11.25" hidden="1" customHeight="1"/>
    <row r="5" spans="1:44" ht="11.25" hidden="1" customHeight="1"/>
    <row r="6" spans="1:44" ht="12.75" customHeight="1"/>
    <row r="7" spans="1:44" ht="10.5">
      <c r="B7" s="128">
        <v>2020</v>
      </c>
      <c r="C7" s="128"/>
      <c r="D7" s="128"/>
      <c r="E7" s="128"/>
      <c r="F7" s="128">
        <v>2021</v>
      </c>
      <c r="G7" s="128"/>
      <c r="H7" s="128"/>
      <c r="I7" s="128"/>
      <c r="J7" s="128">
        <v>2022</v>
      </c>
      <c r="K7" s="128"/>
      <c r="L7" s="128"/>
      <c r="M7" s="128"/>
      <c r="N7" s="128">
        <v>2023</v>
      </c>
    </row>
    <row r="8" spans="1:44" s="124" customFormat="1" ht="10.5">
      <c r="A8" s="124" t="s">
        <v>302</v>
      </c>
      <c r="B8" s="127">
        <f>INDEX($B$54:$E$86,MATCH($A8,$A$54:$A$86,0),MATCH(B$7,$B$53:$E$53,0))</f>
        <v>4240</v>
      </c>
      <c r="C8" s="404">
        <f>SUM(INDEX('Population Data'!$B$8:$H$46,MATCH('Raw - New Builds'!$A8,'Population Data'!$A$8:$A$46,0),MATCH('Raw - New Builds'!B$7,'Population Data'!$B$7:$H$7,0))/10000)</f>
        <v>546.6</v>
      </c>
      <c r="D8" s="405">
        <f>SUM(B8/C8)</f>
        <v>7.7570435418953529</v>
      </c>
      <c r="E8" s="127"/>
      <c r="F8" s="127">
        <f>INDEX($B$54:$E$86,MATCH($A8,$A$54:$A$86,0),MATCH(F$7,$B$53:$E$53,0))</f>
        <v>6073</v>
      </c>
      <c r="G8" s="404">
        <f>SUM(INDEX('Population Data'!$B$8:$H$46,MATCH('Raw - New Builds'!$A8,'Population Data'!$A$8:$A$46,0),MATCH('Raw - New Builds'!F$7,'Population Data'!$B$7:$H$7,0))/10000)</f>
        <v>547.99</v>
      </c>
      <c r="H8" s="405">
        <f>SUM(F8/G8)</f>
        <v>11.08231902042008</v>
      </c>
      <c r="I8" s="127"/>
      <c r="J8" s="127">
        <f>INDEX($B$54:$E$86,MATCH($A8,$A$54:$A$86,0),MATCH(J$7,$B$53:$E$53,0))</f>
        <v>7008</v>
      </c>
      <c r="K8" s="404">
        <f>SUM(INDEX('Population Data'!$B$8:$I$46,MATCH('Raw - New Builds'!$A8,'Population Data'!$A$8:$A$46,0),MATCH('Raw - New Builds'!J$7,'Population Data'!$B$7:$I$7,0))/10000)</f>
        <v>544.77</v>
      </c>
      <c r="L8" s="405">
        <f>SUM(J8/K8)</f>
        <v>12.864144501349193</v>
      </c>
      <c r="M8" s="127"/>
      <c r="N8" s="127">
        <f>INDEX($B$54:$E$86,MATCH($A8,$A$54:$A$86,0),MATCH(N$7,$B$53:$E$53,0))</f>
        <v>5756</v>
      </c>
      <c r="O8" s="404">
        <f>SUM(INDEX('Population Data'!$B$8:$I$46,MATCH('Raw - New Builds'!$A8,'Population Data'!$A$8:$A$46,0),MATCH(J$7,'Population Data'!$B$7:$I$7,0))/10000)</f>
        <v>544.77</v>
      </c>
      <c r="P8" s="405">
        <f>SUM(N8/O8)</f>
        <v>10.565926904932358</v>
      </c>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row>
    <row r="9" spans="1:44" ht="10.5">
      <c r="A9" s="124" t="s">
        <v>14</v>
      </c>
      <c r="B9" s="127">
        <f t="shared" ref="B9:B40" si="0">INDEX($B$54:$E$86,MATCH($A9,$A$54:$A$86,0),MATCH(B$7,$B$53:$E$53,0))</f>
        <v>12</v>
      </c>
      <c r="C9" s="404">
        <f>SUM(INDEX('Population Data'!$B$8:$H$46,MATCH('Raw - New Builds'!$A9,'Population Data'!$A$8:$A$46,0),MATCH('Raw - New Builds'!B$7,'Population Data'!$B$7:$H$7,0))/10000)</f>
        <v>22.905999999999999</v>
      </c>
      <c r="D9" s="405">
        <f t="shared" ref="D9:D41" si="1">SUM(B9/C9)</f>
        <v>0.52388020605954777</v>
      </c>
      <c r="E9" s="127"/>
      <c r="F9" s="127">
        <f t="shared" ref="F9:F40" si="2">INDEX($B$54:$E$86,MATCH($A9,$A$54:$A$86,0),MATCH(F$7,$B$53:$E$53,0))</f>
        <v>362</v>
      </c>
      <c r="G9" s="404">
        <f>SUM(INDEX('Population Data'!$B$8:$H$46,MATCH('Raw - New Builds'!$A9,'Population Data'!$A$8:$A$46,0),MATCH('Raw - New Builds'!F$7,'Population Data'!$B$7:$H$7,0))/10000)</f>
        <v>22.742999999999999</v>
      </c>
      <c r="H9" s="405">
        <f t="shared" ref="H9:H41" si="3">SUM(F9/G9)</f>
        <v>15.916985446071319</v>
      </c>
      <c r="I9" s="127"/>
      <c r="J9" s="127">
        <f t="shared" ref="J9:J40" si="4">INDEX($B$54:$E$86,MATCH($A9,$A$54:$A$86,0),MATCH(J$7,$B$53:$E$53,0))</f>
        <v>1027</v>
      </c>
      <c r="K9" s="404">
        <f>SUM(INDEX('Population Data'!$B$8:$I$46,MATCH('Raw - New Builds'!$A9,'Population Data'!$A$8:$A$46,0),MATCH('Raw - New Builds'!J$7,'Population Data'!$B$7:$I$7,0))/10000)</f>
        <v>22.419</v>
      </c>
      <c r="L9" s="405">
        <f t="shared" ref="L9:L41" si="5">SUM(J9/K9)</f>
        <v>45.809358133725858</v>
      </c>
      <c r="M9" s="127"/>
      <c r="N9" s="127">
        <f t="shared" ref="N9:N40" si="6">INDEX($B$54:$E$86,MATCH($A9,$A$54:$A$86,0),MATCH(N$7,$B$53:$E$53,0))</f>
        <v>142</v>
      </c>
      <c r="O9" s="404">
        <f>SUM(INDEX('Population Data'!$B$8:$I$46,MATCH('Raw - New Builds'!$A9,'Population Data'!$A$8:$A$46,0),MATCH(J$7,'Population Data'!$B$7:$I$7,0))/10000)</f>
        <v>22.419</v>
      </c>
      <c r="P9" s="405">
        <f t="shared" ref="P9:P41" si="7">SUM(N9/O9)</f>
        <v>6.3339131986261652</v>
      </c>
    </row>
    <row r="10" spans="1:44" ht="10.5">
      <c r="A10" s="124" t="s">
        <v>15</v>
      </c>
      <c r="B10" s="127">
        <f t="shared" si="0"/>
        <v>68</v>
      </c>
      <c r="C10" s="404">
        <f>SUM(INDEX('Population Data'!$B$8:$H$46,MATCH('Raw - New Builds'!$A10,'Population Data'!$A$8:$A$46,0),MATCH('Raw - New Builds'!B$7,'Population Data'!$B$7:$H$7,0))/10000)</f>
        <v>26.077999999999999</v>
      </c>
      <c r="D10" s="405">
        <f t="shared" si="1"/>
        <v>2.6075619295958279</v>
      </c>
      <c r="E10" s="127"/>
      <c r="F10" s="127">
        <f t="shared" si="2"/>
        <v>153</v>
      </c>
      <c r="G10" s="404">
        <f>SUM(INDEX('Population Data'!$B$8:$H$46,MATCH('Raw - New Builds'!$A10,'Population Data'!$A$8:$A$46,0),MATCH('Raw - New Builds'!F$7,'Population Data'!$B$7:$H$7,0))/10000)</f>
        <v>26.268999999999998</v>
      </c>
      <c r="H10" s="405">
        <f t="shared" si="3"/>
        <v>5.8243557044424987</v>
      </c>
      <c r="I10" s="127"/>
      <c r="J10" s="127">
        <f t="shared" si="4"/>
        <v>105</v>
      </c>
      <c r="K10" s="404">
        <f>SUM(INDEX('Population Data'!$B$8:$I$46,MATCH('Raw - New Builds'!$A10,'Population Data'!$A$8:$A$46,0),MATCH('Raw - New Builds'!J$7,'Population Data'!$B$7:$I$7,0))/10000)</f>
        <v>26.375</v>
      </c>
      <c r="L10" s="405">
        <f t="shared" si="5"/>
        <v>3.9810426540284358</v>
      </c>
      <c r="M10" s="127"/>
      <c r="N10" s="127">
        <f t="shared" si="6"/>
        <v>165</v>
      </c>
      <c r="O10" s="404">
        <f>SUM(INDEX('Population Data'!$B$8:$I$46,MATCH('Raw - New Builds'!$A10,'Population Data'!$A$8:$A$46,0),MATCH(J$7,'Population Data'!$B$7:$I$7,0))/10000)</f>
        <v>26.375</v>
      </c>
      <c r="P10" s="405">
        <f t="shared" si="7"/>
        <v>6.2559241706161135</v>
      </c>
    </row>
    <row r="11" spans="1:44" ht="10.5">
      <c r="A11" s="124" t="s">
        <v>16</v>
      </c>
      <c r="B11" s="127">
        <f t="shared" si="0"/>
        <v>91</v>
      </c>
      <c r="C11" s="404">
        <f>SUM(INDEX('Population Data'!$B$8:$H$46,MATCH('Raw - New Builds'!$A11,'Population Data'!$A$8:$A$46,0),MATCH('Raw - New Builds'!B$7,'Population Data'!$B$7:$H$7,0))/10000)</f>
        <v>11.582000000000001</v>
      </c>
      <c r="D11" s="405">
        <f t="shared" si="1"/>
        <v>7.8570195130374714</v>
      </c>
      <c r="E11" s="127"/>
      <c r="F11" s="127">
        <f t="shared" si="2"/>
        <v>164</v>
      </c>
      <c r="G11" s="404">
        <f>SUM(INDEX('Population Data'!$B$8:$H$46,MATCH('Raw - New Builds'!$A11,'Population Data'!$A$8:$A$46,0),MATCH('Raw - New Builds'!F$7,'Population Data'!$B$7:$H$7,0))/10000)</f>
        <v>11.612</v>
      </c>
      <c r="H11" s="405">
        <f t="shared" si="3"/>
        <v>14.123320702721323</v>
      </c>
      <c r="I11" s="127"/>
      <c r="J11" s="127">
        <f t="shared" si="4"/>
        <v>84</v>
      </c>
      <c r="K11" s="404">
        <f>SUM(INDEX('Population Data'!$B$8:$I$46,MATCH('Raw - New Builds'!$A11,'Population Data'!$A$8:$A$46,0),MATCH('Raw - New Builds'!J$7,'Population Data'!$B$7:$I$7,0))/10000)</f>
        <v>11.465999999999999</v>
      </c>
      <c r="L11" s="405">
        <f t="shared" si="5"/>
        <v>7.3260073260073266</v>
      </c>
      <c r="M11" s="127"/>
      <c r="N11" s="127">
        <f t="shared" si="6"/>
        <v>48</v>
      </c>
      <c r="O11" s="404">
        <f>SUM(INDEX('Population Data'!$B$8:$I$46,MATCH('Raw - New Builds'!$A11,'Population Data'!$A$8:$A$46,0),MATCH(J$7,'Population Data'!$B$7:$I$7,0))/10000)</f>
        <v>11.465999999999999</v>
      </c>
      <c r="P11" s="405">
        <f t="shared" si="7"/>
        <v>4.1862899005756153</v>
      </c>
    </row>
    <row r="12" spans="1:44" ht="10.5">
      <c r="A12" s="124" t="s">
        <v>17</v>
      </c>
      <c r="B12" s="127">
        <f t="shared" si="0"/>
        <v>67</v>
      </c>
      <c r="C12" s="404">
        <f>SUM(INDEX('Population Data'!$B$8:$H$46,MATCH('Raw - New Builds'!$A12,'Population Data'!$A$8:$A$46,0),MATCH('Raw - New Builds'!B$7,'Population Data'!$B$7:$H$7,0))/10000)</f>
        <v>8.5429999999999993</v>
      </c>
      <c r="D12" s="405">
        <f t="shared" si="1"/>
        <v>7.8426782160833435</v>
      </c>
      <c r="E12" s="127"/>
      <c r="F12" s="127">
        <f t="shared" si="2"/>
        <v>36</v>
      </c>
      <c r="G12" s="404">
        <f>SUM(INDEX('Population Data'!$B$8:$H$46,MATCH('Raw - New Builds'!$A12,'Population Data'!$A$8:$A$46,0),MATCH('Raw - New Builds'!F$7,'Population Data'!$B$7:$H$7,0))/10000)</f>
        <v>8.6219999999999999</v>
      </c>
      <c r="H12" s="405">
        <f t="shared" si="3"/>
        <v>4.1753653444676413</v>
      </c>
      <c r="I12" s="127"/>
      <c r="J12" s="127">
        <f t="shared" si="4"/>
        <v>28</v>
      </c>
      <c r="K12" s="404">
        <f>SUM(INDEX('Population Data'!$B$8:$I$46,MATCH('Raw - New Builds'!$A12,'Population Data'!$A$8:$A$46,0),MATCH('Raw - New Builds'!J$7,'Population Data'!$B$7:$I$7,0))/10000)</f>
        <v>8.7919999999999998</v>
      </c>
      <c r="L12" s="405">
        <f t="shared" si="5"/>
        <v>3.1847133757961785</v>
      </c>
      <c r="M12" s="127"/>
      <c r="N12" s="127">
        <f t="shared" si="6"/>
        <v>327</v>
      </c>
      <c r="O12" s="404">
        <f>SUM(INDEX('Population Data'!$B$8:$I$46,MATCH('Raw - New Builds'!$A12,'Population Data'!$A$8:$A$46,0),MATCH(J$7,'Population Data'!$B$7:$I$7,0))/10000)</f>
        <v>8.7919999999999998</v>
      </c>
      <c r="P12" s="405">
        <f t="shared" si="7"/>
        <v>37.192902638762511</v>
      </c>
    </row>
    <row r="13" spans="1:44" ht="10.5">
      <c r="A13" s="124" t="s">
        <v>18</v>
      </c>
      <c r="B13" s="127">
        <f t="shared" si="0"/>
        <v>0</v>
      </c>
      <c r="C13" s="404">
        <f>SUM(INDEX('Population Data'!$B$8:$H$46,MATCH('Raw - New Builds'!$A13,'Population Data'!$A$8:$A$46,0),MATCH('Raw - New Builds'!B$7,'Population Data'!$B$7:$H$7,0))/10000)</f>
        <v>5.1289999999999996</v>
      </c>
      <c r="D13" s="405">
        <f t="shared" si="1"/>
        <v>0</v>
      </c>
      <c r="E13" s="127"/>
      <c r="F13" s="127">
        <f t="shared" si="2"/>
        <v>35</v>
      </c>
      <c r="G13" s="404">
        <f>SUM(INDEX('Population Data'!$B$8:$H$46,MATCH('Raw - New Builds'!$A13,'Population Data'!$A$8:$A$46,0),MATCH('Raw - New Builds'!F$7,'Population Data'!$B$7:$H$7,0))/10000)</f>
        <v>5.1539999999999999</v>
      </c>
      <c r="H13" s="405">
        <f t="shared" si="3"/>
        <v>6.7908420644159877</v>
      </c>
      <c r="I13" s="127"/>
      <c r="J13" s="127">
        <f t="shared" si="4"/>
        <v>57</v>
      </c>
      <c r="K13" s="404">
        <f>SUM(INDEX('Population Data'!$B$8:$I$46,MATCH('Raw - New Builds'!$A13,'Population Data'!$A$8:$A$46,0),MATCH('Raw - New Builds'!J$7,'Population Data'!$B$7:$I$7,0))/10000)</f>
        <v>5.1749999999999998</v>
      </c>
      <c r="L13" s="405">
        <f t="shared" si="5"/>
        <v>11.014492753623189</v>
      </c>
      <c r="M13" s="127"/>
      <c r="N13" s="127">
        <f t="shared" si="6"/>
        <v>60</v>
      </c>
      <c r="O13" s="404">
        <f>SUM(INDEX('Population Data'!$B$8:$I$46,MATCH('Raw - New Builds'!$A13,'Population Data'!$A$8:$A$46,0),MATCH(J$7,'Population Data'!$B$7:$I$7,0))/10000)</f>
        <v>5.1749999999999998</v>
      </c>
      <c r="P13" s="405">
        <f t="shared" si="7"/>
        <v>11.594202898550725</v>
      </c>
    </row>
    <row r="14" spans="1:44" ht="10.5">
      <c r="A14" s="124" t="s">
        <v>19</v>
      </c>
      <c r="B14" s="127">
        <f t="shared" si="0"/>
        <v>74</v>
      </c>
      <c r="C14" s="404">
        <f>SUM(INDEX('Population Data'!$B$8:$H$46,MATCH('Raw - New Builds'!$A14,'Population Data'!$A$8:$A$46,0),MATCH('Raw - New Builds'!B$7,'Population Data'!$B$7:$H$7,0))/10000)</f>
        <v>14.829000000000001</v>
      </c>
      <c r="D14" s="405">
        <f t="shared" si="1"/>
        <v>4.9902218625665924</v>
      </c>
      <c r="E14" s="127"/>
      <c r="F14" s="127">
        <f t="shared" si="2"/>
        <v>66</v>
      </c>
      <c r="G14" s="404">
        <f>SUM(INDEX('Population Data'!$B$8:$H$46,MATCH('Raw - New Builds'!$A14,'Population Data'!$A$8:$A$46,0),MATCH('Raw - New Builds'!F$7,'Population Data'!$B$7:$H$7,0))/10000)</f>
        <v>14.879</v>
      </c>
      <c r="H14" s="405">
        <f t="shared" si="3"/>
        <v>4.4357819745950673</v>
      </c>
      <c r="I14" s="127"/>
      <c r="J14" s="127">
        <f t="shared" si="4"/>
        <v>328</v>
      </c>
      <c r="K14" s="404">
        <f>SUM(INDEX('Population Data'!$B$8:$I$46,MATCH('Raw - New Builds'!$A14,'Population Data'!$A$8:$A$46,0),MATCH('Raw - New Builds'!J$7,'Population Data'!$B$7:$I$7,0))/10000)</f>
        <v>14.577</v>
      </c>
      <c r="L14" s="405">
        <f t="shared" si="5"/>
        <v>22.501200521369281</v>
      </c>
      <c r="M14" s="127"/>
      <c r="N14" s="127">
        <f t="shared" si="6"/>
        <v>67</v>
      </c>
      <c r="O14" s="404">
        <f>SUM(INDEX('Population Data'!$B$8:$I$46,MATCH('Raw - New Builds'!$A14,'Population Data'!$A$8:$A$46,0),MATCH(J$7,'Population Data'!$B$7:$I$7,0))/10000)</f>
        <v>14.577</v>
      </c>
      <c r="P14" s="405">
        <f t="shared" si="7"/>
        <v>4.5962818138162858</v>
      </c>
    </row>
    <row r="15" spans="1:44" ht="10.5">
      <c r="A15" s="124" t="s">
        <v>20</v>
      </c>
      <c r="B15" s="127">
        <f t="shared" si="0"/>
        <v>56</v>
      </c>
      <c r="C15" s="404">
        <f>SUM(INDEX('Population Data'!$B$8:$H$46,MATCH('Raw - New Builds'!$A15,'Population Data'!$A$8:$A$46,0),MATCH('Raw - New Builds'!B$7,'Population Data'!$B$7:$H$7,0))/10000)</f>
        <v>14.882</v>
      </c>
      <c r="D15" s="405">
        <f t="shared" si="1"/>
        <v>3.7629350893697087</v>
      </c>
      <c r="E15" s="127"/>
      <c r="F15" s="127">
        <f t="shared" si="2"/>
        <v>69</v>
      </c>
      <c r="G15" s="404">
        <f>SUM(INDEX('Population Data'!$B$8:$H$46,MATCH('Raw - New Builds'!$A15,'Population Data'!$A$8:$A$46,0),MATCH('Raw - New Builds'!F$7,'Population Data'!$B$7:$H$7,0))/10000)</f>
        <v>14.772</v>
      </c>
      <c r="H15" s="405">
        <f t="shared" si="3"/>
        <v>4.6709991876523151</v>
      </c>
      <c r="I15" s="127"/>
      <c r="J15" s="127">
        <f t="shared" si="4"/>
        <v>82</v>
      </c>
      <c r="K15" s="404">
        <f>SUM(INDEX('Population Data'!$B$8:$I$46,MATCH('Raw - New Builds'!$A15,'Population Data'!$A$8:$A$46,0),MATCH('Raw - New Builds'!J$7,'Population Data'!$B$7:$I$7,0))/10000)</f>
        <v>14.835000000000001</v>
      </c>
      <c r="L15" s="405">
        <f t="shared" si="5"/>
        <v>5.5274688237276708</v>
      </c>
      <c r="M15" s="127"/>
      <c r="N15" s="127">
        <f t="shared" si="6"/>
        <v>197</v>
      </c>
      <c r="O15" s="404">
        <f>SUM(INDEX('Population Data'!$B$8:$I$46,MATCH('Raw - New Builds'!$A15,'Population Data'!$A$8:$A$46,0),MATCH(J$7,'Population Data'!$B$7:$I$7,0))/10000)</f>
        <v>14.835000000000001</v>
      </c>
      <c r="P15" s="405">
        <f t="shared" si="7"/>
        <v>13.279406808223793</v>
      </c>
    </row>
    <row r="16" spans="1:44" ht="10.5">
      <c r="A16" s="124" t="s">
        <v>21</v>
      </c>
      <c r="B16" s="127">
        <f t="shared" si="0"/>
        <v>93</v>
      </c>
      <c r="C16" s="404">
        <f>SUM(INDEX('Population Data'!$B$8:$H$46,MATCH('Raw - New Builds'!$A16,'Population Data'!$A$8:$A$46,0),MATCH('Raw - New Builds'!B$7,'Population Data'!$B$7:$H$7,0))/10000)</f>
        <v>12.16</v>
      </c>
      <c r="D16" s="405">
        <f t="shared" si="1"/>
        <v>7.6480263157894735</v>
      </c>
      <c r="E16" s="127"/>
      <c r="F16" s="127">
        <f t="shared" si="2"/>
        <v>23</v>
      </c>
      <c r="G16" s="404">
        <f>SUM(INDEX('Population Data'!$B$8:$H$46,MATCH('Raw - New Builds'!$A16,'Population Data'!$A$8:$A$46,0),MATCH('Raw - New Builds'!F$7,'Population Data'!$B$7:$H$7,0))/10000)</f>
        <v>12.202</v>
      </c>
      <c r="H16" s="405">
        <f t="shared" si="3"/>
        <v>1.8849368955908867</v>
      </c>
      <c r="I16" s="127"/>
      <c r="J16" s="127">
        <f t="shared" si="4"/>
        <v>84</v>
      </c>
      <c r="K16" s="404">
        <f>SUM(INDEX('Population Data'!$B$8:$I$46,MATCH('Raw - New Builds'!$A16,'Population Data'!$A$8:$A$46,0),MATCH('Raw - New Builds'!J$7,'Population Data'!$B$7:$I$7,0))/10000)</f>
        <v>12.039</v>
      </c>
      <c r="L16" s="405">
        <f t="shared" si="5"/>
        <v>6.9773236979815598</v>
      </c>
      <c r="M16" s="127"/>
      <c r="N16" s="127">
        <f t="shared" si="6"/>
        <v>96</v>
      </c>
      <c r="O16" s="404">
        <f>SUM(INDEX('Population Data'!$B$8:$I$46,MATCH('Raw - New Builds'!$A16,'Population Data'!$A$8:$A$46,0),MATCH(J$7,'Population Data'!$B$7:$I$7,0))/10000)</f>
        <v>12.039</v>
      </c>
      <c r="P16" s="405">
        <f t="shared" si="7"/>
        <v>7.9740842262646403</v>
      </c>
    </row>
    <row r="17" spans="1:16" ht="10.5">
      <c r="A17" s="124" t="s">
        <v>22</v>
      </c>
      <c r="B17" s="127">
        <f t="shared" si="0"/>
        <v>109</v>
      </c>
      <c r="C17" s="404">
        <f>SUM(INDEX('Population Data'!$B$8:$H$46,MATCH('Raw - New Builds'!$A17,'Population Data'!$A$8:$A$46,0),MATCH('Raw - New Builds'!B$7,'Population Data'!$B$7:$H$7,0))/10000)</f>
        <v>10.875</v>
      </c>
      <c r="D17" s="405">
        <f t="shared" si="1"/>
        <v>10.022988505747126</v>
      </c>
      <c r="E17" s="127"/>
      <c r="F17" s="127">
        <f t="shared" si="2"/>
        <v>173</v>
      </c>
      <c r="G17" s="404">
        <f>SUM(INDEX('Population Data'!$B$8:$H$46,MATCH('Raw - New Builds'!$A17,'Population Data'!$A$8:$A$46,0),MATCH('Raw - New Builds'!F$7,'Population Data'!$B$7:$H$7,0))/10000)</f>
        <v>10.89</v>
      </c>
      <c r="H17" s="405">
        <f t="shared" si="3"/>
        <v>15.886134067952248</v>
      </c>
      <c r="I17" s="127"/>
      <c r="J17" s="127">
        <f t="shared" si="4"/>
        <v>25</v>
      </c>
      <c r="K17" s="404">
        <f>SUM(INDEX('Population Data'!$B$8:$I$46,MATCH('Raw - New Builds'!$A17,'Population Data'!$A$8:$A$46,0),MATCH('Raw - New Builds'!J$7,'Population Data'!$B$7:$I$7,0))/10000)</f>
        <v>10.898</v>
      </c>
      <c r="L17" s="405">
        <f t="shared" si="5"/>
        <v>2.2939988988805284</v>
      </c>
      <c r="M17" s="127"/>
      <c r="N17" s="127">
        <f t="shared" si="6"/>
        <v>67</v>
      </c>
      <c r="O17" s="404">
        <f>SUM(INDEX('Population Data'!$B$8:$I$46,MATCH('Raw - New Builds'!$A17,'Population Data'!$A$8:$A$46,0),MATCH(J$7,'Population Data'!$B$7:$I$7,0))/10000)</f>
        <v>10.898</v>
      </c>
      <c r="P17" s="405">
        <f t="shared" si="7"/>
        <v>6.1479170489998163</v>
      </c>
    </row>
    <row r="18" spans="1:16" ht="10.5">
      <c r="A18" s="124" t="s">
        <v>23</v>
      </c>
      <c r="B18" s="127">
        <f t="shared" si="0"/>
        <v>127</v>
      </c>
      <c r="C18" s="404">
        <f>SUM(INDEX('Population Data'!$B$8:$H$46,MATCH('Raw - New Builds'!$A18,'Population Data'!$A$8:$A$46,0),MATCH('Raw - New Builds'!B$7,'Population Data'!$B$7:$H$7,0))/10000)</f>
        <v>10.79</v>
      </c>
      <c r="D18" s="405">
        <f t="shared" si="1"/>
        <v>11.770157553290085</v>
      </c>
      <c r="E18" s="127"/>
      <c r="F18" s="127">
        <f t="shared" si="2"/>
        <v>98</v>
      </c>
      <c r="G18" s="404">
        <f>SUM(INDEX('Population Data'!$B$8:$H$46,MATCH('Raw - New Builds'!$A18,'Population Data'!$A$8:$A$46,0),MATCH('Raw - New Builds'!F$7,'Population Data'!$B$7:$H$7,0))/10000)</f>
        <v>10.958</v>
      </c>
      <c r="H18" s="405">
        <f t="shared" si="3"/>
        <v>8.9432378171199129</v>
      </c>
      <c r="I18" s="127"/>
      <c r="J18" s="127">
        <f t="shared" si="4"/>
        <v>114</v>
      </c>
      <c r="K18" s="404">
        <f>SUM(INDEX('Population Data'!$B$8:$I$46,MATCH('Raw - New Builds'!$A18,'Population Data'!$A$8:$A$46,0),MATCH('Raw - New Builds'!J$7,'Population Data'!$B$7:$I$7,0))/10000)</f>
        <v>11.244999999999999</v>
      </c>
      <c r="L18" s="405">
        <f t="shared" si="5"/>
        <v>10.137839039573144</v>
      </c>
      <c r="M18" s="127"/>
      <c r="N18" s="127">
        <f t="shared" si="6"/>
        <v>166</v>
      </c>
      <c r="O18" s="404">
        <f>SUM(INDEX('Population Data'!$B$8:$I$46,MATCH('Raw - New Builds'!$A18,'Population Data'!$A$8:$A$46,0),MATCH(J$7,'Population Data'!$B$7:$I$7,0))/10000)</f>
        <v>11.244999999999999</v>
      </c>
      <c r="P18" s="405">
        <f t="shared" si="7"/>
        <v>14.762116496220543</v>
      </c>
    </row>
    <row r="19" spans="1:16" ht="10.5">
      <c r="A19" s="124" t="s">
        <v>24</v>
      </c>
      <c r="B19" s="127">
        <f t="shared" si="0"/>
        <v>12</v>
      </c>
      <c r="C19" s="404">
        <f>SUM(INDEX('Population Data'!$B$8:$H$46,MATCH('Raw - New Builds'!$A19,'Population Data'!$A$8:$A$46,0),MATCH('Raw - New Builds'!B$7,'Population Data'!$B$7:$H$7,0))/10000)</f>
        <v>9.6059999999999999</v>
      </c>
      <c r="D19" s="405">
        <f t="shared" si="1"/>
        <v>1.2492192379762648</v>
      </c>
      <c r="E19" s="127"/>
      <c r="F19" s="127">
        <f t="shared" si="2"/>
        <v>101</v>
      </c>
      <c r="G19" s="404">
        <f>SUM(INDEX('Population Data'!$B$8:$H$46,MATCH('Raw - New Builds'!$A19,'Population Data'!$A$8:$A$46,0),MATCH('Raw - New Builds'!F$7,'Population Data'!$B$7:$H$7,0))/10000)</f>
        <v>9.6579999999999995</v>
      </c>
      <c r="H19" s="405">
        <f t="shared" si="3"/>
        <v>10.457651687720025</v>
      </c>
      <c r="I19" s="127"/>
      <c r="J19" s="127">
        <f t="shared" si="4"/>
        <v>101</v>
      </c>
      <c r="K19" s="404">
        <f>SUM(INDEX('Population Data'!$B$8:$I$46,MATCH('Raw - New Builds'!$A19,'Population Data'!$A$8:$A$46,0),MATCH('Raw - New Builds'!J$7,'Population Data'!$B$7:$I$7,0))/10000)</f>
        <v>9.7159999999999993</v>
      </c>
      <c r="L19" s="405">
        <f t="shared" si="5"/>
        <v>10.395224372169618</v>
      </c>
      <c r="M19" s="127"/>
      <c r="N19" s="127">
        <f t="shared" si="6"/>
        <v>78</v>
      </c>
      <c r="O19" s="404">
        <f>SUM(INDEX('Population Data'!$B$8:$I$46,MATCH('Raw - New Builds'!$A19,'Population Data'!$A$8:$A$46,0),MATCH(J$7,'Population Data'!$B$7:$I$7,0))/10000)</f>
        <v>9.7159999999999993</v>
      </c>
      <c r="P19" s="405">
        <f t="shared" si="7"/>
        <v>8.027995059695348</v>
      </c>
    </row>
    <row r="20" spans="1:16" ht="12.5">
      <c r="A20" s="6" t="s">
        <v>189</v>
      </c>
      <c r="B20" s="127">
        <f t="shared" si="0"/>
        <v>694</v>
      </c>
      <c r="C20" s="404">
        <f>SUM(INDEX('Population Data'!$B$8:$H$46,MATCH('Raw - New Builds'!$A20,'Population Data'!$A$8:$A$46,0),MATCH('Raw - New Builds'!B$7,'Population Data'!$B$7:$H$7,0))/10000)</f>
        <v>52.762</v>
      </c>
      <c r="D20" s="405">
        <f t="shared" si="1"/>
        <v>13.15340586027823</v>
      </c>
      <c r="E20" s="127"/>
      <c r="F20" s="127">
        <f t="shared" si="2"/>
        <v>245</v>
      </c>
      <c r="G20" s="404">
        <f>SUM(INDEX('Population Data'!$B$8:$H$46,MATCH('Raw - New Builds'!$A20,'Population Data'!$A$8:$A$46,0),MATCH('Raw - New Builds'!F$7,'Population Data'!$B$7:$H$7,0))/10000)</f>
        <v>52.646999999999998</v>
      </c>
      <c r="H20" s="405">
        <f t="shared" si="3"/>
        <v>4.6536364845100389</v>
      </c>
      <c r="I20" s="127"/>
      <c r="J20" s="127">
        <f t="shared" si="4"/>
        <v>453</v>
      </c>
      <c r="K20" s="404">
        <f>SUM(INDEX('Population Data'!$B$8:$I$46,MATCH('Raw - New Builds'!$A20,'Population Data'!$A$8:$A$46,0),MATCH('Raw - New Builds'!J$7,'Population Data'!$B$7:$I$7,0))/10000)</f>
        <v>51.499000000000002</v>
      </c>
      <c r="L20" s="405">
        <f t="shared" si="5"/>
        <v>8.7962873065496421</v>
      </c>
      <c r="M20" s="127"/>
      <c r="N20" s="127">
        <f t="shared" si="6"/>
        <v>302</v>
      </c>
      <c r="O20" s="404">
        <f>SUM(INDEX('Population Data'!$B$8:$I$46,MATCH('Raw - New Builds'!$A20,'Population Data'!$A$8:$A$46,0),MATCH(J$7,'Population Data'!$B$7:$I$7,0))/10000)</f>
        <v>51.499000000000002</v>
      </c>
      <c r="P20" s="405">
        <f t="shared" si="7"/>
        <v>5.8641915376997611</v>
      </c>
    </row>
    <row r="21" spans="1:16" ht="10.5">
      <c r="A21" s="124" t="s">
        <v>25</v>
      </c>
      <c r="B21" s="127">
        <f t="shared" si="0"/>
        <v>82</v>
      </c>
      <c r="C21" s="404">
        <f>SUM(INDEX('Population Data'!$B$8:$H$46,MATCH('Raw - New Builds'!$A21,'Population Data'!$A$8:$A$46,0),MATCH('Raw - New Builds'!B$7,'Population Data'!$B$7:$H$7,0))/10000)</f>
        <v>16.056000000000001</v>
      </c>
      <c r="D21" s="405">
        <f t="shared" si="1"/>
        <v>5.1071250622820124</v>
      </c>
      <c r="E21" s="127"/>
      <c r="F21" s="127">
        <f t="shared" si="2"/>
        <v>88</v>
      </c>
      <c r="G21" s="404">
        <f>SUM(INDEX('Population Data'!$B$8:$H$46,MATCH('Raw - New Builds'!$A21,'Population Data'!$A$8:$A$46,0),MATCH('Raw - New Builds'!F$7,'Population Data'!$B$7:$H$7,0))/10000)</f>
        <v>16.07</v>
      </c>
      <c r="H21" s="405">
        <f t="shared" si="3"/>
        <v>5.4760423148724326</v>
      </c>
      <c r="I21" s="127"/>
      <c r="J21" s="127">
        <f t="shared" si="4"/>
        <v>70</v>
      </c>
      <c r="K21" s="404">
        <f>SUM(INDEX('Population Data'!$B$8:$I$46,MATCH('Raw - New Builds'!$A21,'Population Data'!$A$8:$A$46,0),MATCH('Raw - New Builds'!J$7,'Population Data'!$B$7:$I$7,0))/10000)</f>
        <v>15.845000000000001</v>
      </c>
      <c r="L21" s="405">
        <f t="shared" si="5"/>
        <v>4.417797412432944</v>
      </c>
      <c r="M21" s="127"/>
      <c r="N21" s="127">
        <f t="shared" si="6"/>
        <v>112</v>
      </c>
      <c r="O21" s="404">
        <f>SUM(INDEX('Population Data'!$B$8:$I$46,MATCH('Raw - New Builds'!$A21,'Population Data'!$A$8:$A$46,0),MATCH(J$7,'Population Data'!$B$7:$I$7,0))/10000)</f>
        <v>15.845000000000001</v>
      </c>
      <c r="P21" s="405">
        <f t="shared" si="7"/>
        <v>7.0684758598927102</v>
      </c>
    </row>
    <row r="22" spans="1:16" ht="10.5">
      <c r="A22" s="124" t="s">
        <v>26</v>
      </c>
      <c r="B22" s="127">
        <f t="shared" si="0"/>
        <v>437</v>
      </c>
      <c r="C22" s="404">
        <f>SUM(INDEX('Population Data'!$B$8:$H$46,MATCH('Raw - New Builds'!$A22,'Population Data'!$A$8:$A$46,0),MATCH('Raw - New Builds'!B$7,'Population Data'!$B$7:$H$7,0))/10000)</f>
        <v>37.412999999999997</v>
      </c>
      <c r="D22" s="405">
        <f t="shared" si="1"/>
        <v>11.680431935423517</v>
      </c>
      <c r="E22" s="127"/>
      <c r="F22" s="127">
        <f t="shared" si="2"/>
        <v>214</v>
      </c>
      <c r="G22" s="404">
        <f>SUM(INDEX('Population Data'!$B$8:$H$46,MATCH('Raw - New Builds'!$A22,'Population Data'!$A$8:$A$46,0),MATCH('Raw - New Builds'!F$7,'Population Data'!$B$7:$H$7,0))/10000)</f>
        <v>37.472999999999999</v>
      </c>
      <c r="H22" s="405">
        <f t="shared" si="3"/>
        <v>5.710778427134203</v>
      </c>
      <c r="I22" s="127"/>
      <c r="J22" s="127">
        <f t="shared" si="4"/>
        <v>481</v>
      </c>
      <c r="K22" s="404">
        <f>SUM(INDEX('Population Data'!$B$8:$I$46,MATCH('Raw - New Builds'!$A22,'Population Data'!$A$8:$A$46,0),MATCH('Raw - New Builds'!J$7,'Population Data'!$B$7:$I$7,0))/10000)</f>
        <v>37.134</v>
      </c>
      <c r="L22" s="405">
        <f t="shared" si="5"/>
        <v>12.953088813486293</v>
      </c>
      <c r="M22" s="127"/>
      <c r="N22" s="127">
        <f t="shared" si="6"/>
        <v>444</v>
      </c>
      <c r="O22" s="404">
        <f>SUM(INDEX('Population Data'!$B$8:$I$46,MATCH('Raw - New Builds'!$A22,'Population Data'!$A$8:$A$46,0),MATCH(J$7,'Population Data'!$B$7:$I$7,0))/10000)</f>
        <v>37.134</v>
      </c>
      <c r="P22" s="405">
        <f t="shared" si="7"/>
        <v>11.956697366295039</v>
      </c>
    </row>
    <row r="23" spans="1:16" ht="10.5">
      <c r="A23" s="124" t="s">
        <v>27</v>
      </c>
      <c r="B23" s="127">
        <f t="shared" si="0"/>
        <v>779</v>
      </c>
      <c r="C23" s="404">
        <f>SUM(INDEX('Population Data'!$B$8:$H$46,MATCH('Raw - New Builds'!$A23,'Population Data'!$A$8:$A$46,0),MATCH('Raw - New Builds'!B$7,'Population Data'!$B$7:$H$7,0))/10000)</f>
        <v>63.564</v>
      </c>
      <c r="D23" s="405">
        <f t="shared" si="1"/>
        <v>12.25536467182682</v>
      </c>
      <c r="E23" s="127"/>
      <c r="F23" s="127">
        <f t="shared" si="2"/>
        <v>656</v>
      </c>
      <c r="G23" s="404">
        <f>SUM(INDEX('Population Data'!$B$8:$H$46,MATCH('Raw - New Builds'!$A23,'Population Data'!$A$8:$A$46,0),MATCH('Raw - New Builds'!F$7,'Population Data'!$B$7:$H$7,0))/10000)</f>
        <v>63.512999999999998</v>
      </c>
      <c r="H23" s="405">
        <f t="shared" si="3"/>
        <v>10.328594146080331</v>
      </c>
      <c r="I23" s="127"/>
      <c r="J23" s="127">
        <f t="shared" si="4"/>
        <v>587</v>
      </c>
      <c r="K23" s="404">
        <f>SUM(INDEX('Population Data'!$B$8:$I$46,MATCH('Raw - New Builds'!$A23,'Population Data'!$A$8:$A$46,0),MATCH('Raw - New Builds'!J$7,'Population Data'!$B$7:$I$7,0))/10000)</f>
        <v>62.281999999999996</v>
      </c>
      <c r="L23" s="405">
        <f t="shared" si="5"/>
        <v>9.4248739603737839</v>
      </c>
      <c r="M23" s="127"/>
      <c r="N23" s="127">
        <f t="shared" si="6"/>
        <v>638</v>
      </c>
      <c r="O23" s="404">
        <f>SUM(INDEX('Population Data'!$B$8:$I$46,MATCH('Raw - New Builds'!$A23,'Population Data'!$A$8:$A$46,0),MATCH(J$7,'Population Data'!$B$7:$I$7,0))/10000)</f>
        <v>62.281999999999996</v>
      </c>
      <c r="P23" s="405">
        <f t="shared" si="7"/>
        <v>10.243730130695868</v>
      </c>
    </row>
    <row r="24" spans="1:16" ht="10.5">
      <c r="A24" s="124" t="s">
        <v>28</v>
      </c>
      <c r="B24" s="127">
        <f t="shared" si="0"/>
        <v>156</v>
      </c>
      <c r="C24" s="404">
        <f>SUM(INDEX('Population Data'!$B$8:$H$46,MATCH('Raw - New Builds'!$A24,'Population Data'!$A$8:$A$46,0),MATCH('Raw - New Builds'!B$7,'Population Data'!$B$7:$H$7,0))/10000)</f>
        <v>23.542999999999999</v>
      </c>
      <c r="D24" s="405">
        <f t="shared" si="1"/>
        <v>6.6261733848702375</v>
      </c>
      <c r="E24" s="127"/>
      <c r="F24" s="127">
        <f t="shared" si="2"/>
        <v>514</v>
      </c>
      <c r="G24" s="404">
        <f>SUM(INDEX('Population Data'!$B$8:$H$46,MATCH('Raw - New Builds'!$A24,'Population Data'!$A$8:$A$46,0),MATCH('Raw - New Builds'!F$7,'Population Data'!$B$7:$H$7,0))/10000)</f>
        <v>23.806000000000001</v>
      </c>
      <c r="H24" s="405">
        <f t="shared" si="3"/>
        <v>21.591195496933544</v>
      </c>
      <c r="I24" s="127"/>
      <c r="J24" s="127">
        <f t="shared" si="4"/>
        <v>363</v>
      </c>
      <c r="K24" s="404">
        <f>SUM(INDEX('Population Data'!$B$8:$I$46,MATCH('Raw - New Builds'!$A24,'Population Data'!$A$8:$A$46,0),MATCH('Raw - New Builds'!J$7,'Population Data'!$B$7:$I$7,0))/10000)</f>
        <v>23.571000000000002</v>
      </c>
      <c r="L24" s="405">
        <f t="shared" si="5"/>
        <v>15.400280005091</v>
      </c>
      <c r="M24" s="127"/>
      <c r="N24" s="127">
        <f t="shared" si="6"/>
        <v>291</v>
      </c>
      <c r="O24" s="404">
        <f>SUM(INDEX('Population Data'!$B$8:$I$46,MATCH('Raw - New Builds'!$A24,'Population Data'!$A$8:$A$46,0),MATCH(J$7,'Population Data'!$B$7:$I$7,0))/10000)</f>
        <v>23.571000000000002</v>
      </c>
      <c r="P24" s="405">
        <f t="shared" si="7"/>
        <v>12.345679012345679</v>
      </c>
    </row>
    <row r="25" spans="1:16" ht="10.5">
      <c r="A25" s="124" t="s">
        <v>29</v>
      </c>
      <c r="B25" s="127">
        <f t="shared" si="0"/>
        <v>36</v>
      </c>
      <c r="C25" s="404">
        <f>SUM(INDEX('Population Data'!$B$8:$H$46,MATCH('Raw - New Builds'!$A25,'Population Data'!$A$8:$A$46,0),MATCH('Raw - New Builds'!B$7,'Population Data'!$B$7:$H$7,0))/10000)</f>
        <v>7.7060000000000004</v>
      </c>
      <c r="D25" s="405">
        <f t="shared" si="1"/>
        <v>4.6716844017648587</v>
      </c>
      <c r="E25" s="127"/>
      <c r="F25" s="127">
        <f t="shared" si="2"/>
        <v>357</v>
      </c>
      <c r="G25" s="404">
        <f>SUM(INDEX('Population Data'!$B$8:$H$46,MATCH('Raw - New Builds'!$A25,'Population Data'!$A$8:$A$46,0),MATCH('Raw - New Builds'!F$7,'Population Data'!$B$7:$H$7,0))/10000)</f>
        <v>7.67</v>
      </c>
      <c r="H25" s="405">
        <f t="shared" si="3"/>
        <v>46.544980443285532</v>
      </c>
      <c r="I25" s="127"/>
      <c r="J25" s="127">
        <f t="shared" si="4"/>
        <v>293</v>
      </c>
      <c r="K25" s="404">
        <f>SUM(INDEX('Population Data'!$B$8:$I$46,MATCH('Raw - New Builds'!$A25,'Population Data'!$A$8:$A$46,0),MATCH('Raw - New Builds'!J$7,'Population Data'!$B$7:$I$7,0))/10000)</f>
        <v>7.8339999999999996</v>
      </c>
      <c r="L25" s="405">
        <f t="shared" si="5"/>
        <v>37.401072249170284</v>
      </c>
      <c r="M25" s="127"/>
      <c r="N25" s="127">
        <f t="shared" si="6"/>
        <v>198</v>
      </c>
      <c r="O25" s="404">
        <f>SUM(INDEX('Population Data'!$B$8:$I$46,MATCH('Raw - New Builds'!$A25,'Population Data'!$A$8:$A$46,0),MATCH(J$7,'Population Data'!$B$7:$I$7,0))/10000)</f>
        <v>7.8339999999999996</v>
      </c>
      <c r="P25" s="405">
        <f t="shared" si="7"/>
        <v>25.274444728108246</v>
      </c>
    </row>
    <row r="26" spans="1:16" ht="10.5">
      <c r="A26" s="124" t="s">
        <v>30</v>
      </c>
      <c r="B26" s="127">
        <f t="shared" si="0"/>
        <v>31</v>
      </c>
      <c r="C26" s="404">
        <f>SUM(INDEX('Population Data'!$B$8:$H$46,MATCH('Raw - New Builds'!$A26,'Population Data'!$A$8:$A$46,0),MATCH('Raw - New Builds'!B$7,'Population Data'!$B$7:$H$7,0))/10000)</f>
        <v>9.3149999999999995</v>
      </c>
      <c r="D26" s="405">
        <f t="shared" si="1"/>
        <v>3.3279656468062266</v>
      </c>
      <c r="E26" s="127"/>
      <c r="F26" s="127">
        <f t="shared" si="2"/>
        <v>138</v>
      </c>
      <c r="G26" s="404">
        <f>SUM(INDEX('Population Data'!$B$8:$H$46,MATCH('Raw - New Builds'!$A26,'Population Data'!$A$8:$A$46,0),MATCH('Raw - New Builds'!F$7,'Population Data'!$B$7:$H$7,0))/10000)</f>
        <v>9.468</v>
      </c>
      <c r="H26" s="405">
        <f t="shared" si="3"/>
        <v>14.575411913814955</v>
      </c>
      <c r="I26" s="127"/>
      <c r="J26" s="127">
        <f t="shared" si="4"/>
        <v>122</v>
      </c>
      <c r="K26" s="404">
        <f>SUM(INDEX('Population Data'!$B$8:$I$46,MATCH('Raw - New Builds'!$A26,'Population Data'!$A$8:$A$46,0),MATCH('Raw - New Builds'!J$7,'Population Data'!$B$7:$I$7,0))/10000)</f>
        <v>9.7029999999999994</v>
      </c>
      <c r="L26" s="405">
        <f t="shared" si="5"/>
        <v>12.573430897660518</v>
      </c>
      <c r="M26" s="127"/>
      <c r="N26" s="127">
        <f t="shared" si="6"/>
        <v>392</v>
      </c>
      <c r="O26" s="404">
        <f>SUM(INDEX('Population Data'!$B$8:$I$46,MATCH('Raw - New Builds'!$A26,'Population Data'!$A$8:$A$46,0),MATCH(J$7,'Population Data'!$B$7:$I$7,0))/10000)</f>
        <v>9.7029999999999994</v>
      </c>
      <c r="P26" s="405">
        <f t="shared" si="7"/>
        <v>40.399876326909208</v>
      </c>
    </row>
    <row r="27" spans="1:16" ht="10.5">
      <c r="A27" s="124" t="s">
        <v>31</v>
      </c>
      <c r="B27" s="127">
        <f t="shared" si="0"/>
        <v>102</v>
      </c>
      <c r="C27" s="404">
        <f>SUM(INDEX('Population Data'!$B$8:$H$46,MATCH('Raw - New Builds'!$A27,'Population Data'!$A$8:$A$46,0),MATCH('Raw - New Builds'!B$7,'Population Data'!$B$7:$H$7,0))/10000)</f>
        <v>9.5709999999999997</v>
      </c>
      <c r="D27" s="405">
        <f t="shared" si="1"/>
        <v>10.657193605683837</v>
      </c>
      <c r="E27" s="127"/>
      <c r="F27" s="127">
        <f t="shared" si="2"/>
        <v>187</v>
      </c>
      <c r="G27" s="404">
        <f>SUM(INDEX('Population Data'!$B$8:$H$46,MATCH('Raw - New Builds'!$A27,'Population Data'!$A$8:$A$46,0),MATCH('Raw - New Builds'!F$7,'Population Data'!$B$7:$H$7,0))/10000)</f>
        <v>9.641</v>
      </c>
      <c r="H27" s="405">
        <f t="shared" si="3"/>
        <v>19.396328181723888</v>
      </c>
      <c r="I27" s="127"/>
      <c r="J27" s="127">
        <f t="shared" si="4"/>
        <v>145</v>
      </c>
      <c r="K27" s="404">
        <f>SUM(INDEX('Population Data'!$B$8:$I$46,MATCH('Raw - New Builds'!$A27,'Population Data'!$A$8:$A$46,0),MATCH('Raw - New Builds'!J$7,'Population Data'!$B$7:$I$7,0))/10000)</f>
        <v>9.4280000000000008</v>
      </c>
      <c r="L27" s="405">
        <f t="shared" si="5"/>
        <v>15.379719983029274</v>
      </c>
      <c r="M27" s="127"/>
      <c r="N27" s="127">
        <f t="shared" si="6"/>
        <v>70</v>
      </c>
      <c r="O27" s="404">
        <f>SUM(INDEX('Population Data'!$B$8:$I$46,MATCH('Raw - New Builds'!$A27,'Population Data'!$A$8:$A$46,0),MATCH(J$7,'Population Data'!$B$7:$I$7,0))/10000)</f>
        <v>9.4280000000000008</v>
      </c>
      <c r="P27" s="405">
        <f t="shared" si="7"/>
        <v>7.4246924056003385</v>
      </c>
    </row>
    <row r="28" spans="1:16" ht="10.5">
      <c r="A28" s="124" t="s">
        <v>32</v>
      </c>
      <c r="B28" s="127">
        <f t="shared" si="0"/>
        <v>71</v>
      </c>
      <c r="C28" s="404">
        <f>SUM(INDEX('Population Data'!$B$8:$H$46,MATCH('Raw - New Builds'!$A28,'Population Data'!$A$8:$A$46,0),MATCH('Raw - New Builds'!B$7,'Population Data'!$B$7:$H$7,0))/10000)</f>
        <v>2.65</v>
      </c>
      <c r="D28" s="405">
        <f t="shared" si="1"/>
        <v>26.79245283018868</v>
      </c>
      <c r="E28" s="127"/>
      <c r="F28" s="127">
        <f t="shared" si="2"/>
        <v>21</v>
      </c>
      <c r="G28" s="404">
        <f>SUM(INDEX('Population Data'!$B$8:$H$46,MATCH('Raw - New Builds'!$A28,'Population Data'!$A$8:$A$46,0),MATCH('Raw - New Builds'!F$7,'Population Data'!$B$7:$H$7,0))/10000)</f>
        <v>2.6640000000000001</v>
      </c>
      <c r="H28" s="405">
        <f t="shared" si="3"/>
        <v>7.8828828828828827</v>
      </c>
      <c r="I28" s="127"/>
      <c r="J28" s="127">
        <f t="shared" si="4"/>
        <v>104</v>
      </c>
      <c r="K28" s="404">
        <f>SUM(INDEX('Population Data'!$B$8:$I$46,MATCH('Raw - New Builds'!$A28,'Population Data'!$A$8:$A$46,0),MATCH('Raw - New Builds'!J$7,'Population Data'!$B$7:$I$7,0))/10000)</f>
        <v>2.6120000000000001</v>
      </c>
      <c r="L28" s="405">
        <f t="shared" si="5"/>
        <v>39.816232771822357</v>
      </c>
      <c r="M28" s="127"/>
      <c r="N28" s="127">
        <f t="shared" si="6"/>
        <v>61</v>
      </c>
      <c r="O28" s="404">
        <f>SUM(INDEX('Population Data'!$B$8:$I$46,MATCH('Raw - New Builds'!$A28,'Population Data'!$A$8:$A$46,0),MATCH(J$7,'Population Data'!$B$7:$I$7,0))/10000)</f>
        <v>2.6120000000000001</v>
      </c>
      <c r="P28" s="405">
        <f t="shared" si="7"/>
        <v>23.353751914241958</v>
      </c>
    </row>
    <row r="29" spans="1:16" ht="10.5">
      <c r="A29" s="124" t="s">
        <v>33</v>
      </c>
      <c r="B29" s="127">
        <f t="shared" si="0"/>
        <v>189</v>
      </c>
      <c r="C29" s="404">
        <f>SUM(INDEX('Population Data'!$B$8:$H$46,MATCH('Raw - New Builds'!$A29,'Population Data'!$A$8:$A$46,0),MATCH('Raw - New Builds'!B$7,'Population Data'!$B$7:$H$7,0))/10000)</f>
        <v>13.425000000000001</v>
      </c>
      <c r="D29" s="405">
        <f t="shared" si="1"/>
        <v>14.078212290502792</v>
      </c>
      <c r="E29" s="127"/>
      <c r="F29" s="127">
        <f t="shared" si="2"/>
        <v>249</v>
      </c>
      <c r="G29" s="404">
        <f>SUM(INDEX('Population Data'!$B$8:$H$46,MATCH('Raw - New Builds'!$A29,'Population Data'!$A$8:$A$46,0),MATCH('Raw - New Builds'!F$7,'Population Data'!$B$7:$H$7,0))/10000)</f>
        <v>13.422000000000001</v>
      </c>
      <c r="H29" s="405">
        <f t="shared" si="3"/>
        <v>18.55163164953062</v>
      </c>
      <c r="I29" s="127"/>
      <c r="J29" s="127">
        <f t="shared" si="4"/>
        <v>249</v>
      </c>
      <c r="K29" s="404">
        <f>SUM(INDEX('Population Data'!$B$8:$I$46,MATCH('Raw - New Builds'!$A29,'Population Data'!$A$8:$A$46,0),MATCH('Raw - New Builds'!J$7,'Population Data'!$B$7:$I$7,0))/10000)</f>
        <v>13.349</v>
      </c>
      <c r="L29" s="405">
        <f t="shared" si="5"/>
        <v>18.653082627912202</v>
      </c>
      <c r="M29" s="127"/>
      <c r="N29" s="127">
        <f t="shared" si="6"/>
        <v>251</v>
      </c>
      <c r="O29" s="404">
        <f>SUM(INDEX('Population Data'!$B$8:$I$46,MATCH('Raw - New Builds'!$A29,'Population Data'!$A$8:$A$46,0),MATCH(J$7,'Population Data'!$B$7:$I$7,0))/10000)</f>
        <v>13.349</v>
      </c>
      <c r="P29" s="405">
        <f t="shared" si="7"/>
        <v>18.802906584762905</v>
      </c>
    </row>
    <row r="30" spans="1:16" ht="10.5">
      <c r="A30" s="124" t="s">
        <v>34</v>
      </c>
      <c r="B30" s="127">
        <f t="shared" si="0"/>
        <v>88</v>
      </c>
      <c r="C30" s="404">
        <f>SUM(INDEX('Population Data'!$B$8:$H$46,MATCH('Raw - New Builds'!$A30,'Population Data'!$A$8:$A$46,0),MATCH('Raw - New Builds'!B$7,'Population Data'!$B$7:$H$7,0))/10000)</f>
        <v>34.113999999999997</v>
      </c>
      <c r="D30" s="405">
        <f t="shared" si="1"/>
        <v>2.5795860936858768</v>
      </c>
      <c r="E30" s="127"/>
      <c r="F30" s="127">
        <f t="shared" si="2"/>
        <v>359</v>
      </c>
      <c r="G30" s="404">
        <f>SUM(INDEX('Population Data'!$B$8:$H$46,MATCH('Raw - New Builds'!$A30,'Population Data'!$A$8:$A$46,0),MATCH('Raw - New Builds'!F$7,'Population Data'!$B$7:$H$7,0))/10000)</f>
        <v>34.14</v>
      </c>
      <c r="H30" s="405">
        <f t="shared" si="3"/>
        <v>10.515524311657879</v>
      </c>
      <c r="I30" s="127"/>
      <c r="J30" s="127">
        <f t="shared" si="4"/>
        <v>457</v>
      </c>
      <c r="K30" s="404">
        <f>SUM(INDEX('Population Data'!$B$8:$I$46,MATCH('Raw - New Builds'!$A30,'Population Data'!$A$8:$A$46,0),MATCH('Raw - New Builds'!J$7,'Population Data'!$B$7:$I$7,0))/10000)</f>
        <v>34.093000000000004</v>
      </c>
      <c r="L30" s="405">
        <f t="shared" si="5"/>
        <v>13.404511189980347</v>
      </c>
      <c r="M30" s="127"/>
      <c r="N30" s="127">
        <f t="shared" si="6"/>
        <v>427</v>
      </c>
      <c r="O30" s="404">
        <f>SUM(INDEX('Population Data'!$B$8:$I$46,MATCH('Raw - New Builds'!$A30,'Population Data'!$A$8:$A$46,0),MATCH(J$7,'Population Data'!$B$7:$I$7,0))/10000)</f>
        <v>34.093000000000004</v>
      </c>
      <c r="P30" s="405">
        <f t="shared" si="7"/>
        <v>12.524565160003519</v>
      </c>
    </row>
    <row r="31" spans="1:16" ht="10.5">
      <c r="A31" s="124" t="s">
        <v>35</v>
      </c>
      <c r="B31" s="127">
        <f t="shared" si="0"/>
        <v>8</v>
      </c>
      <c r="C31" s="404">
        <f>SUM(INDEX('Population Data'!$B$8:$H$46,MATCH('Raw - New Builds'!$A31,'Population Data'!$A$8:$A$46,0),MATCH('Raw - New Builds'!B$7,'Population Data'!$B$7:$H$7,0))/10000)</f>
        <v>2.2400000000000002</v>
      </c>
      <c r="D31" s="405">
        <f t="shared" si="1"/>
        <v>3.5714285714285712</v>
      </c>
      <c r="E31" s="127"/>
      <c r="F31" s="127">
        <f t="shared" si="2"/>
        <v>36</v>
      </c>
      <c r="G31" s="404">
        <f>SUM(INDEX('Population Data'!$B$8:$H$46,MATCH('Raw - New Builds'!$A31,'Population Data'!$A$8:$A$46,0),MATCH('Raw - New Builds'!F$7,'Population Data'!$B$7:$H$7,0))/10000)</f>
        <v>2.254</v>
      </c>
      <c r="H31" s="405">
        <f t="shared" si="3"/>
        <v>15.971606033717835</v>
      </c>
      <c r="I31" s="127"/>
      <c r="J31" s="127">
        <f t="shared" si="4"/>
        <v>34</v>
      </c>
      <c r="K31" s="404">
        <f>SUM(INDEX('Population Data'!$B$8:$I$46,MATCH('Raw - New Builds'!$A31,'Population Data'!$A$8:$A$46,0),MATCH('Raw - New Builds'!J$7,'Population Data'!$B$7:$I$7,0))/10000)</f>
        <v>2.202</v>
      </c>
      <c r="L31" s="405">
        <f t="shared" si="5"/>
        <v>15.440508628519527</v>
      </c>
      <c r="M31" s="127"/>
      <c r="N31" s="127">
        <f t="shared" si="6"/>
        <v>22</v>
      </c>
      <c r="O31" s="404">
        <f>SUM(INDEX('Population Data'!$B$8:$I$46,MATCH('Raw - New Builds'!$A31,'Population Data'!$A$8:$A$46,0),MATCH(J$7,'Population Data'!$B$7:$I$7,0))/10000)</f>
        <v>2.202</v>
      </c>
      <c r="P31" s="405">
        <f t="shared" si="7"/>
        <v>9.9909173478655777</v>
      </c>
    </row>
    <row r="32" spans="1:16" ht="10.5">
      <c r="A32" s="124" t="s">
        <v>36</v>
      </c>
      <c r="B32" s="127">
        <f t="shared" si="0"/>
        <v>157</v>
      </c>
      <c r="C32" s="404">
        <f>SUM(INDEX('Population Data'!$B$8:$H$46,MATCH('Raw - New Builds'!$A32,'Population Data'!$A$8:$A$46,0),MATCH('Raw - New Builds'!B$7,'Population Data'!$B$7:$H$7,0))/10000)</f>
        <v>15.191000000000001</v>
      </c>
      <c r="D32" s="405">
        <f t="shared" si="1"/>
        <v>10.335066815877822</v>
      </c>
      <c r="E32" s="127"/>
      <c r="F32" s="127">
        <f t="shared" si="2"/>
        <v>226</v>
      </c>
      <c r="G32" s="404">
        <f>SUM(INDEX('Population Data'!$B$8:$H$46,MATCH('Raw - New Builds'!$A32,'Population Data'!$A$8:$A$46,0),MATCH('Raw - New Builds'!F$7,'Population Data'!$B$7:$H$7,0))/10000)</f>
        <v>15.381</v>
      </c>
      <c r="H32" s="405">
        <f t="shared" si="3"/>
        <v>14.69345296144594</v>
      </c>
      <c r="I32" s="127"/>
      <c r="J32" s="127">
        <f t="shared" si="4"/>
        <v>101</v>
      </c>
      <c r="K32" s="404">
        <f>SUM(INDEX('Population Data'!$B$8:$I$46,MATCH('Raw - New Builds'!$A32,'Population Data'!$A$8:$A$46,0),MATCH('Raw - New Builds'!J$7,'Population Data'!$B$7:$I$7,0))/10000)</f>
        <v>15.112</v>
      </c>
      <c r="L32" s="405">
        <f t="shared" si="5"/>
        <v>6.6834303864478564</v>
      </c>
      <c r="M32" s="127"/>
      <c r="N32" s="127">
        <f t="shared" si="6"/>
        <v>105</v>
      </c>
      <c r="O32" s="404">
        <f>SUM(INDEX('Population Data'!$B$8:$I$46,MATCH('Raw - New Builds'!$A32,'Population Data'!$A$8:$A$46,0),MATCH(J$7,'Population Data'!$B$7:$I$7,0))/10000)</f>
        <v>15.112</v>
      </c>
      <c r="P32" s="405">
        <f t="shared" si="7"/>
        <v>6.9481206987824242</v>
      </c>
    </row>
    <row r="33" spans="1:16" ht="10.5">
      <c r="A33" s="124" t="s">
        <v>37</v>
      </c>
      <c r="B33" s="127">
        <f t="shared" si="0"/>
        <v>169</v>
      </c>
      <c r="C33" s="404">
        <f>SUM(INDEX('Population Data'!$B$8:$H$46,MATCH('Raw - New Builds'!$A33,'Population Data'!$A$8:$A$46,0),MATCH('Raw - New Builds'!B$7,'Population Data'!$B$7:$H$7,0))/10000)</f>
        <v>17.939</v>
      </c>
      <c r="D33" s="405">
        <f t="shared" si="1"/>
        <v>9.4208149841128268</v>
      </c>
      <c r="E33" s="127"/>
      <c r="F33" s="127">
        <f t="shared" si="2"/>
        <v>101</v>
      </c>
      <c r="G33" s="404">
        <f>SUM(INDEX('Population Data'!$B$8:$H$46,MATCH('Raw - New Builds'!$A33,'Population Data'!$A$8:$A$46,0),MATCH('Raw - New Builds'!F$7,'Population Data'!$B$7:$H$7,0))/10000)</f>
        <v>17.994</v>
      </c>
      <c r="H33" s="405">
        <f t="shared" si="3"/>
        <v>5.6129821051461599</v>
      </c>
      <c r="I33" s="127"/>
      <c r="J33" s="127">
        <f t="shared" si="4"/>
        <v>269</v>
      </c>
      <c r="K33" s="404">
        <f>SUM(INDEX('Population Data'!$B$8:$I$46,MATCH('Raw - New Builds'!$A33,'Population Data'!$A$8:$A$46,0),MATCH('Raw - New Builds'!J$7,'Population Data'!$B$7:$I$7,0))/10000)</f>
        <v>18.434000000000001</v>
      </c>
      <c r="L33" s="405">
        <f t="shared" si="5"/>
        <v>14.592600629271997</v>
      </c>
      <c r="M33" s="127"/>
      <c r="N33" s="127">
        <f t="shared" si="6"/>
        <v>268</v>
      </c>
      <c r="O33" s="404">
        <f>SUM(INDEX('Population Data'!$B$8:$I$46,MATCH('Raw - New Builds'!$A33,'Population Data'!$A$8:$A$46,0),MATCH(J$7,'Population Data'!$B$7:$I$7,0))/10000)</f>
        <v>18.434000000000001</v>
      </c>
      <c r="P33" s="405">
        <f t="shared" si="7"/>
        <v>14.538353043289574</v>
      </c>
    </row>
    <row r="34" spans="1:16" ht="10.5">
      <c r="A34" s="124" t="s">
        <v>38</v>
      </c>
      <c r="B34" s="127">
        <f t="shared" si="0"/>
        <v>42</v>
      </c>
      <c r="C34" s="404">
        <f>SUM(INDEX('Population Data'!$B$8:$H$46,MATCH('Raw - New Builds'!$A34,'Population Data'!$A$8:$A$46,0),MATCH('Raw - New Builds'!B$7,'Population Data'!$B$7:$H$7,0))/10000)</f>
        <v>11.523999999999999</v>
      </c>
      <c r="D34" s="405">
        <f t="shared" si="1"/>
        <v>3.6445678583825063</v>
      </c>
      <c r="E34" s="127"/>
      <c r="F34" s="127">
        <f t="shared" si="2"/>
        <v>204</v>
      </c>
      <c r="G34" s="404">
        <f>SUM(INDEX('Population Data'!$B$8:$H$46,MATCH('Raw - New Builds'!$A34,'Population Data'!$A$8:$A$46,0),MATCH('Raw - New Builds'!F$7,'Population Data'!$B$7:$H$7,0))/10000)</f>
        <v>11.602</v>
      </c>
      <c r="H34" s="405">
        <f t="shared" si="3"/>
        <v>17.583175314600929</v>
      </c>
      <c r="I34" s="127"/>
      <c r="J34" s="127">
        <f t="shared" si="4"/>
        <v>123</v>
      </c>
      <c r="K34" s="404">
        <f>SUM(INDEX('Population Data'!$B$8:$I$46,MATCH('Raw - New Builds'!$A34,'Population Data'!$A$8:$A$46,0),MATCH('Raw - New Builds'!J$7,'Population Data'!$B$7:$I$7,0))/10000)</f>
        <v>11.682</v>
      </c>
      <c r="L34" s="405">
        <f t="shared" si="5"/>
        <v>10.529019003595275</v>
      </c>
      <c r="M34" s="127"/>
      <c r="N34" s="127">
        <f t="shared" si="6"/>
        <v>133</v>
      </c>
      <c r="O34" s="404">
        <f>SUM(INDEX('Population Data'!$B$8:$I$46,MATCH('Raw - New Builds'!$A34,'Population Data'!$A$8:$A$46,0),MATCH(J$7,'Population Data'!$B$7:$I$7,0))/10000)</f>
        <v>11.682</v>
      </c>
      <c r="P34" s="405">
        <f t="shared" si="7"/>
        <v>11.385036808765621</v>
      </c>
    </row>
    <row r="35" spans="1:16" ht="10.5">
      <c r="A35" s="124" t="s">
        <v>39</v>
      </c>
      <c r="B35" s="127">
        <f t="shared" si="0"/>
        <v>0</v>
      </c>
      <c r="C35" s="404">
        <f>SUM(INDEX('Population Data'!$B$8:$H$46,MATCH('Raw - New Builds'!$A35,'Population Data'!$A$8:$A$46,0),MATCH('Raw - New Builds'!B$7,'Population Data'!$B$7:$H$7,0))/10000)</f>
        <v>2.2869999999999999</v>
      </c>
      <c r="D35" s="405">
        <f t="shared" si="1"/>
        <v>0</v>
      </c>
      <c r="E35" s="127"/>
      <c r="F35" s="127">
        <f t="shared" si="2"/>
        <v>39</v>
      </c>
      <c r="G35" s="404">
        <f>SUM(INDEX('Population Data'!$B$8:$H$46,MATCH('Raw - New Builds'!$A35,'Population Data'!$A$8:$A$46,0),MATCH('Raw - New Builds'!F$7,'Population Data'!$B$7:$H$7,0))/10000)</f>
        <v>2.294</v>
      </c>
      <c r="H35" s="405">
        <f t="shared" si="3"/>
        <v>17.000871839581517</v>
      </c>
      <c r="I35" s="127"/>
      <c r="J35" s="127">
        <f t="shared" si="4"/>
        <v>18</v>
      </c>
      <c r="K35" s="404">
        <f>SUM(INDEX('Population Data'!$B$8:$I$46,MATCH('Raw - New Builds'!$A35,'Population Data'!$A$8:$A$46,0),MATCH('Raw - New Builds'!J$7,'Population Data'!$B$7:$I$7,0))/10000)</f>
        <v>2.302</v>
      </c>
      <c r="L35" s="405">
        <f t="shared" si="5"/>
        <v>7.8192875760208516</v>
      </c>
      <c r="M35" s="127"/>
      <c r="N35" s="127">
        <f t="shared" si="6"/>
        <v>32</v>
      </c>
      <c r="O35" s="404">
        <f>SUM(INDEX('Population Data'!$B$8:$I$46,MATCH('Raw - New Builds'!$A35,'Population Data'!$A$8:$A$46,0),MATCH(J$7,'Population Data'!$B$7:$I$7,0))/10000)</f>
        <v>2.302</v>
      </c>
      <c r="P35" s="405">
        <f t="shared" si="7"/>
        <v>13.900955690703736</v>
      </c>
    </row>
    <row r="36" spans="1:16" ht="10.5">
      <c r="A36" s="124" t="s">
        <v>40</v>
      </c>
      <c r="B36" s="127">
        <f t="shared" si="0"/>
        <v>27</v>
      </c>
      <c r="C36" s="404">
        <f>SUM(INDEX('Population Data'!$B$8:$H$46,MATCH('Raw - New Builds'!$A36,'Population Data'!$A$8:$A$46,0),MATCH('Raw - New Builds'!B$7,'Population Data'!$B$7:$H$7,0))/10000)</f>
        <v>11.214</v>
      </c>
      <c r="D36" s="405">
        <f t="shared" si="1"/>
        <v>2.407704654895666</v>
      </c>
      <c r="E36" s="127"/>
      <c r="F36" s="127">
        <f t="shared" si="2"/>
        <v>86</v>
      </c>
      <c r="G36" s="404">
        <f>SUM(INDEX('Population Data'!$B$8:$H$46,MATCH('Raw - New Builds'!$A36,'Population Data'!$A$8:$A$46,0),MATCH('Raw - New Builds'!F$7,'Population Data'!$B$7:$H$7,0))/10000)</f>
        <v>11.244999999999999</v>
      </c>
      <c r="H36" s="405">
        <f t="shared" si="3"/>
        <v>7.6478434859937758</v>
      </c>
      <c r="I36" s="127"/>
      <c r="J36" s="127">
        <f t="shared" si="4"/>
        <v>209</v>
      </c>
      <c r="K36" s="404">
        <f>SUM(INDEX('Population Data'!$B$8:$I$46,MATCH('Raw - New Builds'!$A36,'Population Data'!$A$8:$A$46,0),MATCH('Raw - New Builds'!J$7,'Population Data'!$B$7:$I$7,0))/10000)</f>
        <v>11.156000000000001</v>
      </c>
      <c r="L36" s="405">
        <f t="shared" si="5"/>
        <v>18.734313373969165</v>
      </c>
      <c r="M36" s="127"/>
      <c r="N36" s="127">
        <f t="shared" si="6"/>
        <v>118</v>
      </c>
      <c r="O36" s="404">
        <f>SUM(INDEX('Population Data'!$B$8:$I$46,MATCH('Raw - New Builds'!$A36,'Population Data'!$A$8:$A$46,0),MATCH(J$7,'Population Data'!$B$7:$I$7,0))/10000)</f>
        <v>11.156000000000001</v>
      </c>
      <c r="P36" s="405">
        <f t="shared" si="7"/>
        <v>10.577267837934743</v>
      </c>
    </row>
    <row r="37" spans="1:16" ht="10.5">
      <c r="A37" s="124" t="s">
        <v>41</v>
      </c>
      <c r="B37" s="127">
        <f t="shared" si="0"/>
        <v>250</v>
      </c>
      <c r="C37" s="404">
        <f>SUM(INDEX('Population Data'!$B$8:$H$46,MATCH('Raw - New Builds'!$A37,'Population Data'!$A$8:$A$46,0),MATCH('Raw - New Builds'!B$7,'Population Data'!$B$7:$H$7,0))/10000)</f>
        <v>32.082000000000001</v>
      </c>
      <c r="D37" s="405">
        <f t="shared" si="1"/>
        <v>7.792531637678449</v>
      </c>
      <c r="E37" s="127"/>
      <c r="F37" s="127">
        <f t="shared" si="2"/>
        <v>531</v>
      </c>
      <c r="G37" s="404">
        <f>SUM(INDEX('Population Data'!$B$8:$H$46,MATCH('Raw - New Builds'!$A37,'Population Data'!$A$8:$A$46,0),MATCH('Raw - New Builds'!F$7,'Population Data'!$B$7:$H$7,0))/10000)</f>
        <v>32.262999999999998</v>
      </c>
      <c r="H37" s="405">
        <f t="shared" si="3"/>
        <v>16.458481852276602</v>
      </c>
      <c r="I37" s="127"/>
      <c r="J37" s="127">
        <f t="shared" si="4"/>
        <v>296</v>
      </c>
      <c r="K37" s="404">
        <f>SUM(INDEX('Population Data'!$B$8:$I$46,MATCH('Raw - New Builds'!$A37,'Population Data'!$A$8:$A$46,0),MATCH('Raw - New Builds'!J$7,'Population Data'!$B$7:$I$7,0))/10000)</f>
        <v>32.743000000000002</v>
      </c>
      <c r="L37" s="405">
        <f t="shared" si="5"/>
        <v>9.04010017408301</v>
      </c>
      <c r="M37" s="127"/>
      <c r="N37" s="127">
        <f t="shared" si="6"/>
        <v>158</v>
      </c>
      <c r="O37" s="404">
        <f>SUM(INDEX('Population Data'!$B$8:$I$46,MATCH('Raw - New Builds'!$A37,'Population Data'!$A$8:$A$46,0),MATCH(J$7,'Population Data'!$B$7:$I$7,0))/10000)</f>
        <v>32.743000000000002</v>
      </c>
      <c r="P37" s="405">
        <f t="shared" si="7"/>
        <v>4.8254588767064712</v>
      </c>
    </row>
    <row r="38" spans="1:16" ht="10.5">
      <c r="A38" s="124" t="s">
        <v>42</v>
      </c>
      <c r="B38" s="127">
        <f t="shared" si="0"/>
        <v>6</v>
      </c>
      <c r="C38" s="404">
        <f>SUM(INDEX('Population Data'!$B$8:$H$46,MATCH('Raw - New Builds'!$A38,'Population Data'!$A$8:$A$46,0),MATCH('Raw - New Builds'!B$7,'Population Data'!$B$7:$H$7,0))/10000)</f>
        <v>9.4079999999999995</v>
      </c>
      <c r="D38" s="405">
        <f t="shared" si="1"/>
        <v>0.63775510204081631</v>
      </c>
      <c r="E38" s="127"/>
      <c r="F38" s="127">
        <f t="shared" si="2"/>
        <v>102</v>
      </c>
      <c r="G38" s="404">
        <f>SUM(INDEX('Population Data'!$B$8:$H$46,MATCH('Raw - New Builds'!$A38,'Population Data'!$A$8:$A$46,0),MATCH('Raw - New Builds'!F$7,'Population Data'!$B$7:$H$7,0))/10000)</f>
        <v>9.3469999999999995</v>
      </c>
      <c r="H38" s="405">
        <f t="shared" si="3"/>
        <v>10.912592275596449</v>
      </c>
      <c r="I38" s="127"/>
      <c r="J38" s="127">
        <f t="shared" si="4"/>
        <v>73</v>
      </c>
      <c r="K38" s="404">
        <f>SUM(INDEX('Population Data'!$B$8:$I$46,MATCH('Raw - New Builds'!$A38,'Population Data'!$A$8:$A$46,0),MATCH('Raw - New Builds'!J$7,'Population Data'!$B$7:$I$7,0))/10000)</f>
        <v>9.2530000000000001</v>
      </c>
      <c r="L38" s="405">
        <f t="shared" si="5"/>
        <v>7.8893331892359235</v>
      </c>
      <c r="M38" s="127"/>
      <c r="N38" s="127">
        <f t="shared" si="6"/>
        <v>40</v>
      </c>
      <c r="O38" s="404">
        <f>SUM(INDEX('Population Data'!$B$8:$I$46,MATCH('Raw - New Builds'!$A38,'Population Data'!$A$8:$A$46,0),MATCH(J$7,'Population Data'!$B$7:$I$7,0))/10000)</f>
        <v>9.2530000000000001</v>
      </c>
      <c r="P38" s="405">
        <f t="shared" si="7"/>
        <v>4.3229222954717388</v>
      </c>
    </row>
    <row r="39" spans="1:16" ht="10.5">
      <c r="A39" s="124" t="s">
        <v>43</v>
      </c>
      <c r="B39" s="127">
        <f t="shared" si="0"/>
        <v>88</v>
      </c>
      <c r="C39" s="404">
        <f>SUM(INDEX('Population Data'!$B$8:$H$46,MATCH('Raw - New Builds'!$A39,'Population Data'!$A$8:$A$46,0),MATCH('Raw - New Builds'!B$7,'Population Data'!$B$7:$H$7,0))/10000)</f>
        <v>8.8339999999999996</v>
      </c>
      <c r="D39" s="405">
        <f t="shared" si="1"/>
        <v>9.9615123386914206</v>
      </c>
      <c r="E39" s="127"/>
      <c r="F39" s="127">
        <f t="shared" si="2"/>
        <v>414</v>
      </c>
      <c r="G39" s="404">
        <f>SUM(INDEX('Population Data'!$B$8:$H$46,MATCH('Raw - New Builds'!$A39,'Population Data'!$A$8:$A$46,0),MATCH('Raw - New Builds'!F$7,'Population Data'!$B$7:$H$7,0))/10000)</f>
        <v>8.7789999999999999</v>
      </c>
      <c r="H39" s="405">
        <f t="shared" si="3"/>
        <v>47.157990659528423</v>
      </c>
      <c r="I39" s="127"/>
      <c r="J39" s="127">
        <f t="shared" si="4"/>
        <v>256</v>
      </c>
      <c r="K39" s="404">
        <f>SUM(INDEX('Population Data'!$B$8:$I$46,MATCH('Raw - New Builds'!$A39,'Population Data'!$A$8:$A$46,0),MATCH('Raw - New Builds'!J$7,'Population Data'!$B$7:$I$7,0))/10000)</f>
        <v>8.827</v>
      </c>
      <c r="L39" s="405">
        <f t="shared" si="5"/>
        <v>29.001925909142404</v>
      </c>
      <c r="M39" s="127"/>
      <c r="N39" s="127">
        <f t="shared" si="6"/>
        <v>66</v>
      </c>
      <c r="O39" s="404">
        <f>SUM(INDEX('Population Data'!$B$8:$I$46,MATCH('Raw - New Builds'!$A39,'Population Data'!$A$8:$A$46,0),MATCH(J$7,'Population Data'!$B$7:$I$7,0))/10000)</f>
        <v>8.827</v>
      </c>
      <c r="P39" s="405">
        <f t="shared" si="7"/>
        <v>7.4770590234507761</v>
      </c>
    </row>
    <row r="40" spans="1:16" s="124" customFormat="1" ht="10.5">
      <c r="A40" s="124" t="s">
        <v>44</v>
      </c>
      <c r="B40" s="127">
        <f t="shared" si="0"/>
        <v>119</v>
      </c>
      <c r="C40" s="404">
        <f>SUM(INDEX('Population Data'!$B$8:$H$46,MATCH('Raw - New Builds'!$A40,'Population Data'!$A$8:$A$46,0),MATCH('Raw - New Builds'!B$7,'Population Data'!$B$7:$H$7,0))/10000)</f>
        <v>18.382000000000001</v>
      </c>
      <c r="D40" s="405">
        <f t="shared" si="1"/>
        <v>6.4737242955064733</v>
      </c>
      <c r="E40" s="127"/>
      <c r="F40" s="127">
        <f t="shared" si="2"/>
        <v>26</v>
      </c>
      <c r="G40" s="404">
        <f>SUM(INDEX('Population Data'!$B$8:$H$46,MATCH('Raw - New Builds'!$A40,'Population Data'!$A$8:$A$46,0),MATCH('Raw - New Builds'!F$7,'Population Data'!$B$7:$H$7,0))/10000)</f>
        <v>18.558</v>
      </c>
      <c r="H40" s="405">
        <f t="shared" si="3"/>
        <v>1.4010130401982972</v>
      </c>
      <c r="I40" s="127"/>
      <c r="J40" s="127">
        <f t="shared" si="4"/>
        <v>270</v>
      </c>
      <c r="K40" s="404">
        <f>SUM(INDEX('Population Data'!$B$8:$I$46,MATCH('Raw - New Builds'!$A40,'Population Data'!$A$8:$A$46,0),MATCH('Raw - New Builds'!J$7,'Population Data'!$B$7:$I$7,0))/10000)</f>
        <v>18.172000000000001</v>
      </c>
      <c r="L40" s="405">
        <f t="shared" si="5"/>
        <v>14.858023332599604</v>
      </c>
      <c r="M40" s="127"/>
      <c r="N40" s="127">
        <f t="shared" si="6"/>
        <v>215</v>
      </c>
      <c r="O40" s="404">
        <f>SUM(INDEX('Population Data'!$B$8:$I$46,MATCH('Raw - New Builds'!$A40,'Population Data'!$A$8:$A$46,0),MATCH(J$7,'Population Data'!$B$7:$I$7,0))/10000)</f>
        <v>18.172000000000001</v>
      </c>
      <c r="P40" s="405">
        <f t="shared" si="7"/>
        <v>11.831388950033018</v>
      </c>
    </row>
    <row r="41" spans="1:16" ht="10.5">
      <c r="A41" s="124" t="s">
        <v>47</v>
      </c>
      <c r="B41" s="404">
        <f>SUM(B39+B37+B33+B30+B25+B23+B19+B17)</f>
        <v>1531</v>
      </c>
      <c r="C41" s="404">
        <f>SUM(C39+C37+C33+C30+C25+C23+C19+C17)</f>
        <v>184.72</v>
      </c>
      <c r="D41" s="405">
        <f t="shared" si="1"/>
        <v>8.2882200086617583</v>
      </c>
      <c r="F41" s="404">
        <f>SUM(F39+F37+F33+F30+F25+F23+F19+F17)</f>
        <v>2692</v>
      </c>
      <c r="G41" s="404">
        <f>SUM(G39+G37+G33+G30+G25+G23+G19+G17)</f>
        <v>184.90699999999998</v>
      </c>
      <c r="H41" s="405">
        <f t="shared" si="3"/>
        <v>14.558670034125264</v>
      </c>
      <c r="J41" s="404">
        <f>SUM(J39+J37+J33+J30+J25+J23+J19+J17)</f>
        <v>2284</v>
      </c>
      <c r="K41" s="404">
        <f>SUM(K39+K37+K33+K30+K25+K23+K19+K17)</f>
        <v>184.82700000000003</v>
      </c>
      <c r="L41" s="405">
        <f t="shared" si="5"/>
        <v>12.357501880136558</v>
      </c>
      <c r="N41" s="404">
        <f>SUM(N39+N37+N33+N30+N25+N23+N19+N17)</f>
        <v>1900</v>
      </c>
      <c r="O41" s="404">
        <f>SUM(O39+O37+O33+O30+O25+O23+O19+O17)</f>
        <v>184.82700000000003</v>
      </c>
      <c r="P41" s="405">
        <f t="shared" si="7"/>
        <v>10.279883350376297</v>
      </c>
    </row>
    <row r="42" spans="1:16" ht="10.5">
      <c r="A42" s="124"/>
      <c r="D42" s="202"/>
      <c r="H42" s="202"/>
      <c r="L42" s="202"/>
      <c r="P42" s="202"/>
    </row>
    <row r="43" spans="1:16" ht="12.5">
      <c r="A43" s="124" t="s">
        <v>543</v>
      </c>
      <c r="B43" s="385" cm="1">
        <f t="array" ref="B43">SUM(SUMIFS(B$9:B$40,$A$9:$A$40,{"East Renfrewshire","East Dunbartonshire","Aberdeenshire","Edinburgh, City of","Perth and Kinross","Aberdeen City","Shetland Islands","Orkney Islands"}))</f>
        <v>1060</v>
      </c>
      <c r="C43" s="385" cm="1">
        <f t="array" ref="C43">SUM(SUMIFS(C$9:C$40,$A$9:$A$40,{"East Renfrewshire","East Dunbartonshire","Aberdeenshire","Edinburgh, City of","Perth and Kinross","Aberdeen City","Shetland Islands","Orkney Islands"}))</f>
        <v>141.94500000000002</v>
      </c>
      <c r="D43" s="389">
        <f>SUM(B43/C43)</f>
        <v>7.4676811441051099</v>
      </c>
      <c r="E43" s="9"/>
      <c r="F43" s="385" cm="1">
        <f t="array" ref="F43">SUM(SUMIFS(F$9:F$40,$A$9:$A$40,{"East Renfrewshire","East Dunbartonshire","Aberdeenshire","Edinburgh, City of","Perth and Kinross","Aberdeen City","Shetland Islands","Orkney Islands"}))</f>
        <v>1335</v>
      </c>
      <c r="G43" s="385" cm="1">
        <f t="array" ref="G43">SUM(SUMIFS(G$9:G$40,$A$9:$A$40,{"East Renfrewshire","East Dunbartonshire","Aberdeenshire","Edinburgh, City of","Perth and Kinross","Aberdeen City","Shetland Islands","Orkney Islands"}))</f>
        <v>142.136</v>
      </c>
      <c r="H43" s="389">
        <f>SUM(F43/G43)</f>
        <v>9.392412900320819</v>
      </c>
      <c r="I43" s="9"/>
      <c r="J43" s="385" cm="1">
        <f t="array" ref="J43">SUM(SUMIFS(J$9:J$40,$A$9:$A$40,{"East Renfrewshire","East Dunbartonshire","Aberdeenshire","Edinburgh, City of","Perth and Kinross","Aberdeen City","Shetland Islands","Orkney Islands"}))</f>
        <v>1864</v>
      </c>
      <c r="K43" s="385" cm="1">
        <f t="array" ref="K43">SUM(SUMIFS(K$9:K$40,$A$9:$A$40,{"East Renfrewshire","East Dunbartonshire","Aberdeenshire","Edinburgh, City of","Perth and Kinross","Aberdeen City","Shetland Islands","Orkney Islands"}))</f>
        <v>140.523</v>
      </c>
      <c r="L43" s="389">
        <f>SUM(J43/K43)</f>
        <v>13.264732463724799</v>
      </c>
      <c r="M43" s="9"/>
      <c r="N43" s="385" cm="1">
        <f t="array" ref="N43">SUM(SUMIFS(N$9:N$40,$A$9:$A$40,{"East Renfrewshire","East Dunbartonshire","Aberdeenshire","Edinburgh, City of","Perth and Kinross","Aberdeen City","Shetland Islands","Orkney Islands"}))</f>
        <v>913</v>
      </c>
      <c r="O43" s="385" cm="1">
        <f t="array" ref="O43">SUM(SUMIFS(O$9:O$40,$A$9:$A$40,{"East Renfrewshire","East Dunbartonshire","Aberdeenshire","Edinburgh, City of","Perth and Kinross","Aberdeen City","Shetland Islands","Orkney Islands"}))</f>
        <v>140.523</v>
      </c>
      <c r="P43" s="389">
        <f>SUM(N43/O43)</f>
        <v>6.4971570490240032</v>
      </c>
    </row>
    <row r="44" spans="1:16" ht="12.5">
      <c r="A44" s="124" t="s">
        <v>544</v>
      </c>
      <c r="B44" s="385" cm="1">
        <f t="array" ref="B44">SUM(SUMIFS(B$9:B$40,$A$9:$A$40,{"Moray","Stirling","East Lothian","Angus","Scottish Borders","Highland","Argyll and Bute","Midlothian"}))</f>
        <v>622</v>
      </c>
      <c r="C44" s="385" cm="1">
        <f t="array" ref="C44">SUM(SUMIFS(C$9:C$40,$A$9:$A$40,{"Moray","Stirling","East Lothian","Angus","Scottish Borders","Highland","Argyll and Bute","Midlothian"}))</f>
        <v>94.27600000000001</v>
      </c>
      <c r="D44" s="389">
        <f t="shared" ref="D44:D46" si="8">SUM(B44/C44)</f>
        <v>6.597649454792311</v>
      </c>
      <c r="E44" s="9"/>
      <c r="F44" s="385" cm="1">
        <f t="array" ref="F44">SUM(SUMIFS(F$9:F$40,$A$9:$A$40,{"Moray","Stirling","East Lothian","Angus","Scottish Borders","Highland","Argyll and Bute","Midlothian"}))</f>
        <v>1443</v>
      </c>
      <c r="G44" s="385" cm="1">
        <f t="array" ref="G44">SUM(SUMIFS(G$9:G$40,$A$9:$A$40,{"Moray","Stirling","East Lothian","Angus","Scottish Borders","Highland","Argyll and Bute","Midlothian"}))</f>
        <v>95.055999999999997</v>
      </c>
      <c r="H44" s="389">
        <f t="shared" ref="H44:H46" si="9">SUM(F44/G44)</f>
        <v>15.180525164113787</v>
      </c>
      <c r="I44" s="9"/>
      <c r="J44" s="385" cm="1">
        <f t="array" ref="J44">SUM(SUMIFS(J$9:J$40,$A$9:$A$40,{"Moray","Stirling","East Lothian","Angus","Scottish Borders","Highland","Argyll and Bute","Midlothian"}))</f>
        <v>1052</v>
      </c>
      <c r="K44" s="385" cm="1">
        <f t="array" ref="K44">SUM(SUMIFS(K$9:K$40,$A$9:$A$40,{"Moray","Stirling","East Lothian","Angus","Scottish Borders","Highland","Argyll and Bute","Midlothian"}))</f>
        <v>95.140000000000015</v>
      </c>
      <c r="L44" s="389">
        <f t="shared" ref="L44:L46" si="10">SUM(J44/K44)</f>
        <v>11.057389110784106</v>
      </c>
      <c r="M44" s="9"/>
      <c r="N44" s="385" cm="1">
        <f t="array" ref="N44">SUM(SUMIFS(N$9:N$40,$A$9:$A$40,{"Moray","Stirling","East Lothian","Angus","Scottish Borders","Highland","Argyll and Bute","Midlothian"}))</f>
        <v>1467</v>
      </c>
      <c r="O44" s="385" cm="1">
        <f t="array" ref="O44">SUM(SUMIFS(O$9:O$40,$A$9:$A$40,{"Moray","Stirling","East Lothian","Angus","Scottish Borders","Highland","Argyll and Bute","Midlothian"}))</f>
        <v>95.140000000000015</v>
      </c>
      <c r="P44" s="389">
        <f t="shared" ref="P44:P46" si="11">SUM(N44/O44)</f>
        <v>15.419381963422323</v>
      </c>
    </row>
    <row r="45" spans="1:16" ht="12.5">
      <c r="A45" s="124" t="s">
        <v>545</v>
      </c>
      <c r="B45" s="385" cm="1">
        <f t="array" ref="B45">SUM(SUMIFS(B$9:B$40,$A$9:$A$40,{"Falkirk","Dumfries and Galloway","Fife","South Ayrshire","West Lothian","South Lanarkshire","Renfrewshire","Clackmannanshire"}))</f>
        <v>1158</v>
      </c>
      <c r="C45" s="385" cm="1">
        <f t="array" ref="C45">SUM(SUMIFS(C$9:C$40,$A$9:$A$40,{"Falkirk","Dumfries and Galloway","Fife","South Ayrshire","West Lothian","South Lanarkshire","Renfrewshire","Clackmannanshire"}))</f>
        <v>153.04399999999998</v>
      </c>
      <c r="D45" s="389">
        <f t="shared" si="8"/>
        <v>7.5664514780063259</v>
      </c>
      <c r="E45" s="9"/>
      <c r="F45" s="385" cm="1">
        <f t="array" ref="F45">SUM(SUMIFS(F$9:F$40,$A$9:$A$40,{"Falkirk","Dumfries and Galloway","Fife","South Ayrshire","West Lothian","South Lanarkshire","Renfrewshire","Clackmannanshire"}))</f>
        <v>1147</v>
      </c>
      <c r="G45" s="385" cm="1">
        <f t="array" ref="G45">SUM(SUMIFS(G$9:G$40,$A$9:$A$40,{"Falkirk","Dumfries and Galloway","Fife","South Ayrshire","West Lothian","South Lanarkshire","Renfrewshire","Clackmannanshire"}))</f>
        <v>153.636</v>
      </c>
      <c r="H45" s="389">
        <f t="shared" si="9"/>
        <v>7.4656981436642456</v>
      </c>
      <c r="I45" s="9"/>
      <c r="J45" s="385" cm="1">
        <f t="array" ref="J45">SUM(SUMIFS(J$9:J$40,$A$9:$A$40,{"Falkirk","Dumfries and Galloway","Fife","South Ayrshire","West Lothian","South Lanarkshire","Renfrewshire","Clackmannanshire"}))</f>
        <v>1980</v>
      </c>
      <c r="K45" s="385" cm="1">
        <f t="array" ref="K45">SUM(SUMIFS(K$9:K$40,$A$9:$A$40,{"Falkirk","Dumfries and Galloway","Fife","South Ayrshire","West Lothian","South Lanarkshire","Renfrewshire","Clackmannanshire"}))</f>
        <v>153.23600000000002</v>
      </c>
      <c r="L45" s="389">
        <f t="shared" si="10"/>
        <v>12.921245660288703</v>
      </c>
      <c r="M45" s="9"/>
      <c r="N45" s="385" cm="1">
        <f t="array" ref="N45">SUM(SUMIFS(N$9:N$40,$A$9:$A$40,{"Falkirk","Dumfries and Galloway","Fife","South Ayrshire","West Lothian","South Lanarkshire","Renfrewshire","Clackmannanshire"}))</f>
        <v>1442</v>
      </c>
      <c r="O45" s="385" cm="1">
        <f t="array" ref="O45">SUM(SUMIFS(O$9:O$40,$A$9:$A$40,{"Falkirk","Dumfries and Galloway","Fife","South Ayrshire","West Lothian","South Lanarkshire","Renfrewshire","Clackmannanshire"}))</f>
        <v>153.23600000000002</v>
      </c>
      <c r="P45" s="389">
        <f t="shared" si="11"/>
        <v>9.4103213344122771</v>
      </c>
    </row>
    <row r="46" spans="1:16" ht="12.5">
      <c r="A46" s="124" t="s">
        <v>546</v>
      </c>
      <c r="B46" s="385" cm="1">
        <f t="array" ref="B46">SUM(SUMIFS(B$9:B$40,$A$9:$A$40,{"Na h-Eileanan Siar","Dundee City","East Ayrshire","North Ayrshire","North Lanarkshire","Inverclyde","West Dunbartonshire","Glasgow City"}))</f>
        <v>1400</v>
      </c>
      <c r="C46" s="385" cm="1">
        <f t="array" ref="C46">SUM(SUMIFS(C$9:C$40,$A$9:$A$40,{"Na h-Eileanan Siar","Dundee City","East Ayrshire","North Ayrshire","North Lanarkshire","Inverclyde","West Dunbartonshire","Glasgow City"}))</f>
        <v>157.33500000000001</v>
      </c>
      <c r="D46" s="389">
        <f t="shared" si="8"/>
        <v>8.8982108240378803</v>
      </c>
      <c r="E46" s="9"/>
      <c r="F46" s="385" cm="1">
        <f t="array" ref="F46">SUM(SUMIFS(F$9:F$40,$A$9:$A$40,{"Na h-Eileanan Siar","Dundee City","East Ayrshire","North Ayrshire","North Lanarkshire","Inverclyde","West Dunbartonshire","Glasgow City"}))</f>
        <v>2148</v>
      </c>
      <c r="G46" s="385" cm="1">
        <f t="array" ref="G46">SUM(SUMIFS(G$9:G$40,$A$9:$A$40,{"Na h-Eileanan Siar","Dundee City","East Ayrshire","North Ayrshire","North Lanarkshire","Inverclyde","West Dunbartonshire","Glasgow City"}))</f>
        <v>157.16200000000001</v>
      </c>
      <c r="H46" s="389">
        <f t="shared" si="9"/>
        <v>13.667425968109338</v>
      </c>
      <c r="I46" s="9"/>
      <c r="J46" s="385" cm="1">
        <f t="array" ref="J46">SUM(SUMIFS(J$9:J$40,$A$9:$A$40,{"Na h-Eileanan Siar","Dundee City","East Ayrshire","North Ayrshire","North Lanarkshire","Inverclyde","West Dunbartonshire","Glasgow City"}))</f>
        <v>2112</v>
      </c>
      <c r="K46" s="385" cm="1">
        <f t="array" ref="K46">SUM(SUMIFS(K$9:K$40,$A$9:$A$40,{"Na h-Eileanan Siar","Dundee City","East Ayrshire","North Ayrshire","North Lanarkshire","Inverclyde","West Dunbartonshire","Glasgow City"}))</f>
        <v>155.87100000000001</v>
      </c>
      <c r="L46" s="389">
        <f t="shared" si="10"/>
        <v>13.549666070019438</v>
      </c>
      <c r="M46" s="9"/>
      <c r="N46" s="385" cm="1">
        <f t="array" ref="N46">SUM(SUMIFS(N$9:N$40,$A$9:$A$40,{"Na h-Eileanan Siar","Dundee City","East Ayrshire","North Ayrshire","North Lanarkshire","Inverclyde","West Dunbartonshire","Glasgow City"}))</f>
        <v>1934</v>
      </c>
      <c r="O46" s="385" cm="1">
        <f t="array" ref="O46">SUM(SUMIFS(O$9:O$40,$A$9:$A$40,{"Na h-Eileanan Siar","Dundee City","East Ayrshire","North Ayrshire","North Lanarkshire","Inverclyde","West Dunbartonshire","Glasgow City"}))</f>
        <v>155.87100000000001</v>
      </c>
      <c r="P46" s="389">
        <f t="shared" si="11"/>
        <v>12.407696107678785</v>
      </c>
    </row>
    <row r="47" spans="1:16" ht="10.5">
      <c r="A47" s="124"/>
      <c r="D47" s="202"/>
      <c r="H47" s="202"/>
      <c r="L47" s="202"/>
      <c r="P47" s="202"/>
    </row>
    <row r="48" spans="1:16" ht="13">
      <c r="A48" s="126" t="s">
        <v>301</v>
      </c>
    </row>
    <row r="49" spans="1:5" ht="12.5">
      <c r="A49" s="125" t="s">
        <v>300</v>
      </c>
    </row>
    <row r="50" spans="1:5" ht="10.5">
      <c r="A50" s="124"/>
    </row>
    <row r="51" spans="1:5" ht="10.5">
      <c r="A51" s="124"/>
    </row>
    <row r="52" spans="1:5" ht="10.5">
      <c r="A52" s="124"/>
    </row>
    <row r="53" spans="1:5" ht="15.5">
      <c r="A53" s="455" t="s">
        <v>5</v>
      </c>
      <c r="B53" s="456">
        <v>2020</v>
      </c>
      <c r="C53" s="456">
        <v>2021</v>
      </c>
      <c r="D53" s="456">
        <v>2022</v>
      </c>
      <c r="E53" s="456">
        <v>2023</v>
      </c>
    </row>
    <row r="54" spans="1:5" ht="15.5">
      <c r="A54" s="457" t="s">
        <v>302</v>
      </c>
      <c r="B54" s="458">
        <v>4240</v>
      </c>
      <c r="C54" s="458">
        <v>6073</v>
      </c>
      <c r="D54" s="458">
        <v>7008</v>
      </c>
      <c r="E54" s="458">
        <v>5756</v>
      </c>
    </row>
    <row r="55" spans="1:5" ht="15.5">
      <c r="A55" s="124" t="s">
        <v>14</v>
      </c>
      <c r="B55" s="458">
        <v>12</v>
      </c>
      <c r="C55" s="458">
        <v>362</v>
      </c>
      <c r="D55" s="458">
        <v>1027</v>
      </c>
      <c r="E55" s="458">
        <v>142</v>
      </c>
    </row>
    <row r="56" spans="1:5" ht="15.5">
      <c r="A56" s="457" t="s">
        <v>15</v>
      </c>
      <c r="B56" s="458">
        <v>68</v>
      </c>
      <c r="C56" s="458">
        <v>153</v>
      </c>
      <c r="D56" s="458">
        <v>105</v>
      </c>
      <c r="E56" s="458">
        <v>165</v>
      </c>
    </row>
    <row r="57" spans="1:5" ht="15.5">
      <c r="A57" s="457" t="s">
        <v>16</v>
      </c>
      <c r="B57" s="458">
        <v>91</v>
      </c>
      <c r="C57" s="458">
        <v>164</v>
      </c>
      <c r="D57" s="458">
        <v>84</v>
      </c>
      <c r="E57" s="458">
        <v>48</v>
      </c>
    </row>
    <row r="58" spans="1:5" ht="15.5">
      <c r="A58" s="457" t="s">
        <v>739</v>
      </c>
      <c r="B58" s="458">
        <v>67</v>
      </c>
      <c r="C58" s="458">
        <v>36</v>
      </c>
      <c r="D58" s="458">
        <v>28</v>
      </c>
      <c r="E58" s="458">
        <v>327</v>
      </c>
    </row>
    <row r="59" spans="1:5" ht="15.5">
      <c r="A59" s="457" t="s">
        <v>18</v>
      </c>
      <c r="B59" s="458">
        <v>0</v>
      </c>
      <c r="C59" s="458">
        <v>35</v>
      </c>
      <c r="D59" s="458">
        <v>57</v>
      </c>
      <c r="E59" s="458">
        <v>60</v>
      </c>
    </row>
    <row r="60" spans="1:5" ht="15.5">
      <c r="A60" s="457" t="s">
        <v>740</v>
      </c>
      <c r="B60" s="458">
        <v>74</v>
      </c>
      <c r="C60" s="458">
        <v>66</v>
      </c>
      <c r="D60" s="458">
        <v>328</v>
      </c>
      <c r="E60" s="458">
        <v>67</v>
      </c>
    </row>
    <row r="61" spans="1:5" ht="15.5">
      <c r="A61" s="457" t="s">
        <v>20</v>
      </c>
      <c r="B61" s="458">
        <v>56</v>
      </c>
      <c r="C61" s="458">
        <v>69</v>
      </c>
      <c r="D61" s="458">
        <v>82</v>
      </c>
      <c r="E61" s="458">
        <v>197</v>
      </c>
    </row>
    <row r="62" spans="1:5" ht="15.5">
      <c r="A62" s="457" t="s">
        <v>21</v>
      </c>
      <c r="B62" s="458">
        <v>93</v>
      </c>
      <c r="C62" s="458">
        <v>23</v>
      </c>
      <c r="D62" s="458">
        <v>84</v>
      </c>
      <c r="E62" s="458">
        <v>96</v>
      </c>
    </row>
    <row r="63" spans="1:5" ht="15.5">
      <c r="A63" s="457" t="s">
        <v>22</v>
      </c>
      <c r="B63" s="458">
        <v>109</v>
      </c>
      <c r="C63" s="458">
        <v>173</v>
      </c>
      <c r="D63" s="458">
        <v>25</v>
      </c>
      <c r="E63" s="458">
        <v>67</v>
      </c>
    </row>
    <row r="64" spans="1:5" ht="15.5">
      <c r="A64" s="457" t="s">
        <v>23</v>
      </c>
      <c r="B64" s="458">
        <v>127</v>
      </c>
      <c r="C64" s="458">
        <v>98</v>
      </c>
      <c r="D64" s="458">
        <v>114</v>
      </c>
      <c r="E64" s="458">
        <v>166</v>
      </c>
    </row>
    <row r="65" spans="1:5" ht="15.5">
      <c r="A65" s="457" t="s">
        <v>24</v>
      </c>
      <c r="B65" s="458">
        <v>12</v>
      </c>
      <c r="C65" s="458">
        <v>101</v>
      </c>
      <c r="D65" s="458">
        <v>101</v>
      </c>
      <c r="E65" s="458">
        <v>78</v>
      </c>
    </row>
    <row r="66" spans="1:5" ht="15.5">
      <c r="A66" s="457" t="s">
        <v>189</v>
      </c>
      <c r="B66" s="458">
        <v>694</v>
      </c>
      <c r="C66" s="458">
        <v>245</v>
      </c>
      <c r="D66" s="458">
        <v>453</v>
      </c>
      <c r="E66" s="458">
        <v>302</v>
      </c>
    </row>
    <row r="67" spans="1:5" ht="15.5">
      <c r="A67" s="457" t="s">
        <v>25</v>
      </c>
      <c r="B67" s="458">
        <v>82</v>
      </c>
      <c r="C67" s="458">
        <v>88</v>
      </c>
      <c r="D67" s="458">
        <v>70</v>
      </c>
      <c r="E67" s="458">
        <v>112</v>
      </c>
    </row>
    <row r="68" spans="1:5" ht="15.5">
      <c r="A68" s="457" t="s">
        <v>26</v>
      </c>
      <c r="B68" s="458">
        <v>437</v>
      </c>
      <c r="C68" s="458">
        <v>214</v>
      </c>
      <c r="D68" s="458">
        <v>481</v>
      </c>
      <c r="E68" s="458">
        <v>444</v>
      </c>
    </row>
    <row r="69" spans="1:5" ht="15.5">
      <c r="A69" s="457" t="s">
        <v>27</v>
      </c>
      <c r="B69" s="458">
        <v>779</v>
      </c>
      <c r="C69" s="458">
        <v>656</v>
      </c>
      <c r="D69" s="458">
        <v>587</v>
      </c>
      <c r="E69" s="458">
        <v>638</v>
      </c>
    </row>
    <row r="70" spans="1:5" ht="15.5">
      <c r="A70" s="457" t="s">
        <v>28</v>
      </c>
      <c r="B70" s="458">
        <v>156</v>
      </c>
      <c r="C70" s="458">
        <v>514</v>
      </c>
      <c r="D70" s="458">
        <v>363</v>
      </c>
      <c r="E70" s="458">
        <v>291</v>
      </c>
    </row>
    <row r="71" spans="1:5" ht="15.5">
      <c r="A71" s="457" t="s">
        <v>29</v>
      </c>
      <c r="B71" s="458">
        <v>36</v>
      </c>
      <c r="C71" s="458">
        <v>357</v>
      </c>
      <c r="D71" s="458">
        <v>293</v>
      </c>
      <c r="E71" s="458">
        <v>198</v>
      </c>
    </row>
    <row r="72" spans="1:5" ht="15.5">
      <c r="A72" s="457" t="s">
        <v>30</v>
      </c>
      <c r="B72" s="458">
        <v>31</v>
      </c>
      <c r="C72" s="458">
        <v>138</v>
      </c>
      <c r="D72" s="458">
        <v>122</v>
      </c>
      <c r="E72" s="458">
        <v>392</v>
      </c>
    </row>
    <row r="73" spans="1:5" ht="15.5">
      <c r="A73" s="457" t="s">
        <v>31</v>
      </c>
      <c r="B73" s="458">
        <v>102</v>
      </c>
      <c r="C73" s="458">
        <v>187</v>
      </c>
      <c r="D73" s="458">
        <v>145</v>
      </c>
      <c r="E73" s="458">
        <v>70</v>
      </c>
    </row>
    <row r="74" spans="1:5" ht="15.5">
      <c r="A74" s="457" t="s">
        <v>32</v>
      </c>
      <c r="B74" s="458">
        <v>71</v>
      </c>
      <c r="C74" s="458">
        <v>21</v>
      </c>
      <c r="D74" s="458">
        <v>104</v>
      </c>
      <c r="E74" s="458">
        <v>61</v>
      </c>
    </row>
    <row r="75" spans="1:5" ht="15.5">
      <c r="A75" s="457" t="s">
        <v>33</v>
      </c>
      <c r="B75" s="458">
        <v>189</v>
      </c>
      <c r="C75" s="458">
        <v>249</v>
      </c>
      <c r="D75" s="458">
        <v>249</v>
      </c>
      <c r="E75" s="458">
        <v>251</v>
      </c>
    </row>
    <row r="76" spans="1:5" ht="15.5">
      <c r="A76" s="457" t="s">
        <v>34</v>
      </c>
      <c r="B76" s="458">
        <v>88</v>
      </c>
      <c r="C76" s="458">
        <v>359</v>
      </c>
      <c r="D76" s="458">
        <v>457</v>
      </c>
      <c r="E76" s="458">
        <v>427</v>
      </c>
    </row>
    <row r="77" spans="1:5" ht="15.5">
      <c r="A77" s="457" t="s">
        <v>742</v>
      </c>
      <c r="B77" s="458">
        <v>8</v>
      </c>
      <c r="C77" s="458">
        <v>36</v>
      </c>
      <c r="D77" s="458">
        <v>34</v>
      </c>
      <c r="E77" s="458">
        <v>22</v>
      </c>
    </row>
    <row r="78" spans="1:5" ht="15.5">
      <c r="A78" s="457" t="s">
        <v>741</v>
      </c>
      <c r="B78" s="458">
        <v>157</v>
      </c>
      <c r="C78" s="458">
        <v>226</v>
      </c>
      <c r="D78" s="458">
        <v>101</v>
      </c>
      <c r="E78" s="458">
        <v>105</v>
      </c>
    </row>
    <row r="79" spans="1:5" ht="15.5">
      <c r="A79" s="457" t="s">
        <v>37</v>
      </c>
      <c r="B79" s="458">
        <v>169</v>
      </c>
      <c r="C79" s="458">
        <v>101</v>
      </c>
      <c r="D79" s="458">
        <v>269</v>
      </c>
      <c r="E79" s="458">
        <v>268</v>
      </c>
    </row>
    <row r="80" spans="1:5" ht="15.5">
      <c r="A80" s="457" t="s">
        <v>38</v>
      </c>
      <c r="B80" s="458">
        <v>42</v>
      </c>
      <c r="C80" s="458">
        <v>204</v>
      </c>
      <c r="D80" s="458">
        <v>123</v>
      </c>
      <c r="E80" s="458">
        <v>133</v>
      </c>
    </row>
    <row r="81" spans="1:5" ht="15.5">
      <c r="A81" s="457" t="s">
        <v>743</v>
      </c>
      <c r="B81" s="458">
        <v>0</v>
      </c>
      <c r="C81" s="458">
        <v>39</v>
      </c>
      <c r="D81" s="458">
        <v>18</v>
      </c>
      <c r="E81" s="458">
        <v>32</v>
      </c>
    </row>
    <row r="82" spans="1:5" ht="15.5">
      <c r="A82" s="457" t="s">
        <v>40</v>
      </c>
      <c r="B82" s="458">
        <v>27</v>
      </c>
      <c r="C82" s="458">
        <v>86</v>
      </c>
      <c r="D82" s="458">
        <v>209</v>
      </c>
      <c r="E82" s="458">
        <v>118</v>
      </c>
    </row>
    <row r="83" spans="1:5" ht="15.5">
      <c r="A83" s="457" t="s">
        <v>41</v>
      </c>
      <c r="B83" s="458">
        <v>250</v>
      </c>
      <c r="C83" s="458">
        <v>531</v>
      </c>
      <c r="D83" s="458">
        <v>296</v>
      </c>
      <c r="E83" s="458">
        <v>158</v>
      </c>
    </row>
    <row r="84" spans="1:5" ht="15.5">
      <c r="A84" s="457" t="s">
        <v>42</v>
      </c>
      <c r="B84" s="458">
        <v>6</v>
      </c>
      <c r="C84" s="458">
        <v>102</v>
      </c>
      <c r="D84" s="458">
        <v>73</v>
      </c>
      <c r="E84" s="458">
        <v>40</v>
      </c>
    </row>
    <row r="85" spans="1:5" ht="15.5">
      <c r="A85" s="457" t="s">
        <v>43</v>
      </c>
      <c r="B85" s="458">
        <v>88</v>
      </c>
      <c r="C85" s="458">
        <v>414</v>
      </c>
      <c r="D85" s="458">
        <v>256</v>
      </c>
      <c r="E85" s="458">
        <v>66</v>
      </c>
    </row>
    <row r="86" spans="1:5" ht="15.5">
      <c r="A86" s="459" t="s">
        <v>44</v>
      </c>
      <c r="B86" s="458">
        <v>119</v>
      </c>
      <c r="C86" s="458">
        <v>26</v>
      </c>
      <c r="D86" s="458">
        <v>270</v>
      </c>
      <c r="E86" s="458">
        <v>215</v>
      </c>
    </row>
  </sheetData>
  <pageMargins left="0.75" right="0.75" top="1" bottom="1" header="0.5" footer="0.5"/>
  <pageSetup paperSize="9" orientation="portrait"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5" tint="0.79998168889431442"/>
    <pageSetUpPr autoPageBreaks="0" fitToPage="1"/>
  </sheetPr>
  <dimension ref="A1:Q150"/>
  <sheetViews>
    <sheetView showGridLines="0" zoomScaleNormal="100" workbookViewId="0"/>
  </sheetViews>
  <sheetFormatPr defaultColWidth="9.1796875" defaultRowHeight="13.5" customHeight="1"/>
  <cols>
    <col min="1" max="1" width="22.81640625" style="81" customWidth="1"/>
    <col min="2" max="17" width="10.81640625" style="80" customWidth="1"/>
    <col min="18" max="16384" width="9.1796875" style="80"/>
  </cols>
  <sheetData>
    <row r="1" spans="1:16" ht="13.5" customHeight="1">
      <c r="A1" s="7" t="s">
        <v>261</v>
      </c>
      <c r="B1" s="91" t="s">
        <v>269</v>
      </c>
    </row>
    <row r="2" spans="1:16" ht="13.5" customHeight="1">
      <c r="A2"/>
      <c r="B2" s="91"/>
    </row>
    <row r="3" spans="1:16" ht="13.5" customHeight="1">
      <c r="A3" s="92"/>
      <c r="B3"/>
    </row>
    <row r="4" spans="1:16" ht="13.5" customHeight="1">
      <c r="A4" s="92"/>
      <c r="B4"/>
    </row>
    <row r="5" spans="1:16" ht="13.5" customHeight="1">
      <c r="A5" s="92"/>
      <c r="B5"/>
    </row>
    <row r="6" spans="1:16" ht="13.5" customHeight="1">
      <c r="A6" s="92"/>
      <c r="B6"/>
    </row>
    <row r="7" spans="1:16" ht="13.5" customHeight="1">
      <c r="A7" s="92"/>
      <c r="B7"/>
      <c r="D7" s="222" t="s">
        <v>265</v>
      </c>
      <c r="H7" s="222" t="s">
        <v>266</v>
      </c>
      <c r="L7" s="80" t="s">
        <v>266</v>
      </c>
      <c r="P7" s="80" t="s">
        <v>267</v>
      </c>
    </row>
    <row r="8" spans="1:16" ht="13.5" customHeight="1">
      <c r="A8" s="93" t="s">
        <v>228</v>
      </c>
      <c r="D8" s="94" t="s">
        <v>264</v>
      </c>
      <c r="H8" s="94" t="s">
        <v>264</v>
      </c>
      <c r="L8" s="94" t="s">
        <v>264</v>
      </c>
      <c r="P8" s="94" t="s">
        <v>264</v>
      </c>
    </row>
    <row r="9" spans="1:16" ht="13.5" customHeight="1">
      <c r="A9" s="95" t="s">
        <v>14</v>
      </c>
      <c r="B9" s="385">
        <f>SUM(C9*D9)</f>
        <v>23935.260780000004</v>
      </c>
      <c r="C9" s="391">
        <f t="shared" ref="C9:C40" si="0">VLOOKUP($A9,$A$53:$G$85,3,FALSE)</f>
        <v>106749</v>
      </c>
      <c r="D9" s="96">
        <v>0.22422000000000003</v>
      </c>
      <c r="F9" s="385">
        <f>SUM(G9*H9)</f>
        <v>24537.7595</v>
      </c>
      <c r="G9" s="391">
        <f t="shared" ref="G9:G40" si="1">VLOOKUP($A9,$A$53:$G$85,4,FALSE)</f>
        <v>106802</v>
      </c>
      <c r="H9" s="96">
        <v>0.22975000000000001</v>
      </c>
      <c r="J9" s="385">
        <f>SUM(K9*L9)</f>
        <v>19179.356220000001</v>
      </c>
      <c r="K9" s="391">
        <f t="shared" ref="K9:K40" si="2">VLOOKUP($A9,$A$53:$G$85,5,FALSE)</f>
        <v>107586</v>
      </c>
      <c r="L9" s="96">
        <v>0.17827000000000001</v>
      </c>
      <c r="N9" s="385">
        <f>SUM(O9*P9)</f>
        <v>15031.36089</v>
      </c>
      <c r="O9" s="391">
        <f t="shared" ref="O9:O40" si="3">VLOOKUP($A9,$A$53:$G$85,6,FALSE)</f>
        <v>108381</v>
      </c>
      <c r="P9" s="96">
        <v>0.13869000000000001</v>
      </c>
    </row>
    <row r="10" spans="1:16" ht="13.5" customHeight="1">
      <c r="A10" s="95" t="s">
        <v>15</v>
      </c>
      <c r="B10" s="385">
        <f t="shared" ref="B10:B40" si="4">SUM(C10*D10)</f>
        <v>23045.24624</v>
      </c>
      <c r="C10" s="391">
        <f t="shared" si="0"/>
        <v>110296</v>
      </c>
      <c r="D10" s="96">
        <v>0.20894000000000001</v>
      </c>
      <c r="F10" s="385">
        <f t="shared" ref="F10:F46" si="5">SUM(G10*H10)</f>
        <v>22922.629420000001</v>
      </c>
      <c r="G10" s="391">
        <f t="shared" si="1"/>
        <v>110941</v>
      </c>
      <c r="H10" s="96">
        <v>0.20662000000000003</v>
      </c>
      <c r="J10" s="385">
        <f t="shared" ref="J10:J46" si="6">SUM(K10*L10)</f>
        <v>21041.830800000003</v>
      </c>
      <c r="K10" s="391">
        <f t="shared" si="2"/>
        <v>111156</v>
      </c>
      <c r="L10" s="96">
        <v>0.18930000000000002</v>
      </c>
      <c r="N10" s="385">
        <f t="shared" ref="N10:N46" si="7">SUM(O10*P10)</f>
        <v>16605.204540000002</v>
      </c>
      <c r="O10" s="391">
        <f t="shared" si="3"/>
        <v>112114</v>
      </c>
      <c r="P10" s="96">
        <v>0.14811000000000002</v>
      </c>
    </row>
    <row r="11" spans="1:16" ht="13.5" customHeight="1">
      <c r="A11" s="95" t="s">
        <v>16</v>
      </c>
      <c r="B11" s="385">
        <f t="shared" si="4"/>
        <v>14125.778380000002</v>
      </c>
      <c r="C11" s="391">
        <f t="shared" si="0"/>
        <v>53333</v>
      </c>
      <c r="D11" s="96">
        <v>0.26486000000000004</v>
      </c>
      <c r="F11" s="385">
        <f t="shared" si="5"/>
        <v>14071.188530000001</v>
      </c>
      <c r="G11" s="391">
        <f t="shared" si="1"/>
        <v>53627</v>
      </c>
      <c r="H11" s="96">
        <v>0.26239000000000001</v>
      </c>
      <c r="J11" s="385">
        <f t="shared" si="6"/>
        <v>14746.990080000001</v>
      </c>
      <c r="K11" s="391">
        <f t="shared" si="2"/>
        <v>53888</v>
      </c>
      <c r="L11" s="96">
        <v>0.27366000000000001</v>
      </c>
      <c r="N11" s="385">
        <f t="shared" si="7"/>
        <v>15049.038550000001</v>
      </c>
      <c r="O11" s="391">
        <f t="shared" si="3"/>
        <v>54221</v>
      </c>
      <c r="P11" s="96">
        <v>0.27755000000000002</v>
      </c>
    </row>
    <row r="12" spans="1:16" ht="13.5" customHeight="1">
      <c r="A12" s="95" t="s">
        <v>17</v>
      </c>
      <c r="B12" s="385">
        <f t="shared" si="4"/>
        <v>5282.2584000000006</v>
      </c>
      <c r="C12" s="391">
        <f t="shared" si="0"/>
        <v>41040</v>
      </c>
      <c r="D12" s="96">
        <v>0.12871000000000002</v>
      </c>
      <c r="F12" s="385">
        <f t="shared" si="5"/>
        <v>6617.0471000000007</v>
      </c>
      <c r="G12" s="391">
        <f t="shared" si="1"/>
        <v>41455</v>
      </c>
      <c r="H12" s="96">
        <v>0.15962000000000001</v>
      </c>
      <c r="J12" s="385">
        <f t="shared" si="6"/>
        <v>6590.0290000000014</v>
      </c>
      <c r="K12" s="391">
        <f t="shared" si="2"/>
        <v>41630</v>
      </c>
      <c r="L12" s="96">
        <v>0.15830000000000002</v>
      </c>
      <c r="N12" s="385">
        <f t="shared" si="7"/>
        <v>6006.3329700000013</v>
      </c>
      <c r="O12" s="391">
        <f t="shared" si="3"/>
        <v>41789</v>
      </c>
      <c r="P12" s="96">
        <v>0.14373000000000002</v>
      </c>
    </row>
    <row r="13" spans="1:16" ht="13.5" customHeight="1">
      <c r="A13" s="95" t="s">
        <v>18</v>
      </c>
      <c r="B13" s="385">
        <f t="shared" si="4"/>
        <v>3107.18478</v>
      </c>
      <c r="C13" s="391">
        <f t="shared" si="0"/>
        <v>23401</v>
      </c>
      <c r="D13" s="96">
        <v>0.13278000000000001</v>
      </c>
      <c r="F13" s="385">
        <f t="shared" si="5"/>
        <v>2691.1302300000002</v>
      </c>
      <c r="G13" s="391">
        <f t="shared" si="1"/>
        <v>23563</v>
      </c>
      <c r="H13" s="96">
        <v>0.11421000000000001</v>
      </c>
      <c r="J13" s="385">
        <f t="shared" si="6"/>
        <v>3492.1517400000002</v>
      </c>
      <c r="K13" s="391">
        <f t="shared" si="2"/>
        <v>23674</v>
      </c>
      <c r="L13" s="96">
        <v>0.14751</v>
      </c>
      <c r="N13" s="385">
        <f t="shared" si="7"/>
        <v>4731.8923000000004</v>
      </c>
      <c r="O13" s="391">
        <f t="shared" si="3"/>
        <v>23890</v>
      </c>
      <c r="P13" s="96">
        <v>0.19807000000000002</v>
      </c>
    </row>
    <row r="14" spans="1:16" ht="13.5" customHeight="1">
      <c r="A14" s="95" t="s">
        <v>19</v>
      </c>
      <c r="B14" s="385">
        <f t="shared" si="4"/>
        <v>10205.910959999999</v>
      </c>
      <c r="C14" s="391">
        <f t="shared" si="0"/>
        <v>69202</v>
      </c>
      <c r="D14" s="96">
        <v>0.14748</v>
      </c>
      <c r="F14" s="385">
        <f t="shared" si="5"/>
        <v>9464.2235100000016</v>
      </c>
      <c r="G14" s="391">
        <f t="shared" si="1"/>
        <v>69503</v>
      </c>
      <c r="H14" s="96">
        <v>0.13617000000000001</v>
      </c>
      <c r="J14" s="385">
        <f t="shared" si="6"/>
        <v>12840.704580000001</v>
      </c>
      <c r="K14" s="391">
        <f t="shared" si="2"/>
        <v>69586</v>
      </c>
      <c r="L14" s="96">
        <v>0.18453000000000003</v>
      </c>
      <c r="N14" s="385">
        <f t="shared" si="7"/>
        <v>13496.514360000001</v>
      </c>
      <c r="O14" s="391">
        <f t="shared" si="3"/>
        <v>69699</v>
      </c>
      <c r="P14" s="96">
        <v>0.19364000000000001</v>
      </c>
    </row>
    <row r="15" spans="1:16" ht="13.5" customHeight="1">
      <c r="A15" s="95" t="s">
        <v>20</v>
      </c>
      <c r="B15" s="385">
        <f t="shared" si="4"/>
        <v>21560.3887</v>
      </c>
      <c r="C15" s="391">
        <f t="shared" si="0"/>
        <v>69635</v>
      </c>
      <c r="D15" s="96">
        <v>0.30962000000000001</v>
      </c>
      <c r="F15" s="385">
        <f t="shared" si="5"/>
        <v>22124.976650000001</v>
      </c>
      <c r="G15" s="391">
        <f t="shared" si="1"/>
        <v>70049</v>
      </c>
      <c r="H15" s="96">
        <v>0.31585000000000002</v>
      </c>
      <c r="J15" s="385">
        <f t="shared" si="6"/>
        <v>23076.162960000001</v>
      </c>
      <c r="K15" s="391">
        <f t="shared" si="2"/>
        <v>70337</v>
      </c>
      <c r="L15" s="96">
        <v>0.32808000000000004</v>
      </c>
      <c r="N15" s="385">
        <f t="shared" si="7"/>
        <v>23603.135200000004</v>
      </c>
      <c r="O15" s="391">
        <f t="shared" si="3"/>
        <v>70685</v>
      </c>
      <c r="P15" s="96">
        <v>0.33392000000000005</v>
      </c>
    </row>
    <row r="16" spans="1:16" ht="13.5" customHeight="1">
      <c r="A16" s="95" t="s">
        <v>21</v>
      </c>
      <c r="B16" s="385">
        <f t="shared" si="4"/>
        <v>8818.2603600000002</v>
      </c>
      <c r="C16" s="391">
        <f t="shared" si="0"/>
        <v>54748</v>
      </c>
      <c r="D16" s="96">
        <v>0.16107000000000002</v>
      </c>
      <c r="F16" s="385">
        <f t="shared" si="5"/>
        <v>9199.4584500000019</v>
      </c>
      <c r="G16" s="391">
        <f t="shared" si="1"/>
        <v>54873</v>
      </c>
      <c r="H16" s="96">
        <v>0.16765000000000002</v>
      </c>
      <c r="J16" s="385">
        <f t="shared" si="6"/>
        <v>8446.8009600000005</v>
      </c>
      <c r="K16" s="391">
        <f t="shared" si="2"/>
        <v>55107</v>
      </c>
      <c r="L16" s="96">
        <v>0.15328</v>
      </c>
      <c r="N16" s="385">
        <f t="shared" si="7"/>
        <v>11198.143660000002</v>
      </c>
      <c r="O16" s="391">
        <f t="shared" si="3"/>
        <v>55387</v>
      </c>
      <c r="P16" s="96">
        <v>0.20218000000000003</v>
      </c>
    </row>
    <row r="17" spans="1:16" ht="13.5" customHeight="1">
      <c r="A17" s="95" t="s">
        <v>23</v>
      </c>
      <c r="B17" s="385">
        <f t="shared" si="4"/>
        <v>8245.4507400000002</v>
      </c>
      <c r="C17" s="391">
        <f t="shared" si="0"/>
        <v>44749</v>
      </c>
      <c r="D17" s="96">
        <v>0.18426000000000001</v>
      </c>
      <c r="F17" s="385">
        <f t="shared" si="5"/>
        <v>9736.5439299999998</v>
      </c>
      <c r="G17" s="391">
        <f t="shared" si="1"/>
        <v>45301</v>
      </c>
      <c r="H17" s="96">
        <v>0.21493000000000001</v>
      </c>
      <c r="J17" s="385">
        <f t="shared" si="6"/>
        <v>8512.2712499999998</v>
      </c>
      <c r="K17" s="391">
        <f t="shared" si="2"/>
        <v>45975</v>
      </c>
      <c r="L17" s="96">
        <v>0.18515000000000001</v>
      </c>
      <c r="N17" s="385">
        <f t="shared" si="7"/>
        <v>8721.3883700000006</v>
      </c>
      <c r="O17" s="391">
        <f t="shared" si="3"/>
        <v>46771</v>
      </c>
      <c r="P17" s="96">
        <v>0.18647000000000002</v>
      </c>
    </row>
    <row r="18" spans="1:16" ht="13.5" customHeight="1">
      <c r="A18" s="95" t="s">
        <v>189</v>
      </c>
      <c r="B18" s="385">
        <f t="shared" si="4"/>
        <v>49231.360910000003</v>
      </c>
      <c r="C18" s="391">
        <f t="shared" si="0"/>
        <v>231383</v>
      </c>
      <c r="D18" s="96">
        <v>0.21277000000000001</v>
      </c>
      <c r="F18" s="385">
        <f t="shared" si="5"/>
        <v>47803.305960000005</v>
      </c>
      <c r="G18" s="391">
        <f t="shared" si="1"/>
        <v>233369</v>
      </c>
      <c r="H18" s="96">
        <v>0.20484000000000002</v>
      </c>
      <c r="J18" s="385">
        <f t="shared" si="6"/>
        <v>44883.725270000003</v>
      </c>
      <c r="K18" s="391">
        <f t="shared" si="2"/>
        <v>235771</v>
      </c>
      <c r="L18" s="96">
        <v>0.19037000000000001</v>
      </c>
      <c r="N18" s="385">
        <f t="shared" si="7"/>
        <v>38918.858460000003</v>
      </c>
      <c r="O18" s="391">
        <f t="shared" si="3"/>
        <v>238269</v>
      </c>
      <c r="P18" s="96">
        <v>0.16334000000000001</v>
      </c>
    </row>
    <row r="19" spans="1:16" ht="13.5" customHeight="1">
      <c r="A19" s="95" t="s">
        <v>32</v>
      </c>
      <c r="B19" s="385">
        <f t="shared" si="4"/>
        <v>4089.2782500000003</v>
      </c>
      <c r="C19" s="391">
        <f t="shared" si="0"/>
        <v>12951</v>
      </c>
      <c r="D19" s="96">
        <v>0.31575000000000003</v>
      </c>
      <c r="F19" s="385">
        <f t="shared" si="5"/>
        <v>3575.0279500000006</v>
      </c>
      <c r="G19" s="391">
        <f t="shared" si="1"/>
        <v>12805</v>
      </c>
      <c r="H19" s="96">
        <v>0.27919000000000005</v>
      </c>
      <c r="J19" s="385">
        <f t="shared" si="6"/>
        <v>3509.1262900000002</v>
      </c>
      <c r="K19" s="391">
        <f t="shared" si="2"/>
        <v>12773</v>
      </c>
      <c r="L19" s="96">
        <v>0.27473000000000003</v>
      </c>
      <c r="N19" s="385">
        <f t="shared" si="7"/>
        <v>2490.3719800000003</v>
      </c>
      <c r="O19" s="391">
        <f t="shared" si="3"/>
        <v>12833</v>
      </c>
      <c r="P19" s="96">
        <v>0.19406000000000001</v>
      </c>
    </row>
    <row r="20" spans="1:16" ht="13.5" customHeight="1">
      <c r="A20" s="95" t="s">
        <v>25</v>
      </c>
      <c r="B20" s="385">
        <f t="shared" si="4"/>
        <v>12101.42944</v>
      </c>
      <c r="C20" s="391">
        <f t="shared" si="0"/>
        <v>71072</v>
      </c>
      <c r="D20" s="96">
        <v>0.17027</v>
      </c>
      <c r="F20" s="385">
        <f t="shared" si="5"/>
        <v>15627.27</v>
      </c>
      <c r="G20" s="391">
        <f t="shared" si="1"/>
        <v>71800</v>
      </c>
      <c r="H20" s="96">
        <v>0.21765000000000001</v>
      </c>
      <c r="J20" s="385">
        <f t="shared" si="6"/>
        <v>17193.041970000002</v>
      </c>
      <c r="K20" s="391">
        <f t="shared" si="2"/>
        <v>72267</v>
      </c>
      <c r="L20" s="96">
        <v>0.23791000000000001</v>
      </c>
      <c r="N20" s="385">
        <f t="shared" si="7"/>
        <v>16790.138880000002</v>
      </c>
      <c r="O20" s="391">
        <f t="shared" si="3"/>
        <v>72672</v>
      </c>
      <c r="P20" s="96">
        <v>0.23104000000000002</v>
      </c>
    </row>
    <row r="21" spans="1:16" ht="13.5" customHeight="1">
      <c r="A21" s="95" t="s">
        <v>26</v>
      </c>
      <c r="B21" s="385">
        <f t="shared" si="4"/>
        <v>25611.248520000005</v>
      </c>
      <c r="C21" s="391">
        <f t="shared" si="0"/>
        <v>165833</v>
      </c>
      <c r="D21" s="96">
        <v>0.15444000000000002</v>
      </c>
      <c r="F21" s="385">
        <f t="shared" si="5"/>
        <v>34303.601600000002</v>
      </c>
      <c r="G21" s="391">
        <f t="shared" si="1"/>
        <v>166960</v>
      </c>
      <c r="H21" s="96">
        <v>0.20546</v>
      </c>
      <c r="J21" s="385">
        <f t="shared" si="6"/>
        <v>30376.031279999999</v>
      </c>
      <c r="K21" s="391">
        <f t="shared" si="2"/>
        <v>167944</v>
      </c>
      <c r="L21" s="96">
        <v>0.18087</v>
      </c>
      <c r="N21" s="385">
        <f t="shared" si="7"/>
        <v>31302.445440000003</v>
      </c>
      <c r="O21" s="391">
        <f t="shared" si="3"/>
        <v>169239</v>
      </c>
      <c r="P21" s="96">
        <v>0.18496000000000001</v>
      </c>
    </row>
    <row r="22" spans="1:16" ht="13.5" customHeight="1">
      <c r="A22" s="95" t="s">
        <v>28</v>
      </c>
      <c r="B22" s="385">
        <f t="shared" si="4"/>
        <v>30433.477430000006</v>
      </c>
      <c r="C22" s="391">
        <f t="shared" si="0"/>
        <v>107573</v>
      </c>
      <c r="D22" s="96">
        <v>0.28291000000000005</v>
      </c>
      <c r="F22" s="385">
        <f t="shared" si="5"/>
        <v>29363.114520000006</v>
      </c>
      <c r="G22" s="391">
        <f t="shared" si="1"/>
        <v>108319</v>
      </c>
      <c r="H22" s="96">
        <v>0.27108000000000004</v>
      </c>
      <c r="J22" s="385">
        <f t="shared" si="6"/>
        <v>28952.837760000006</v>
      </c>
      <c r="K22" s="391">
        <f t="shared" si="2"/>
        <v>108878</v>
      </c>
      <c r="L22" s="96">
        <v>0.26592000000000005</v>
      </c>
      <c r="N22" s="385">
        <f t="shared" si="7"/>
        <v>28455.02262</v>
      </c>
      <c r="O22" s="391">
        <f t="shared" si="3"/>
        <v>109514</v>
      </c>
      <c r="P22" s="96">
        <v>0.25983000000000001</v>
      </c>
    </row>
    <row r="23" spans="1:16" ht="13.5" customHeight="1">
      <c r="A23" s="95" t="s">
        <v>30</v>
      </c>
      <c r="B23" s="385">
        <f t="shared" si="4"/>
        <v>5678.8734199999999</v>
      </c>
      <c r="C23" s="391">
        <f t="shared" si="0"/>
        <v>37766</v>
      </c>
      <c r="D23" s="96">
        <v>0.15037</v>
      </c>
      <c r="F23" s="385">
        <f t="shared" si="5"/>
        <v>5978.6484200000004</v>
      </c>
      <c r="G23" s="391">
        <f t="shared" si="1"/>
        <v>38557</v>
      </c>
      <c r="H23" s="96">
        <v>0.15506</v>
      </c>
      <c r="J23" s="385">
        <f t="shared" si="6"/>
        <v>7106.1200800000006</v>
      </c>
      <c r="K23" s="391">
        <f t="shared" si="2"/>
        <v>39122</v>
      </c>
      <c r="L23" s="96">
        <v>0.18164000000000002</v>
      </c>
      <c r="N23" s="385">
        <f t="shared" si="7"/>
        <v>6557.5343200000007</v>
      </c>
      <c r="O23" s="391">
        <f t="shared" si="3"/>
        <v>39733</v>
      </c>
      <c r="P23" s="96">
        <v>0.16504000000000002</v>
      </c>
    </row>
    <row r="24" spans="1:16" ht="13.5" customHeight="1">
      <c r="A24" s="95" t="s">
        <v>31</v>
      </c>
      <c r="B24" s="385">
        <f t="shared" si="4"/>
        <v>6835.8665100000007</v>
      </c>
      <c r="C24" s="391">
        <f t="shared" si="0"/>
        <v>41961</v>
      </c>
      <c r="D24" s="96">
        <v>0.16291000000000003</v>
      </c>
      <c r="F24" s="385">
        <f t="shared" si="5"/>
        <v>7146.4198300000007</v>
      </c>
      <c r="G24" s="391">
        <f t="shared" si="1"/>
        <v>42269</v>
      </c>
      <c r="H24" s="96">
        <v>0.16907000000000003</v>
      </c>
      <c r="J24" s="385">
        <f t="shared" si="6"/>
        <v>7507.3766800000012</v>
      </c>
      <c r="K24" s="391">
        <f t="shared" si="2"/>
        <v>42554</v>
      </c>
      <c r="L24" s="96">
        <v>0.17642000000000002</v>
      </c>
      <c r="N24" s="385">
        <f t="shared" si="7"/>
        <v>6275.7997599999999</v>
      </c>
      <c r="O24" s="391">
        <f t="shared" si="3"/>
        <v>42932</v>
      </c>
      <c r="P24" s="96">
        <v>0.14618</v>
      </c>
    </row>
    <row r="25" spans="1:16" ht="13.5" customHeight="1">
      <c r="A25" s="95" t="s">
        <v>33</v>
      </c>
      <c r="B25" s="385">
        <f t="shared" si="4"/>
        <v>12271.199200000001</v>
      </c>
      <c r="C25" s="391">
        <f t="shared" si="0"/>
        <v>63440</v>
      </c>
      <c r="D25" s="96">
        <v>0.19343000000000002</v>
      </c>
      <c r="F25" s="385">
        <f t="shared" si="5"/>
        <v>11210.855040000002</v>
      </c>
      <c r="G25" s="391">
        <f t="shared" si="1"/>
        <v>63756</v>
      </c>
      <c r="H25" s="96">
        <v>0.17584000000000002</v>
      </c>
      <c r="J25" s="385">
        <f t="shared" si="6"/>
        <v>14209.553750000003</v>
      </c>
      <c r="K25" s="391">
        <f t="shared" si="2"/>
        <v>63935</v>
      </c>
      <c r="L25" s="96">
        <v>0.22225000000000003</v>
      </c>
      <c r="N25" s="385">
        <f t="shared" si="7"/>
        <v>16471.793400000002</v>
      </c>
      <c r="O25" s="391">
        <f t="shared" si="3"/>
        <v>64140</v>
      </c>
      <c r="P25" s="96">
        <v>0.25681000000000004</v>
      </c>
    </row>
    <row r="26" spans="1:16" ht="13.5" customHeight="1">
      <c r="A26" s="95" t="s">
        <v>35</v>
      </c>
      <c r="B26" s="385">
        <f t="shared" si="4"/>
        <v>2009.1504000000002</v>
      </c>
      <c r="C26" s="391">
        <f t="shared" si="0"/>
        <v>10256</v>
      </c>
      <c r="D26" s="96">
        <v>0.19590000000000002</v>
      </c>
      <c r="F26" s="385">
        <f t="shared" si="5"/>
        <v>2166.5187000000001</v>
      </c>
      <c r="G26" s="391">
        <f t="shared" si="1"/>
        <v>10385</v>
      </c>
      <c r="H26" s="96">
        <v>0.20862000000000003</v>
      </c>
      <c r="J26" s="385">
        <f t="shared" si="6"/>
        <v>2375.4066000000003</v>
      </c>
      <c r="K26" s="391">
        <f t="shared" si="2"/>
        <v>10506</v>
      </c>
      <c r="L26" s="96">
        <v>0.22610000000000002</v>
      </c>
      <c r="N26" s="385">
        <f t="shared" si="7"/>
        <v>2468.5076800000002</v>
      </c>
      <c r="O26" s="391">
        <f t="shared" si="3"/>
        <v>10589</v>
      </c>
      <c r="P26" s="96">
        <v>0.23312000000000002</v>
      </c>
    </row>
    <row r="27" spans="1:16" ht="13.5" customHeight="1">
      <c r="A27" s="95" t="s">
        <v>36</v>
      </c>
      <c r="B27" s="385">
        <f t="shared" si="4"/>
        <v>14483.07984</v>
      </c>
      <c r="C27" s="391">
        <f t="shared" si="0"/>
        <v>67101</v>
      </c>
      <c r="D27" s="96">
        <v>0.21584</v>
      </c>
      <c r="F27" s="385">
        <f t="shared" si="5"/>
        <v>17121.553780000002</v>
      </c>
      <c r="G27" s="391">
        <f t="shared" si="1"/>
        <v>67618</v>
      </c>
      <c r="H27" s="96">
        <v>0.25321000000000005</v>
      </c>
      <c r="J27" s="385">
        <f t="shared" si="6"/>
        <v>15365.240760000001</v>
      </c>
      <c r="K27" s="391">
        <f t="shared" si="2"/>
        <v>68196</v>
      </c>
      <c r="L27" s="96">
        <v>0.22531000000000001</v>
      </c>
      <c r="N27" s="385">
        <f t="shared" si="7"/>
        <v>15128.907750000002</v>
      </c>
      <c r="O27" s="391">
        <f t="shared" si="3"/>
        <v>69003</v>
      </c>
      <c r="P27" s="96">
        <v>0.21925000000000003</v>
      </c>
    </row>
    <row r="28" spans="1:16" ht="13.5" customHeight="1">
      <c r="A28" s="95" t="s">
        <v>38</v>
      </c>
      <c r="B28" s="385">
        <f t="shared" si="4"/>
        <v>10494.38157</v>
      </c>
      <c r="C28" s="391">
        <f t="shared" si="0"/>
        <v>53787</v>
      </c>
      <c r="D28" s="96">
        <v>0.19511000000000001</v>
      </c>
      <c r="F28" s="385">
        <f t="shared" si="5"/>
        <v>9575.2339200000006</v>
      </c>
      <c r="G28" s="391">
        <f t="shared" si="1"/>
        <v>54306</v>
      </c>
      <c r="H28" s="96">
        <v>0.17632</v>
      </c>
      <c r="J28" s="385">
        <f t="shared" si="6"/>
        <v>8031.9029300000011</v>
      </c>
      <c r="K28" s="391">
        <f t="shared" si="2"/>
        <v>54413</v>
      </c>
      <c r="L28" s="96">
        <v>0.14761000000000002</v>
      </c>
      <c r="N28" s="385">
        <f t="shared" si="7"/>
        <v>7163.8349500000013</v>
      </c>
      <c r="O28" s="391">
        <f t="shared" si="3"/>
        <v>54715</v>
      </c>
      <c r="P28" s="96">
        <v>0.13093000000000002</v>
      </c>
    </row>
    <row r="29" spans="1:16" ht="13.5" customHeight="1">
      <c r="A29" s="95" t="s">
        <v>39</v>
      </c>
      <c r="B29" s="385">
        <f t="shared" si="4"/>
        <v>2918.9323800000002</v>
      </c>
      <c r="C29" s="391">
        <f t="shared" si="0"/>
        <v>10283</v>
      </c>
      <c r="D29" s="96">
        <v>0.28386</v>
      </c>
      <c r="F29" s="385">
        <f t="shared" si="5"/>
        <v>3370.8557700000006</v>
      </c>
      <c r="G29" s="391">
        <f t="shared" si="1"/>
        <v>10341</v>
      </c>
      <c r="H29" s="96">
        <v>0.32597000000000004</v>
      </c>
      <c r="J29" s="385">
        <f t="shared" si="6"/>
        <v>3200.9718400000002</v>
      </c>
      <c r="K29" s="391">
        <f t="shared" si="2"/>
        <v>10384</v>
      </c>
      <c r="L29" s="96">
        <v>0.30826000000000003</v>
      </c>
      <c r="N29" s="385">
        <f t="shared" si="7"/>
        <v>3045.3694700000005</v>
      </c>
      <c r="O29" s="391">
        <f t="shared" si="3"/>
        <v>10439</v>
      </c>
      <c r="P29" s="96">
        <v>0.29173000000000004</v>
      </c>
    </row>
    <row r="30" spans="1:16" ht="13.5" customHeight="1">
      <c r="A30" s="95" t="s">
        <v>40</v>
      </c>
      <c r="B30" s="385">
        <f t="shared" si="4"/>
        <v>9441.6783200000009</v>
      </c>
      <c r="C30" s="391">
        <f t="shared" si="0"/>
        <v>51923</v>
      </c>
      <c r="D30" s="96">
        <v>0.18184</v>
      </c>
      <c r="F30" s="385">
        <f t="shared" si="5"/>
        <v>8947.2988800000003</v>
      </c>
      <c r="G30" s="391">
        <f t="shared" si="1"/>
        <v>52104</v>
      </c>
      <c r="H30" s="96">
        <v>0.17172000000000001</v>
      </c>
      <c r="J30" s="385">
        <f t="shared" si="6"/>
        <v>10160.28954</v>
      </c>
      <c r="K30" s="391">
        <f t="shared" si="2"/>
        <v>52281</v>
      </c>
      <c r="L30" s="96">
        <v>0.19434000000000001</v>
      </c>
      <c r="N30" s="385">
        <f t="shared" si="7"/>
        <v>9310.7054000000007</v>
      </c>
      <c r="O30" s="391">
        <f t="shared" si="3"/>
        <v>52588</v>
      </c>
      <c r="P30" s="96">
        <v>0.17705000000000001</v>
      </c>
    </row>
    <row r="31" spans="1:16" ht="13.5" customHeight="1">
      <c r="A31" s="95" t="s">
        <v>42</v>
      </c>
      <c r="B31" s="385">
        <f t="shared" si="4"/>
        <v>5744.4934800000001</v>
      </c>
      <c r="C31" s="391">
        <f t="shared" si="0"/>
        <v>38951</v>
      </c>
      <c r="D31" s="96">
        <v>0.14748</v>
      </c>
      <c r="F31" s="385">
        <f t="shared" si="5"/>
        <v>5627.9691000000003</v>
      </c>
      <c r="G31" s="391">
        <f t="shared" si="1"/>
        <v>39285</v>
      </c>
      <c r="H31" s="96">
        <v>0.14326</v>
      </c>
      <c r="J31" s="385">
        <f t="shared" si="6"/>
        <v>4664.1743999999999</v>
      </c>
      <c r="K31" s="391">
        <f t="shared" si="2"/>
        <v>39440</v>
      </c>
      <c r="L31" s="96">
        <v>0.11826</v>
      </c>
      <c r="N31" s="385">
        <f t="shared" si="7"/>
        <v>4652.2072800000005</v>
      </c>
      <c r="O31" s="391">
        <f t="shared" si="3"/>
        <v>39654</v>
      </c>
      <c r="P31" s="96">
        <v>0.11732000000000001</v>
      </c>
    </row>
    <row r="32" spans="1:16" ht="13.5" customHeight="1">
      <c r="A32" s="95" t="s">
        <v>22</v>
      </c>
      <c r="B32" s="385">
        <f t="shared" ref="B32:B38" si="8">SUM(C32*D32)</f>
        <v>6800.6860000000006</v>
      </c>
      <c r="C32" s="391">
        <f t="shared" si="0"/>
        <v>45350</v>
      </c>
      <c r="D32" s="96">
        <v>0.14996000000000001</v>
      </c>
      <c r="F32" s="385">
        <f t="shared" ref="F32:F38" si="9">SUM(G32*H32)</f>
        <v>8812.2303000000011</v>
      </c>
      <c r="G32" s="391">
        <f t="shared" si="1"/>
        <v>45690</v>
      </c>
      <c r="H32" s="96">
        <v>0.19287000000000001</v>
      </c>
      <c r="J32" s="385">
        <f t="shared" ref="J32:J38" si="10">SUM(K32*L32)</f>
        <v>6909.8932200000008</v>
      </c>
      <c r="K32" s="391">
        <f t="shared" si="2"/>
        <v>46023</v>
      </c>
      <c r="L32" s="96">
        <v>0.15014000000000002</v>
      </c>
      <c r="N32" s="385">
        <f t="shared" ref="N32:N38" si="11">SUM(O32*P32)</f>
        <v>7597.1095200000009</v>
      </c>
      <c r="O32" s="391">
        <f t="shared" si="3"/>
        <v>46228</v>
      </c>
      <c r="P32" s="96">
        <v>0.16434000000000001</v>
      </c>
    </row>
    <row r="33" spans="1:17" ht="13.5" customHeight="1">
      <c r="A33" s="95" t="s">
        <v>24</v>
      </c>
      <c r="B33" s="385">
        <f t="shared" si="8"/>
        <v>6626.2867500000002</v>
      </c>
      <c r="C33" s="391">
        <f t="shared" si="0"/>
        <v>38581</v>
      </c>
      <c r="D33" s="96">
        <v>0.17175000000000001</v>
      </c>
      <c r="F33" s="385">
        <f t="shared" si="9"/>
        <v>6483.2963300000001</v>
      </c>
      <c r="G33" s="391">
        <f t="shared" si="1"/>
        <v>38899</v>
      </c>
      <c r="H33" s="96">
        <v>0.16667000000000001</v>
      </c>
      <c r="J33" s="385">
        <f t="shared" si="10"/>
        <v>6944.7986400000009</v>
      </c>
      <c r="K33" s="391">
        <f t="shared" si="2"/>
        <v>39108</v>
      </c>
      <c r="L33" s="96">
        <v>0.17758000000000002</v>
      </c>
      <c r="N33" s="385">
        <f t="shared" si="11"/>
        <v>6577.6971000000012</v>
      </c>
      <c r="O33" s="391">
        <f t="shared" si="3"/>
        <v>39345</v>
      </c>
      <c r="P33" s="96">
        <v>0.16718000000000002</v>
      </c>
      <c r="Q33" s="98"/>
    </row>
    <row r="34" spans="1:17" ht="13.5" customHeight="1">
      <c r="A34" s="95" t="s">
        <v>27</v>
      </c>
      <c r="B34" s="385">
        <f t="shared" si="8"/>
        <v>59063.441910000009</v>
      </c>
      <c r="C34" s="391">
        <f t="shared" si="0"/>
        <v>289399</v>
      </c>
      <c r="D34" s="96">
        <v>0.20409000000000002</v>
      </c>
      <c r="E34" s="99"/>
      <c r="F34" s="385">
        <f t="shared" si="9"/>
        <v>63465.98115</v>
      </c>
      <c r="G34" s="391">
        <f t="shared" si="1"/>
        <v>291115</v>
      </c>
      <c r="H34" s="96">
        <v>0.21801000000000001</v>
      </c>
      <c r="J34" s="385">
        <f t="shared" si="10"/>
        <v>64645.389479999998</v>
      </c>
      <c r="K34" s="391">
        <f t="shared" si="2"/>
        <v>292619</v>
      </c>
      <c r="L34" s="96">
        <v>0.22092000000000001</v>
      </c>
      <c r="N34" s="385">
        <f t="shared" si="11"/>
        <v>72680.301180000009</v>
      </c>
      <c r="O34" s="391">
        <f t="shared" si="3"/>
        <v>294622</v>
      </c>
      <c r="P34" s="96">
        <v>0.24669000000000002</v>
      </c>
    </row>
    <row r="35" spans="1:17" ht="13.5" customHeight="1">
      <c r="A35" s="95" t="s">
        <v>29</v>
      </c>
      <c r="B35" s="385">
        <f t="shared" si="8"/>
        <v>4877.9110799999999</v>
      </c>
      <c r="C35" s="391">
        <f t="shared" si="0"/>
        <v>37586</v>
      </c>
      <c r="D35" s="96">
        <v>0.12978000000000001</v>
      </c>
      <c r="F35" s="385">
        <f t="shared" si="9"/>
        <v>5740.2714600000008</v>
      </c>
      <c r="G35" s="391">
        <f t="shared" si="1"/>
        <v>37651</v>
      </c>
      <c r="H35" s="96">
        <v>0.15246000000000001</v>
      </c>
      <c r="J35" s="385">
        <f t="shared" si="10"/>
        <v>4940.25</v>
      </c>
      <c r="K35" s="391">
        <f t="shared" si="2"/>
        <v>37640</v>
      </c>
      <c r="L35" s="96">
        <v>0.13125000000000001</v>
      </c>
      <c r="N35" s="385">
        <f t="shared" si="11"/>
        <v>4129.6410600000008</v>
      </c>
      <c r="O35" s="391">
        <f t="shared" si="3"/>
        <v>37614</v>
      </c>
      <c r="P35" s="96">
        <v>0.10979000000000001</v>
      </c>
    </row>
    <row r="36" spans="1:17" ht="13.5" customHeight="1">
      <c r="A36" s="95" t="s">
        <v>34</v>
      </c>
      <c r="B36" s="385">
        <f t="shared" si="8"/>
        <v>24189.056680000002</v>
      </c>
      <c r="C36" s="391">
        <f t="shared" si="0"/>
        <v>150364</v>
      </c>
      <c r="D36" s="96">
        <v>0.16087000000000001</v>
      </c>
      <c r="F36" s="385">
        <f t="shared" si="9"/>
        <v>33807.327300000004</v>
      </c>
      <c r="G36" s="391">
        <f t="shared" si="1"/>
        <v>151155</v>
      </c>
      <c r="H36" s="96">
        <v>0.22366000000000003</v>
      </c>
      <c r="J36" s="385">
        <f t="shared" si="10"/>
        <v>45300.136320000005</v>
      </c>
      <c r="K36" s="391">
        <f t="shared" si="2"/>
        <v>151744</v>
      </c>
      <c r="L36" s="96">
        <v>0.29853000000000002</v>
      </c>
      <c r="N36" s="385">
        <f t="shared" si="11"/>
        <v>50498.268180000006</v>
      </c>
      <c r="O36" s="391">
        <f t="shared" si="3"/>
        <v>152443</v>
      </c>
      <c r="P36" s="96">
        <v>0.33126000000000005</v>
      </c>
    </row>
    <row r="37" spans="1:17" ht="13.5" customHeight="1">
      <c r="A37" s="95" t="s">
        <v>37</v>
      </c>
      <c r="B37" s="385">
        <f t="shared" si="8"/>
        <v>11357.659250000001</v>
      </c>
      <c r="C37" s="391">
        <f t="shared" si="0"/>
        <v>84025</v>
      </c>
      <c r="D37" s="96">
        <v>0.13517000000000001</v>
      </c>
      <c r="F37" s="385">
        <f t="shared" si="9"/>
        <v>13381.132520000001</v>
      </c>
      <c r="G37" s="391">
        <f t="shared" si="1"/>
        <v>84938</v>
      </c>
      <c r="H37" s="96">
        <v>0.15754000000000001</v>
      </c>
      <c r="J37" s="385">
        <f t="shared" si="10"/>
        <v>13310.19635</v>
      </c>
      <c r="K37" s="391">
        <f t="shared" si="2"/>
        <v>85745</v>
      </c>
      <c r="L37" s="96">
        <v>0.15523000000000001</v>
      </c>
      <c r="N37" s="385">
        <f t="shared" si="11"/>
        <v>13051.859310000002</v>
      </c>
      <c r="O37" s="391">
        <f t="shared" si="3"/>
        <v>86683</v>
      </c>
      <c r="P37" s="96">
        <v>0.15057000000000001</v>
      </c>
    </row>
    <row r="38" spans="1:17" ht="13.5" customHeight="1">
      <c r="A38" s="95" t="s">
        <v>41</v>
      </c>
      <c r="B38" s="385">
        <f t="shared" si="8"/>
        <v>22187.260160000002</v>
      </c>
      <c r="C38" s="391">
        <f t="shared" si="0"/>
        <v>144148</v>
      </c>
      <c r="D38" s="96">
        <v>0.15392</v>
      </c>
      <c r="F38" s="385">
        <f t="shared" si="9"/>
        <v>25675.436700000002</v>
      </c>
      <c r="G38" s="391">
        <f t="shared" si="1"/>
        <v>145182</v>
      </c>
      <c r="H38" s="96">
        <v>0.17685000000000001</v>
      </c>
      <c r="J38" s="385">
        <f t="shared" si="10"/>
        <v>29964.003270000001</v>
      </c>
      <c r="K38" s="391">
        <f t="shared" si="2"/>
        <v>146173</v>
      </c>
      <c r="L38" s="96">
        <v>0.20499000000000001</v>
      </c>
      <c r="N38" s="385">
        <f t="shared" si="11"/>
        <v>35003.780280000006</v>
      </c>
      <c r="O38" s="391">
        <f t="shared" si="3"/>
        <v>147434</v>
      </c>
      <c r="P38" s="96">
        <v>0.23742000000000002</v>
      </c>
    </row>
    <row r="39" spans="1:17" ht="13.5" customHeight="1">
      <c r="A39" s="95" t="s">
        <v>43</v>
      </c>
      <c r="B39" s="385">
        <f t="shared" si="4"/>
        <v>4078.8623400000006</v>
      </c>
      <c r="C39" s="391">
        <f t="shared" si="0"/>
        <v>42657</v>
      </c>
      <c r="D39" s="96">
        <v>9.5620000000000011E-2</v>
      </c>
      <c r="F39" s="385">
        <f t="shared" si="5"/>
        <v>4554.5862999999999</v>
      </c>
      <c r="G39" s="391">
        <f t="shared" si="1"/>
        <v>42746</v>
      </c>
      <c r="H39" s="96">
        <v>0.10655000000000001</v>
      </c>
      <c r="J39" s="385">
        <f t="shared" si="6"/>
        <v>3410.1494000000002</v>
      </c>
      <c r="K39" s="391">
        <f t="shared" si="2"/>
        <v>42868</v>
      </c>
      <c r="L39" s="96">
        <v>7.955000000000001E-2</v>
      </c>
      <c r="N39" s="385">
        <f t="shared" si="7"/>
        <v>5506.9794000000002</v>
      </c>
      <c r="O39" s="391">
        <f t="shared" si="3"/>
        <v>43030</v>
      </c>
      <c r="P39" s="96">
        <v>0.12798000000000001</v>
      </c>
    </row>
    <row r="40" spans="1:17" ht="13.5" customHeight="1">
      <c r="A40" s="95" t="s">
        <v>44</v>
      </c>
      <c r="B40" s="385">
        <f t="shared" si="4"/>
        <v>16022.566700000001</v>
      </c>
      <c r="C40" s="391">
        <f t="shared" si="0"/>
        <v>76630</v>
      </c>
      <c r="D40" s="96">
        <v>0.20909000000000003</v>
      </c>
      <c r="F40" s="385">
        <f t="shared" si="5"/>
        <v>20455.589910000002</v>
      </c>
      <c r="G40" s="391">
        <f t="shared" si="1"/>
        <v>77369</v>
      </c>
      <c r="H40" s="96">
        <v>0.26439000000000001</v>
      </c>
      <c r="J40" s="385">
        <f t="shared" si="6"/>
        <v>20371.457490000001</v>
      </c>
      <c r="K40" s="391">
        <f t="shared" si="2"/>
        <v>77953</v>
      </c>
      <c r="L40" s="96">
        <v>0.26133000000000001</v>
      </c>
      <c r="N40" s="385">
        <f t="shared" si="7"/>
        <v>20548.532520000001</v>
      </c>
      <c r="O40" s="391">
        <f t="shared" si="3"/>
        <v>78966</v>
      </c>
      <c r="P40" s="96">
        <v>0.26022000000000001</v>
      </c>
    </row>
    <row r="41" spans="1:17" ht="13.5" customHeight="1">
      <c r="A41" s="95" t="s">
        <v>47</v>
      </c>
      <c r="B41" s="385">
        <f>SUM(B32:B39)</f>
        <v>139181.16417</v>
      </c>
      <c r="C41" s="391">
        <f>SUM(C32:C39)</f>
        <v>832110</v>
      </c>
      <c r="D41" s="392">
        <f>SUMPRODUCT(D32:D40,C32:C40)/SUMPRODUCT(C32:C40)</f>
        <v>0.17079002890815856</v>
      </c>
      <c r="F41" s="391">
        <f>SUM(F32:F39)</f>
        <v>161920.26206000001</v>
      </c>
      <c r="G41" s="391">
        <f>SUM(G32:G39)</f>
        <v>837376</v>
      </c>
      <c r="H41" s="392">
        <f>SUMPRODUCT(H32:H40,G32:G40)/SUMPRODUCT(G32:G40)</f>
        <v>0.19937343409365454</v>
      </c>
      <c r="J41" s="391">
        <f>SUM(J32:J39)</f>
        <v>175424.81667999999</v>
      </c>
      <c r="K41" s="391">
        <f>SUM(K32:K39)</f>
        <v>841920</v>
      </c>
      <c r="L41" s="392">
        <f>SUMPRODUCT(L32:L40,K32:K40)/SUMPRODUCT(K32:K40)</f>
        <v>0.21285141989165896</v>
      </c>
      <c r="N41" s="391">
        <f>SUM(N32:N39)</f>
        <v>195045.63603000002</v>
      </c>
      <c r="O41" s="391">
        <f>SUM(O32:O39)</f>
        <v>847399</v>
      </c>
      <c r="P41" s="392">
        <f>SUMPRODUCT(P32:P40,O32:O40)/SUMPRODUCT(O32:O40)</f>
        <v>0.23273134083217742</v>
      </c>
    </row>
    <row r="42" spans="1:17" ht="13.5" customHeight="1">
      <c r="A42" s="6" t="s">
        <v>543</v>
      </c>
      <c r="B42" s="385" cm="1">
        <f t="array" ref="B42">SUM(SUMIFS(B$9:B$41,$A$9:$A$41,{"East Renfrewshire","East Dunbartonshire","Aberdeenshire","Edinburgh, City of","Perth and Kinross","Aberdeen City","Shetland Islands","Orkney Islands"}))</f>
        <v>129050.00330000001</v>
      </c>
      <c r="C42" s="385" cm="1">
        <f t="array" ref="C42">SUM(SUMIFS(C$9:C$41,$A$9:$A$41,{"East Renfrewshire","East Dunbartonshire","Aberdeenshire","Edinburgh, City of","Perth and Kinross","Aberdeen City","Shetland Islands","Orkney Islands"}))</f>
        <v>619999</v>
      </c>
      <c r="D42" s="406">
        <f>SUM(B42/C42)</f>
        <v>0.2081455023314554</v>
      </c>
      <c r="E42" s="9"/>
      <c r="F42" s="385" cm="1">
        <f t="array" ref="F42">SUM(SUMIFS(F$9:F$41,$A$9:$A$41,{"East Renfrewshire","East Dunbartonshire","Aberdeenshire","Edinburgh, City of","Perth and Kinross","Aberdeen City","Shetland Islands","Orkney Islands"}))</f>
        <v>133218.14976</v>
      </c>
      <c r="G42" s="385" cm="1">
        <f t="array" ref="G42">SUM(SUMIFS(G$9:G$41,$A$9:$A$41,{"East Renfrewshire","East Dunbartonshire","Aberdeenshire","Edinburgh, City of","Perth and Kinross","Aberdeen City","Shetland Islands","Orkney Islands"}))</f>
        <v>624045</v>
      </c>
      <c r="H42" s="406">
        <f t="shared" ref="H42:H45" si="12">SUM(F42/G42)</f>
        <v>0.21347522976708411</v>
      </c>
      <c r="I42" s="9"/>
      <c r="J42" s="385" cm="1">
        <f t="array" ref="J42">SUM(SUMIFS(J$9:J$41,$A$9:$A$41,{"East Renfrewshire","East Dunbartonshire","Aberdeenshire","Edinburgh, City of","Perth and Kinross","Aberdeen City","Shetland Islands","Orkney Islands"}))</f>
        <v>119901.22335000001</v>
      </c>
      <c r="K42" s="385" cm="1">
        <f t="array" ref="K42">SUM(SUMIFS(K$9:K$41,$A$9:$A$41,{"East Renfrewshire","East Dunbartonshire","Aberdeenshire","Edinburgh, City of","Perth and Kinross","Aberdeen City","Shetland Islands","Orkney Islands"}))</f>
        <v>628730</v>
      </c>
      <c r="L42" s="406">
        <f t="shared" ref="L42:L45" si="13">SUM(J42/K42)</f>
        <v>0.19070383686160994</v>
      </c>
      <c r="M42" s="9"/>
      <c r="N42" s="385" cm="1">
        <f t="array" ref="N42">SUM(SUMIFS(N$9:N$41,$A$9:$A$41,{"East Renfrewshire","East Dunbartonshire","Aberdeenshire","Edinburgh, City of","Perth and Kinross","Aberdeen City","Shetland Islands","Orkney Islands"}))</f>
        <v>105373.01541000001</v>
      </c>
      <c r="O42" s="385" cm="1">
        <f t="array" ref="O42">SUM(SUMIFS(O$9:O$41,$A$9:$A$41,{"East Renfrewshire","East Dunbartonshire","Aberdeenshire","Edinburgh, City of","Perth and Kinross","Aberdeen City","Shetland Islands","Orkney Islands"}))</f>
        <v>634368</v>
      </c>
      <c r="P42" s="406">
        <f t="shared" ref="P42:P45" si="14">SUM(N42/O42)</f>
        <v>0.16610707887220039</v>
      </c>
    </row>
    <row r="43" spans="1:17" ht="13.5" customHeight="1">
      <c r="A43" s="6" t="s">
        <v>544</v>
      </c>
      <c r="B43" s="385" cm="1">
        <f t="array" ref="B43">SUM(SUMIFS(B$9:B$41,$A$9:$A$41,{"Moray","Stirling","East Lothian","Angus","Scottish Borders","Highland","Argyll and Bute","Midlothian"}))</f>
        <v>86840.579930000007</v>
      </c>
      <c r="C43" s="385" cm="1">
        <f t="array" ref="C43">SUM(SUMIFS(C$9:C$41,$A$9:$A$41,{"Moray","Stirling","East Lothian","Angus","Scottish Borders","Highland","Argyll and Bute","Midlothian"}))</f>
        <v>419160</v>
      </c>
      <c r="D43" s="406">
        <f t="shared" ref="D43:D45" si="15">SUM(B43/C43)</f>
        <v>0.20717764082927762</v>
      </c>
      <c r="E43" s="9"/>
      <c r="F43" s="385" cm="1">
        <f t="array" ref="F43">SUM(SUMIFS(F$9:F$41,$A$9:$A$41,{"Moray","Stirling","East Lothian","Angus","Scottish Borders","Highland","Argyll and Bute","Midlothian"}))</f>
        <v>88116.165349999996</v>
      </c>
      <c r="G43" s="385" cm="1">
        <f t="array" ref="G43">SUM(SUMIFS(G$9:G$41,$A$9:$A$41,{"Moray","Stirling","East Lothian","Angus","Scottish Borders","Highland","Argyll and Bute","Midlothian"}))</f>
        <v>423119</v>
      </c>
      <c r="H43" s="406">
        <f t="shared" si="12"/>
        <v>0.20825386085238431</v>
      </c>
      <c r="I43" s="9"/>
      <c r="J43" s="385" cm="1">
        <f t="array" ref="J43">SUM(SUMIFS(J$9:J$41,$A$9:$A$41,{"Moray","Stirling","East Lothian","Angus","Scottish Borders","Highland","Argyll and Bute","Midlothian"}))</f>
        <v>86111.702180000022</v>
      </c>
      <c r="K43" s="385" cm="1">
        <f t="array" ref="K43">SUM(SUMIFS(K$9:K$41,$A$9:$A$41,{"Moray","Stirling","East Lothian","Angus","Scottish Borders","Highland","Argyll and Bute","Midlothian"}))</f>
        <v>425900</v>
      </c>
      <c r="L43" s="406">
        <f t="shared" si="13"/>
        <v>0.20218760784221654</v>
      </c>
      <c r="M43" s="9"/>
      <c r="N43" s="385" cm="1">
        <f t="array" ref="N43">SUM(SUMIFS(N$9:N$41,$A$9:$A$41,{"Moray","Stirling","East Lothian","Angus","Scottish Borders","Highland","Argyll and Bute","Midlothian"}))</f>
        <v>82881.158820000011</v>
      </c>
      <c r="O43" s="385" cm="1">
        <f t="array" ref="O43">SUM(SUMIFS(O$9:O$41,$A$9:$A$41,{"Moray","Stirling","East Lothian","Angus","Scottish Borders","Highland","Argyll and Bute","Midlothian"}))</f>
        <v>429329</v>
      </c>
      <c r="P43" s="406">
        <f t="shared" si="14"/>
        <v>0.19304812584288508</v>
      </c>
    </row>
    <row r="44" spans="1:17" ht="13.5" customHeight="1">
      <c r="A44" s="6" t="s">
        <v>545</v>
      </c>
      <c r="B44" s="385" cm="1">
        <f t="array" ref="B44">SUM(SUMIFS(B$9:B$41,$A$9:$A$41,{"Falkirk","Dumfries and Galloway","Fife","South Ayrshire","West Lothian","South Lanarkshire","Renfrewshire","Clackmannanshire"}))</f>
        <v>110034.93813000001</v>
      </c>
      <c r="C44" s="385" cm="1">
        <f t="array" ref="C44">SUM(SUMIFS(C$9:C$41,$A$9:$A$41,{"Falkirk","Dumfries and Galloway","Fife","South Ayrshire","West Lothian","South Lanarkshire","Renfrewshire","Clackmannanshire"}))</f>
        <v>686234</v>
      </c>
      <c r="D44" s="406">
        <f t="shared" si="15"/>
        <v>0.16034608913286139</v>
      </c>
      <c r="E44" s="9"/>
      <c r="F44" s="385" cm="1">
        <f t="array" ref="F44">SUM(SUMIFS(F$9:F$41,$A$9:$A$41,{"Falkirk","Dumfries and Galloway","Fife","South Ayrshire","West Lothian","South Lanarkshire","Renfrewshire","Clackmannanshire"}))</f>
        <v>130545.68334999999</v>
      </c>
      <c r="G44" s="385" cm="1">
        <f t="array" ref="G44">SUM(SUMIFS(G$9:G$41,$A$9:$A$41,{"Falkirk","Dumfries and Galloway","Fife","South Ayrshire","West Lothian","South Lanarkshire","Renfrewshire","Clackmannanshire"}))</f>
        <v>691419</v>
      </c>
      <c r="H44" s="406">
        <f t="shared" si="12"/>
        <v>0.18880835405159532</v>
      </c>
      <c r="I44" s="9"/>
      <c r="J44" s="385" cm="1">
        <f t="array" ref="J44">SUM(SUMIFS(J$9:J$41,$A$9:$A$41,{"Falkirk","Dumfries and Galloway","Fife","South Ayrshire","West Lothian","South Lanarkshire","Renfrewshire","Clackmannanshire"}))</f>
        <v>137707.87622000001</v>
      </c>
      <c r="K44" s="385" cm="1">
        <f t="array" ref="K44">SUM(SUMIFS(K$9:K$41,$A$9:$A$41,{"Falkirk","Dumfries and Galloway","Fife","South Ayrshire","West Lothian","South Lanarkshire","Renfrewshire","Clackmannanshire"}))</f>
        <v>695623</v>
      </c>
      <c r="L44" s="406">
        <f t="shared" si="13"/>
        <v>0.19796337415525364</v>
      </c>
      <c r="M44" s="9"/>
      <c r="N44" s="385" cm="1">
        <f t="array" ref="N44">SUM(SUMIFS(N$9:N$41,$A$9:$A$41,{"Falkirk","Dumfries and Galloway","Fife","South Ayrshire","West Lothian","South Lanarkshire","Renfrewshire","Clackmannanshire"}))</f>
        <v>144235.86849000002</v>
      </c>
      <c r="O44" s="385" cm="1">
        <f t="array" ref="O44">SUM(SUMIFS(O$9:O$41,$A$9:$A$41,{"Falkirk","Dumfries and Galloway","Fife","South Ayrshire","West Lothian","South Lanarkshire","Renfrewshire","Clackmannanshire"}))</f>
        <v>701171</v>
      </c>
      <c r="P44" s="406">
        <f t="shared" si="14"/>
        <v>0.20570712207150613</v>
      </c>
    </row>
    <row r="45" spans="1:17" ht="13.5" customHeight="1">
      <c r="A45" s="6" t="s">
        <v>546</v>
      </c>
      <c r="B45" s="385" cm="1">
        <f t="array" ref="B45">SUM(SUMIFS(B$9:B$41,$A$9:$A$41,{"Na h-Eileanan Siar","Dundee City","East Ayrshire","North Ayrshire","North Lanarkshire","Inverclyde","West Dunbartonshire","Glasgow City"}))</f>
        <v>138948.39852000005</v>
      </c>
      <c r="C45" s="385" cm="1">
        <f t="array" ref="C45">SUM(SUMIFS(C$9:C$41,$A$9:$A$41,{"Na h-Eileanan Siar","Dundee City","East Ayrshire","North Ayrshire","North Lanarkshire","Inverclyde","West Dunbartonshire","Glasgow City"}))</f>
        <v>720780</v>
      </c>
      <c r="D45" s="406">
        <f t="shared" si="15"/>
        <v>0.19277504719886795</v>
      </c>
      <c r="E45" s="9"/>
      <c r="F45" s="385" cm="1">
        <f t="array" ref="F45">SUM(SUMIFS(F$9:F$41,$A$9:$A$41,{"Na h-Eileanan Siar","Dundee City","East Ayrshire","North Ayrshire","North Lanarkshire","Inverclyde","West Dunbartonshire","Glasgow City"}))</f>
        <v>153678.48430000001</v>
      </c>
      <c r="G45" s="385" cm="1">
        <f t="array" ref="G45">SUM(SUMIFS(G$9:G$41,$A$9:$A$41,{"Na h-Eileanan Siar","Dundee City","East Ayrshire","North Ayrshire","North Lanarkshire","Inverclyde","West Dunbartonshire","Glasgow City"}))</f>
        <v>724150</v>
      </c>
      <c r="H45" s="406">
        <f t="shared" si="12"/>
        <v>0.21221913180970794</v>
      </c>
      <c r="I45" s="9"/>
      <c r="J45" s="385" cm="1">
        <f t="array" ref="J45">SUM(SUMIFS(J$9:J$41,$A$9:$A$41,{"Na h-Eileanan Siar","Dundee City","East Ayrshire","North Ayrshire","North Lanarkshire","Inverclyde","West Dunbartonshire","Glasgow City"}))</f>
        <v>167537.56916000001</v>
      </c>
      <c r="K45" s="385" cm="1">
        <f t="array" ref="K45">SUM(SUMIFS(K$9:K$41,$A$9:$A$41,{"Na h-Eileanan Siar","Dundee City","East Ayrshire","North Ayrshire","North Lanarkshire","Inverclyde","West Dunbartonshire","Glasgow City"}))</f>
        <v>727023</v>
      </c>
      <c r="L45" s="406">
        <f t="shared" si="13"/>
        <v>0.23044328605835029</v>
      </c>
      <c r="M45" s="9"/>
      <c r="N45" s="385" cm="1">
        <f t="array" ref="N45">SUM(SUMIFS(N$9:N$41,$A$9:$A$41,{"Na h-Eileanan Siar","Dundee City","East Ayrshire","North Ayrshire","North Lanarkshire","Inverclyde","West Dunbartonshire","Glasgow City"}))</f>
        <v>186578.63406000001</v>
      </c>
      <c r="O45" s="385" cm="1">
        <f t="array" ref="O45">SUM(SUMIFS(O$9:O$41,$A$9:$A$41,{"Na h-Eileanan Siar","Dundee City","East Ayrshire","North Ayrshire","North Lanarkshire","Inverclyde","West Dunbartonshire","Glasgow City"}))</f>
        <v>730754</v>
      </c>
      <c r="P45" s="406">
        <f t="shared" si="14"/>
        <v>0.25532345229721631</v>
      </c>
    </row>
    <row r="46" spans="1:17" ht="13.5" customHeight="1">
      <c r="A46" s="97" t="s">
        <v>45</v>
      </c>
      <c r="B46" s="385">
        <f>SUM(C46*D46)</f>
        <v>464968.18368000007</v>
      </c>
      <c r="C46" s="391">
        <f>VLOOKUP($A46,$A$53:$G$85,3,FALSE)</f>
        <v>2446171</v>
      </c>
      <c r="D46" s="96">
        <v>0.19008000000000003</v>
      </c>
      <c r="F46" s="385">
        <f t="shared" si="5"/>
        <v>505722.83760000003</v>
      </c>
      <c r="G46" s="391">
        <f>VLOOKUP($A46,$A$53:$G$85,4,FALSE)</f>
        <v>2462736</v>
      </c>
      <c r="H46" s="96">
        <v>0.20535</v>
      </c>
      <c r="J46" s="385">
        <f t="shared" si="6"/>
        <v>511284.78725000005</v>
      </c>
      <c r="K46" s="391">
        <f>VLOOKUP($A46,$A$53:$G$85,5,FALSE)</f>
        <v>2477275</v>
      </c>
      <c r="L46" s="96">
        <v>0.20639000000000002</v>
      </c>
      <c r="N46" s="385">
        <f t="shared" si="7"/>
        <v>524080.82999999996</v>
      </c>
      <c r="O46" s="391">
        <f>VLOOKUP($A46,$A$53:$G$85,6,FALSE)</f>
        <v>2495623</v>
      </c>
      <c r="P46" s="96">
        <v>0.21</v>
      </c>
    </row>
    <row r="48" spans="1:17" ht="13.5" customHeight="1">
      <c r="B48" s="98"/>
    </row>
    <row r="49" spans="1:7" ht="18" customHeight="1">
      <c r="A49" s="90" t="s">
        <v>260</v>
      </c>
    </row>
    <row r="50" spans="1:7" ht="15" customHeight="1"/>
    <row r="51" spans="1:7" s="81" customFormat="1" ht="13.5" customHeight="1">
      <c r="A51" s="600" t="s">
        <v>259</v>
      </c>
      <c r="B51" s="600">
        <v>2015</v>
      </c>
      <c r="C51" s="600">
        <v>2016</v>
      </c>
      <c r="D51" s="600">
        <v>2017</v>
      </c>
      <c r="E51" s="600">
        <v>2018</v>
      </c>
      <c r="F51" s="600">
        <v>2019</v>
      </c>
      <c r="G51" s="600">
        <v>2020</v>
      </c>
    </row>
    <row r="52" spans="1:7" s="81" customFormat="1" ht="13.5" customHeight="1">
      <c r="A52" s="601"/>
      <c r="B52" s="601"/>
      <c r="C52" s="601"/>
      <c r="D52" s="601"/>
      <c r="E52" s="601"/>
      <c r="F52" s="601"/>
      <c r="G52" s="601"/>
    </row>
    <row r="53" spans="1:7" s="81" customFormat="1" ht="18" customHeight="1">
      <c r="A53" s="81" t="s">
        <v>45</v>
      </c>
      <c r="B53" s="89">
        <v>2429943</v>
      </c>
      <c r="C53" s="89">
        <v>2446171</v>
      </c>
      <c r="D53" s="89">
        <v>2462736</v>
      </c>
      <c r="E53" s="89">
        <v>2477275</v>
      </c>
      <c r="F53" s="82">
        <v>2495623</v>
      </c>
      <c r="G53" s="82">
        <v>2507625</v>
      </c>
    </row>
    <row r="54" spans="1:7" ht="18" customHeight="1">
      <c r="A54" s="81" t="s">
        <v>14</v>
      </c>
      <c r="B54" s="88">
        <v>105311</v>
      </c>
      <c r="C54" s="88">
        <v>106749</v>
      </c>
      <c r="D54" s="88">
        <v>106802</v>
      </c>
      <c r="E54" s="88">
        <v>107586</v>
      </c>
      <c r="F54" s="221">
        <v>108381</v>
      </c>
      <c r="G54" s="221">
        <v>108893</v>
      </c>
    </row>
    <row r="55" spans="1:7" ht="13.5" customHeight="1">
      <c r="A55" s="81" t="s">
        <v>15</v>
      </c>
      <c r="B55" s="88">
        <v>109631</v>
      </c>
      <c r="C55" s="88">
        <v>110296</v>
      </c>
      <c r="D55" s="88">
        <v>110941</v>
      </c>
      <c r="E55" s="88">
        <v>111156</v>
      </c>
      <c r="F55" s="221">
        <v>112114</v>
      </c>
      <c r="G55" s="221">
        <v>112713</v>
      </c>
    </row>
    <row r="56" spans="1:7" ht="13.5" customHeight="1">
      <c r="A56" s="81" t="s">
        <v>16</v>
      </c>
      <c r="B56" s="88">
        <v>53142</v>
      </c>
      <c r="C56" s="88">
        <v>53333</v>
      </c>
      <c r="D56" s="88">
        <v>53627</v>
      </c>
      <c r="E56" s="88">
        <v>53888</v>
      </c>
      <c r="F56" s="221">
        <v>54221</v>
      </c>
      <c r="G56" s="221">
        <v>54480</v>
      </c>
    </row>
    <row r="57" spans="1:7" ht="13.5" customHeight="1">
      <c r="A57" s="81" t="s">
        <v>17</v>
      </c>
      <c r="B57" s="88">
        <v>40938</v>
      </c>
      <c r="C57" s="88">
        <v>41040</v>
      </c>
      <c r="D57" s="88">
        <v>41455</v>
      </c>
      <c r="E57" s="88">
        <v>41630</v>
      </c>
      <c r="F57" s="221">
        <v>41789</v>
      </c>
      <c r="G57" s="221">
        <v>41839</v>
      </c>
    </row>
    <row r="58" spans="1:7" ht="13.5" customHeight="1">
      <c r="A58" s="95" t="s">
        <v>189</v>
      </c>
      <c r="B58" s="88">
        <v>229650</v>
      </c>
      <c r="C58" s="88">
        <v>231383</v>
      </c>
      <c r="D58" s="88">
        <v>233369</v>
      </c>
      <c r="E58" s="88">
        <v>235771</v>
      </c>
      <c r="F58" s="221">
        <v>238269</v>
      </c>
      <c r="G58" s="221">
        <v>239364</v>
      </c>
    </row>
    <row r="59" spans="1:7" ht="18" customHeight="1">
      <c r="A59" s="81" t="s">
        <v>18</v>
      </c>
      <c r="B59" s="88">
        <v>23333</v>
      </c>
      <c r="C59" s="88">
        <v>23401</v>
      </c>
      <c r="D59" s="88">
        <v>23563</v>
      </c>
      <c r="E59" s="88">
        <v>23674</v>
      </c>
      <c r="F59" s="221">
        <v>23890</v>
      </c>
      <c r="G59" s="221">
        <v>24066</v>
      </c>
    </row>
    <row r="60" spans="1:7" ht="13.5" customHeight="1">
      <c r="A60" s="81" t="s">
        <v>19</v>
      </c>
      <c r="B60" s="88">
        <v>68999</v>
      </c>
      <c r="C60" s="88">
        <v>69202</v>
      </c>
      <c r="D60" s="88">
        <v>69503</v>
      </c>
      <c r="E60" s="88">
        <v>69586</v>
      </c>
      <c r="F60" s="221">
        <v>69699</v>
      </c>
      <c r="G60" s="221">
        <v>69957</v>
      </c>
    </row>
    <row r="61" spans="1:7" ht="13.5" customHeight="1">
      <c r="A61" s="81" t="s">
        <v>20</v>
      </c>
      <c r="B61" s="88">
        <v>69534</v>
      </c>
      <c r="C61" s="88">
        <v>69635</v>
      </c>
      <c r="D61" s="88">
        <v>70049</v>
      </c>
      <c r="E61" s="88">
        <v>70337</v>
      </c>
      <c r="F61" s="221">
        <v>70685</v>
      </c>
      <c r="G61" s="221">
        <v>70689</v>
      </c>
    </row>
    <row r="62" spans="1:7" ht="13.5" customHeight="1">
      <c r="A62" s="81" t="s">
        <v>21</v>
      </c>
      <c r="B62" s="88">
        <v>54570</v>
      </c>
      <c r="C62" s="88">
        <v>54748</v>
      </c>
      <c r="D62" s="88">
        <v>54873</v>
      </c>
      <c r="E62" s="88">
        <v>55107</v>
      </c>
      <c r="F62" s="221">
        <v>55387</v>
      </c>
      <c r="G62" s="221">
        <v>55564</v>
      </c>
    </row>
    <row r="63" spans="1:7" ht="13.5" customHeight="1">
      <c r="A63" s="81" t="s">
        <v>22</v>
      </c>
      <c r="B63" s="88">
        <v>45008</v>
      </c>
      <c r="C63" s="88">
        <v>45350</v>
      </c>
      <c r="D63" s="88">
        <v>45690</v>
      </c>
      <c r="E63" s="88">
        <v>46023</v>
      </c>
      <c r="F63" s="221">
        <v>46228</v>
      </c>
      <c r="G63" s="221">
        <v>46563</v>
      </c>
    </row>
    <row r="64" spans="1:7" ht="18" customHeight="1">
      <c r="A64" s="81" t="s">
        <v>23</v>
      </c>
      <c r="B64" s="88">
        <v>44384</v>
      </c>
      <c r="C64" s="88">
        <v>44749</v>
      </c>
      <c r="D64" s="88">
        <v>45301</v>
      </c>
      <c r="E64" s="88">
        <v>45975</v>
      </c>
      <c r="F64" s="221">
        <v>46771</v>
      </c>
      <c r="G64" s="221">
        <v>47482</v>
      </c>
    </row>
    <row r="65" spans="1:7" ht="13.5" customHeight="1">
      <c r="A65" s="81" t="s">
        <v>24</v>
      </c>
      <c r="B65" s="88">
        <v>38270</v>
      </c>
      <c r="C65" s="88">
        <v>38581</v>
      </c>
      <c r="D65" s="88">
        <v>38899</v>
      </c>
      <c r="E65" s="88">
        <v>39108</v>
      </c>
      <c r="F65" s="221">
        <v>39345</v>
      </c>
      <c r="G65" s="221">
        <v>39586</v>
      </c>
    </row>
    <row r="66" spans="1:7" ht="13.5" customHeight="1">
      <c r="A66" s="81" t="s">
        <v>25</v>
      </c>
      <c r="B66" s="88">
        <v>70431</v>
      </c>
      <c r="C66" s="88">
        <v>71072</v>
      </c>
      <c r="D66" s="88">
        <v>71800</v>
      </c>
      <c r="E66" s="88">
        <v>72267</v>
      </c>
      <c r="F66" s="221">
        <v>72672</v>
      </c>
      <c r="G66" s="221">
        <v>72994</v>
      </c>
    </row>
    <row r="67" spans="1:7" ht="13.5" customHeight="1">
      <c r="A67" s="81" t="s">
        <v>26</v>
      </c>
      <c r="B67" s="88">
        <v>164705</v>
      </c>
      <c r="C67" s="88">
        <v>165833</v>
      </c>
      <c r="D67" s="88">
        <v>166960</v>
      </c>
      <c r="E67" s="88">
        <v>167944</v>
      </c>
      <c r="F67" s="221">
        <v>169239</v>
      </c>
      <c r="G67" s="221">
        <v>169886</v>
      </c>
    </row>
    <row r="68" spans="1:7" ht="13.5" customHeight="1">
      <c r="A68" s="81" t="s">
        <v>27</v>
      </c>
      <c r="B68" s="88">
        <v>287862</v>
      </c>
      <c r="C68" s="88">
        <v>289399</v>
      </c>
      <c r="D68" s="88">
        <v>291115</v>
      </c>
      <c r="E68" s="88">
        <v>292619</v>
      </c>
      <c r="F68" s="221">
        <v>294622</v>
      </c>
      <c r="G68" s="221">
        <v>295761</v>
      </c>
    </row>
    <row r="69" spans="1:7" ht="18" customHeight="1">
      <c r="A69" s="81" t="s">
        <v>28</v>
      </c>
      <c r="B69" s="88">
        <v>106834</v>
      </c>
      <c r="C69" s="88">
        <v>107573</v>
      </c>
      <c r="D69" s="88">
        <v>108319</v>
      </c>
      <c r="E69" s="88">
        <v>108878</v>
      </c>
      <c r="F69" s="221">
        <v>109514</v>
      </c>
      <c r="G69" s="221">
        <v>110084</v>
      </c>
    </row>
    <row r="70" spans="1:7" ht="13.5" customHeight="1">
      <c r="A70" s="81" t="s">
        <v>29</v>
      </c>
      <c r="B70" s="88">
        <v>37426</v>
      </c>
      <c r="C70" s="88">
        <v>37586</v>
      </c>
      <c r="D70" s="88">
        <v>37651</v>
      </c>
      <c r="E70" s="88">
        <v>37640</v>
      </c>
      <c r="F70" s="221">
        <v>37614</v>
      </c>
      <c r="G70" s="221">
        <v>37646</v>
      </c>
    </row>
    <row r="71" spans="1:7" ht="13.5" customHeight="1">
      <c r="A71" s="81" t="s">
        <v>30</v>
      </c>
      <c r="B71" s="88">
        <v>37069</v>
      </c>
      <c r="C71" s="88">
        <v>37766</v>
      </c>
      <c r="D71" s="88">
        <v>38557</v>
      </c>
      <c r="E71" s="88">
        <v>39122</v>
      </c>
      <c r="F71" s="221">
        <v>39733</v>
      </c>
      <c r="G71" s="221">
        <v>40137</v>
      </c>
    </row>
    <row r="72" spans="1:7" ht="13.5" customHeight="1">
      <c r="A72" s="81" t="s">
        <v>31</v>
      </c>
      <c r="B72" s="88">
        <v>41641</v>
      </c>
      <c r="C72" s="88">
        <v>41961</v>
      </c>
      <c r="D72" s="88">
        <v>42269</v>
      </c>
      <c r="E72" s="88">
        <v>42554</v>
      </c>
      <c r="F72" s="221">
        <v>42932</v>
      </c>
      <c r="G72" s="221">
        <v>43175</v>
      </c>
    </row>
    <row r="73" spans="1:7" ht="13.5" customHeight="1">
      <c r="A73" s="81" t="s">
        <v>32</v>
      </c>
      <c r="B73" s="88">
        <v>12968</v>
      </c>
      <c r="C73" s="88">
        <v>12951</v>
      </c>
      <c r="D73" s="88">
        <v>12805</v>
      </c>
      <c r="E73" s="88">
        <v>12773</v>
      </c>
      <c r="F73" s="221">
        <v>12833</v>
      </c>
      <c r="G73" s="221">
        <v>12849</v>
      </c>
    </row>
    <row r="74" spans="1:7" ht="18" customHeight="1">
      <c r="A74" s="81" t="s">
        <v>33</v>
      </c>
      <c r="B74" s="88">
        <v>63189</v>
      </c>
      <c r="C74" s="88">
        <v>63440</v>
      </c>
      <c r="D74" s="88">
        <v>63756</v>
      </c>
      <c r="E74" s="88">
        <v>63935</v>
      </c>
      <c r="F74" s="221">
        <v>64140</v>
      </c>
      <c r="G74" s="221">
        <v>64415</v>
      </c>
    </row>
    <row r="75" spans="1:7" ht="13.5" customHeight="1">
      <c r="A75" s="81" t="s">
        <v>34</v>
      </c>
      <c r="B75" s="88">
        <v>149282</v>
      </c>
      <c r="C75" s="88">
        <v>150364</v>
      </c>
      <c r="D75" s="88">
        <v>151155</v>
      </c>
      <c r="E75" s="88">
        <v>151744</v>
      </c>
      <c r="F75" s="221">
        <v>152443</v>
      </c>
      <c r="G75" s="221">
        <v>152910</v>
      </c>
    </row>
    <row r="76" spans="1:7" ht="13.5" customHeight="1">
      <c r="A76" s="81" t="s">
        <v>35</v>
      </c>
      <c r="B76" s="88">
        <v>10146</v>
      </c>
      <c r="C76" s="88">
        <v>10256</v>
      </c>
      <c r="D76" s="88">
        <v>10385</v>
      </c>
      <c r="E76" s="88">
        <v>10506</v>
      </c>
      <c r="F76" s="221">
        <v>10589</v>
      </c>
      <c r="G76" s="221">
        <v>10635</v>
      </c>
    </row>
    <row r="77" spans="1:7" ht="13.5" customHeight="1">
      <c r="A77" s="81" t="s">
        <v>36</v>
      </c>
      <c r="B77" s="88">
        <v>66545</v>
      </c>
      <c r="C77" s="88">
        <v>67101</v>
      </c>
      <c r="D77" s="88">
        <v>67618</v>
      </c>
      <c r="E77" s="88">
        <v>68196</v>
      </c>
      <c r="F77" s="221">
        <v>69003</v>
      </c>
      <c r="G77" s="221">
        <v>69432</v>
      </c>
    </row>
    <row r="78" spans="1:7" ht="13.5" customHeight="1">
      <c r="A78" s="81" t="s">
        <v>37</v>
      </c>
      <c r="B78" s="88">
        <v>83245</v>
      </c>
      <c r="C78" s="88">
        <v>84025</v>
      </c>
      <c r="D78" s="88">
        <v>84938</v>
      </c>
      <c r="E78" s="88">
        <v>85745</v>
      </c>
      <c r="F78" s="221">
        <v>86683</v>
      </c>
      <c r="G78" s="221">
        <v>87241</v>
      </c>
    </row>
    <row r="79" spans="1:7" ht="18" customHeight="1">
      <c r="A79" s="81" t="s">
        <v>38</v>
      </c>
      <c r="B79" s="88">
        <v>53351</v>
      </c>
      <c r="C79" s="88">
        <v>53787</v>
      </c>
      <c r="D79" s="88">
        <v>54306</v>
      </c>
      <c r="E79" s="88">
        <v>54413</v>
      </c>
      <c r="F79" s="221">
        <v>54715</v>
      </c>
      <c r="G79" s="221">
        <v>54796</v>
      </c>
    </row>
    <row r="80" spans="1:7" ht="13.5" customHeight="1">
      <c r="A80" s="81" t="s">
        <v>39</v>
      </c>
      <c r="B80" s="88">
        <v>10235</v>
      </c>
      <c r="C80" s="88">
        <v>10283</v>
      </c>
      <c r="D80" s="88">
        <v>10341</v>
      </c>
      <c r="E80" s="88">
        <v>10384</v>
      </c>
      <c r="F80" s="221">
        <v>10439</v>
      </c>
      <c r="G80" s="221">
        <v>10461</v>
      </c>
    </row>
    <row r="81" spans="1:7" ht="13.5" customHeight="1">
      <c r="A81" s="81" t="s">
        <v>40</v>
      </c>
      <c r="B81" s="88">
        <v>51912</v>
      </c>
      <c r="C81" s="88">
        <v>51923</v>
      </c>
      <c r="D81" s="88">
        <v>52104</v>
      </c>
      <c r="E81" s="88">
        <v>52281</v>
      </c>
      <c r="F81" s="221">
        <v>52588</v>
      </c>
      <c r="G81" s="221">
        <v>52571</v>
      </c>
    </row>
    <row r="82" spans="1:7" ht="13.5" customHeight="1">
      <c r="A82" s="81" t="s">
        <v>41</v>
      </c>
      <c r="B82" s="88">
        <v>143313</v>
      </c>
      <c r="C82" s="88">
        <v>144148</v>
      </c>
      <c r="D82" s="88">
        <v>145182</v>
      </c>
      <c r="E82" s="88">
        <v>146173</v>
      </c>
      <c r="F82" s="221">
        <v>147434</v>
      </c>
      <c r="G82" s="221">
        <v>148483</v>
      </c>
    </row>
    <row r="83" spans="1:7" ht="13.5" customHeight="1">
      <c r="A83" s="81" t="s">
        <v>42</v>
      </c>
      <c r="B83" s="88">
        <v>38665</v>
      </c>
      <c r="C83" s="88">
        <v>38951</v>
      </c>
      <c r="D83" s="88">
        <v>39285</v>
      </c>
      <c r="E83" s="88">
        <v>39440</v>
      </c>
      <c r="F83" s="221">
        <v>39654</v>
      </c>
      <c r="G83" s="221">
        <v>39896</v>
      </c>
    </row>
    <row r="84" spans="1:7" ht="18" customHeight="1">
      <c r="A84" s="81" t="s">
        <v>43</v>
      </c>
      <c r="B84" s="88">
        <v>42571</v>
      </c>
      <c r="C84" s="88">
        <v>42657</v>
      </c>
      <c r="D84" s="88">
        <v>42746</v>
      </c>
      <c r="E84" s="88">
        <v>42868</v>
      </c>
      <c r="F84" s="221">
        <v>43030</v>
      </c>
      <c r="G84" s="221">
        <v>43164</v>
      </c>
    </row>
    <row r="85" spans="1:7" ht="13.5" customHeight="1">
      <c r="A85" s="87" t="s">
        <v>44</v>
      </c>
      <c r="B85" s="86">
        <v>75782</v>
      </c>
      <c r="C85" s="86">
        <v>76630</v>
      </c>
      <c r="D85" s="86">
        <v>77369</v>
      </c>
      <c r="E85" s="86">
        <v>77953</v>
      </c>
      <c r="F85" s="221">
        <v>78966</v>
      </c>
      <c r="G85" s="221">
        <v>79892</v>
      </c>
    </row>
    <row r="86" spans="1:7" ht="13">
      <c r="F86" s="82"/>
      <c r="G86" s="82"/>
    </row>
    <row r="87" spans="1:7" ht="13">
      <c r="A87" s="84" t="s">
        <v>258</v>
      </c>
      <c r="B87" s="83"/>
      <c r="F87" s="82"/>
      <c r="G87" s="82"/>
    </row>
    <row r="88" spans="1:7" ht="12.75" customHeight="1">
      <c r="A88" s="599" t="s">
        <v>257</v>
      </c>
      <c r="B88" s="599"/>
      <c r="G88" s="82"/>
    </row>
    <row r="89" spans="1:7" ht="13">
      <c r="A89" s="599"/>
      <c r="B89" s="599"/>
      <c r="G89" s="82"/>
    </row>
    <row r="90" spans="1:7" ht="13">
      <c r="A90" s="599"/>
      <c r="B90" s="599"/>
      <c r="G90" s="82"/>
    </row>
    <row r="91" spans="1:7" ht="13">
      <c r="A91" s="602" t="s">
        <v>256</v>
      </c>
      <c r="B91" s="602"/>
      <c r="G91" s="82"/>
    </row>
    <row r="92" spans="1:7" ht="13">
      <c r="A92" s="599" t="s">
        <v>255</v>
      </c>
      <c r="B92" s="599"/>
      <c r="G92" s="82"/>
    </row>
    <row r="93" spans="1:7" ht="13">
      <c r="A93" s="599"/>
      <c r="B93" s="599"/>
      <c r="G93" s="82"/>
    </row>
    <row r="94" spans="1:7" ht="13">
      <c r="A94" s="599" t="s">
        <v>552</v>
      </c>
      <c r="B94" s="599"/>
      <c r="G94" s="82"/>
    </row>
    <row r="95" spans="1:7" ht="13">
      <c r="A95" s="599"/>
      <c r="B95" s="599"/>
      <c r="G95" s="82"/>
    </row>
    <row r="96" spans="1:7" ht="13">
      <c r="A96" s="85"/>
      <c r="B96" s="85"/>
      <c r="G96" s="82"/>
    </row>
    <row r="97" spans="1:7" ht="13">
      <c r="A97" s="83" t="s">
        <v>254</v>
      </c>
      <c r="B97" s="83"/>
      <c r="G97" s="82"/>
    </row>
    <row r="98" spans="1:7" ht="13">
      <c r="A98" s="84"/>
      <c r="B98" s="83"/>
      <c r="G98" s="82"/>
    </row>
    <row r="99" spans="1:7" ht="13">
      <c r="A99" s="83" t="s">
        <v>253</v>
      </c>
      <c r="B99" s="83"/>
      <c r="G99" s="82"/>
    </row>
    <row r="100" spans="1:7" ht="13">
      <c r="A100" s="84"/>
      <c r="B100" s="83"/>
      <c r="G100" s="82"/>
    </row>
    <row r="101" spans="1:7" ht="13">
      <c r="A101" s="83" t="s">
        <v>252</v>
      </c>
      <c r="B101" s="83"/>
      <c r="G101" s="82"/>
    </row>
    <row r="102" spans="1:7" ht="13.5" customHeight="1">
      <c r="G102" s="82"/>
    </row>
    <row r="103" spans="1:7" ht="13.5" customHeight="1">
      <c r="G103" s="82"/>
    </row>
    <row r="104" spans="1:7" ht="13.5" customHeight="1">
      <c r="G104" s="82"/>
    </row>
    <row r="105" spans="1:7" ht="13.5" customHeight="1">
      <c r="G105" s="82"/>
    </row>
    <row r="106" spans="1:7" ht="13.5" customHeight="1">
      <c r="G106" s="82"/>
    </row>
    <row r="107" spans="1:7" ht="13.5" customHeight="1">
      <c r="G107" s="82"/>
    </row>
    <row r="108" spans="1:7" ht="13.5" customHeight="1">
      <c r="G108" s="82"/>
    </row>
    <row r="109" spans="1:7" ht="13.5" customHeight="1">
      <c r="G109" s="82"/>
    </row>
    <row r="110" spans="1:7" ht="13.5" customHeight="1">
      <c r="G110" s="82"/>
    </row>
    <row r="111" spans="1:7" ht="13.5" customHeight="1">
      <c r="G111" s="82"/>
    </row>
    <row r="112" spans="1:7" ht="13.5" customHeight="1">
      <c r="G112" s="82"/>
    </row>
    <row r="113" spans="7:7" ht="13.5" customHeight="1">
      <c r="G113" s="82"/>
    </row>
    <row r="114" spans="7:7" ht="13.5" customHeight="1">
      <c r="G114" s="82"/>
    </row>
    <row r="115" spans="7:7" ht="13.5" customHeight="1">
      <c r="G115" s="82"/>
    </row>
    <row r="116" spans="7:7" ht="13.5" customHeight="1">
      <c r="G116" s="82"/>
    </row>
    <row r="117" spans="7:7" ht="13.5" customHeight="1">
      <c r="G117" s="82"/>
    </row>
    <row r="118" spans="7:7" ht="13.5" customHeight="1">
      <c r="G118" s="82"/>
    </row>
    <row r="119" spans="7:7" ht="13.5" customHeight="1">
      <c r="G119" s="82"/>
    </row>
    <row r="120" spans="7:7" ht="13.5" customHeight="1">
      <c r="G120" s="82"/>
    </row>
    <row r="121" spans="7:7" ht="13.5" customHeight="1">
      <c r="G121" s="82"/>
    </row>
    <row r="122" spans="7:7" ht="13.5" customHeight="1">
      <c r="G122" s="82"/>
    </row>
    <row r="123" spans="7:7" ht="13.5" customHeight="1">
      <c r="G123" s="82"/>
    </row>
    <row r="124" spans="7:7" ht="13.5" customHeight="1">
      <c r="G124" s="82"/>
    </row>
    <row r="125" spans="7:7" ht="13.5" customHeight="1">
      <c r="G125" s="82"/>
    </row>
    <row r="126" spans="7:7" ht="13.5" customHeight="1">
      <c r="G126" s="82"/>
    </row>
    <row r="127" spans="7:7" ht="13.5" customHeight="1">
      <c r="G127" s="82"/>
    </row>
    <row r="128" spans="7:7" ht="13.5" customHeight="1">
      <c r="G128" s="82"/>
    </row>
    <row r="129" spans="7:7" ht="13.5" customHeight="1">
      <c r="G129" s="82"/>
    </row>
    <row r="130" spans="7:7" ht="13.5" customHeight="1">
      <c r="G130" s="82"/>
    </row>
    <row r="131" spans="7:7" ht="13.5" customHeight="1">
      <c r="G131" s="82"/>
    </row>
    <row r="132" spans="7:7" ht="13.5" customHeight="1">
      <c r="G132" s="82"/>
    </row>
    <row r="133" spans="7:7" ht="13.5" customHeight="1">
      <c r="G133" s="82"/>
    </row>
    <row r="134" spans="7:7" ht="13.5" customHeight="1">
      <c r="G134" s="82"/>
    </row>
    <row r="135" spans="7:7" ht="13.5" customHeight="1">
      <c r="G135" s="82"/>
    </row>
    <row r="136" spans="7:7" ht="13.5" customHeight="1">
      <c r="G136" s="82"/>
    </row>
    <row r="137" spans="7:7" ht="13.5" customHeight="1">
      <c r="G137" s="82"/>
    </row>
    <row r="138" spans="7:7" ht="13.5" customHeight="1">
      <c r="G138" s="82"/>
    </row>
    <row r="139" spans="7:7" ht="13.5" customHeight="1">
      <c r="G139" s="82"/>
    </row>
    <row r="140" spans="7:7" ht="13.5" customHeight="1">
      <c r="G140" s="82"/>
    </row>
    <row r="141" spans="7:7" ht="13.5" customHeight="1">
      <c r="G141" s="82"/>
    </row>
    <row r="142" spans="7:7" ht="13.5" customHeight="1">
      <c r="G142" s="82"/>
    </row>
    <row r="143" spans="7:7" ht="13.5" customHeight="1">
      <c r="G143" s="82"/>
    </row>
    <row r="144" spans="7:7" ht="13.5" customHeight="1">
      <c r="G144" s="82"/>
    </row>
    <row r="145" spans="7:7" ht="13.5" customHeight="1">
      <c r="G145" s="82"/>
    </row>
    <row r="146" spans="7:7" ht="13.5" customHeight="1">
      <c r="G146" s="82"/>
    </row>
    <row r="147" spans="7:7" ht="13.5" customHeight="1">
      <c r="G147" s="82"/>
    </row>
    <row r="148" spans="7:7" ht="13.5" customHeight="1">
      <c r="G148" s="82"/>
    </row>
    <row r="149" spans="7:7" ht="13.5" customHeight="1">
      <c r="G149" s="82"/>
    </row>
    <row r="150" spans="7:7" ht="13.5" customHeight="1">
      <c r="G150" s="82"/>
    </row>
  </sheetData>
  <mergeCells count="11">
    <mergeCell ref="F51:F52"/>
    <mergeCell ref="G51:G52"/>
    <mergeCell ref="E51:E52"/>
    <mergeCell ref="A88:B90"/>
    <mergeCell ref="A91:B91"/>
    <mergeCell ref="D51:D52"/>
    <mergeCell ref="A92:B93"/>
    <mergeCell ref="A94:B95"/>
    <mergeCell ref="A51:A52"/>
    <mergeCell ref="B51:B52"/>
    <mergeCell ref="C51:C52"/>
  </mergeCells>
  <hyperlinks>
    <hyperlink ref="A1" location="Contents!A1" display="Contents" xr:uid="{00000000-0004-0000-5200-000000000000}"/>
  </hyperlinks>
  <pageMargins left="0.75" right="0.75" top="1" bottom="1" header="0.5" footer="0.5"/>
  <pageSetup scale="34"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01"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5" tint="0.79998168889431442"/>
    <pageSetUpPr autoPageBreaks="0" fitToPage="1"/>
  </sheetPr>
  <dimension ref="A1:P150"/>
  <sheetViews>
    <sheetView showGridLines="0" zoomScaleNormal="100" workbookViewId="0"/>
  </sheetViews>
  <sheetFormatPr defaultColWidth="9.1796875" defaultRowHeight="13.5" customHeight="1"/>
  <cols>
    <col min="1" max="1" width="22.81640625" style="81" customWidth="1"/>
    <col min="2" max="17" width="10.81640625" style="80" customWidth="1"/>
    <col min="18" max="16384" width="9.1796875" style="80"/>
  </cols>
  <sheetData>
    <row r="1" spans="1:16" ht="13.5" customHeight="1">
      <c r="A1" s="7" t="s">
        <v>261</v>
      </c>
      <c r="B1" s="91" t="s">
        <v>268</v>
      </c>
    </row>
    <row r="2" spans="1:16" ht="13.5" customHeight="1">
      <c r="A2"/>
      <c r="B2" s="91"/>
    </row>
    <row r="3" spans="1:16" ht="13.5" customHeight="1">
      <c r="A3" s="92"/>
      <c r="B3"/>
    </row>
    <row r="4" spans="1:16" ht="13.5" customHeight="1">
      <c r="A4" s="92"/>
      <c r="B4"/>
    </row>
    <row r="5" spans="1:16" ht="13.5" customHeight="1">
      <c r="A5" s="92"/>
      <c r="B5"/>
    </row>
    <row r="6" spans="1:16" ht="13.5" customHeight="1">
      <c r="A6" s="92"/>
      <c r="B6"/>
    </row>
    <row r="7" spans="1:16" ht="13.5" customHeight="1">
      <c r="A7" s="92"/>
      <c r="B7"/>
      <c r="D7" s="222" t="s">
        <v>265</v>
      </c>
      <c r="H7" s="222" t="s">
        <v>266</v>
      </c>
      <c r="L7" s="222" t="s">
        <v>267</v>
      </c>
    </row>
    <row r="8" spans="1:16" ht="13.5" customHeight="1">
      <c r="A8" s="93" t="s">
        <v>228</v>
      </c>
      <c r="D8" s="94" t="s">
        <v>264</v>
      </c>
      <c r="H8" s="94" t="s">
        <v>264</v>
      </c>
      <c r="L8" s="94" t="s">
        <v>264</v>
      </c>
      <c r="P8" s="94" t="s">
        <v>264</v>
      </c>
    </row>
    <row r="9" spans="1:16" ht="13.5" customHeight="1">
      <c r="A9" s="95" t="s">
        <v>14</v>
      </c>
      <c r="B9" s="385">
        <f>SUM(C9*D9)</f>
        <v>45719.529210000008</v>
      </c>
      <c r="C9" s="391">
        <f>VLOOKUP($A9,$A$53:$G$85,3,FALSE)</f>
        <v>106749</v>
      </c>
      <c r="D9" s="96">
        <v>0.42829000000000006</v>
      </c>
      <c r="F9" s="385">
        <f>SUM(G9*H9)</f>
        <v>45953.696540000004</v>
      </c>
      <c r="G9" s="391">
        <f>VLOOKUP($A9,$A$53:$G$85,4,FALSE)</f>
        <v>106802</v>
      </c>
      <c r="H9" s="96">
        <v>0.43027000000000004</v>
      </c>
      <c r="J9" s="385">
        <f>SUM(K9*L9)</f>
        <v>47002.171680000007</v>
      </c>
      <c r="K9" s="391">
        <f>VLOOKUP($A9,$A$53:$G$85,5,FALSE)</f>
        <v>107586</v>
      </c>
      <c r="L9" s="96">
        <v>0.43688000000000005</v>
      </c>
      <c r="N9" s="385">
        <f>SUM(O9*P9)</f>
        <v>48052.883970000003</v>
      </c>
      <c r="O9" s="391">
        <f>VLOOKUP($A9,$A$53:$G$85,6,FALSE)</f>
        <v>108381</v>
      </c>
      <c r="P9" s="96">
        <v>0.44337000000000004</v>
      </c>
    </row>
    <row r="10" spans="1:16" ht="13.5" customHeight="1">
      <c r="A10" s="95" t="s">
        <v>15</v>
      </c>
      <c r="B10" s="385">
        <f t="shared" ref="B10:B46" si="0">SUM(C10*D10)</f>
        <v>54053.863680000002</v>
      </c>
      <c r="C10" s="391">
        <f t="shared" ref="C10:C40" si="1">VLOOKUP($A10,$A$53:$G$85,3,FALSE)</f>
        <v>110296</v>
      </c>
      <c r="D10" s="96">
        <v>0.49008000000000002</v>
      </c>
      <c r="F10" s="385">
        <f t="shared" ref="F10:F46" si="2">SUM(G10*H10)</f>
        <v>52343.07321000001</v>
      </c>
      <c r="G10" s="391">
        <f t="shared" ref="G10:G40" si="3">VLOOKUP($A10,$A$53:$G$85,4,FALSE)</f>
        <v>110941</v>
      </c>
      <c r="H10" s="96">
        <v>0.47181000000000006</v>
      </c>
      <c r="J10" s="385">
        <f t="shared" ref="J10:J46" si="4">SUM(K10*L10)</f>
        <v>47731.497960000001</v>
      </c>
      <c r="K10" s="391">
        <f t="shared" ref="K10:K40" si="5">VLOOKUP($A10,$A$53:$G$85,5,FALSE)</f>
        <v>111156</v>
      </c>
      <c r="L10" s="96">
        <v>0.42941000000000001</v>
      </c>
      <c r="N10" s="385">
        <f t="shared" ref="N10:N46" si="6">SUM(O10*P10)</f>
        <v>48460.155360000004</v>
      </c>
      <c r="O10" s="391">
        <f t="shared" ref="O10:O40" si="7">VLOOKUP($A10,$A$53:$G$85,6,FALSE)</f>
        <v>112114</v>
      </c>
      <c r="P10" s="96">
        <v>0.43224000000000001</v>
      </c>
    </row>
    <row r="11" spans="1:16" ht="13.5" customHeight="1">
      <c r="A11" s="95" t="s">
        <v>16</v>
      </c>
      <c r="B11" s="385">
        <f t="shared" si="0"/>
        <v>25035.043530000003</v>
      </c>
      <c r="C11" s="391">
        <f t="shared" si="1"/>
        <v>53333</v>
      </c>
      <c r="D11" s="96">
        <v>0.46941000000000005</v>
      </c>
      <c r="F11" s="385">
        <f t="shared" si="2"/>
        <v>21000.333200000005</v>
      </c>
      <c r="G11" s="391">
        <f t="shared" si="3"/>
        <v>53627</v>
      </c>
      <c r="H11" s="96">
        <v>0.39160000000000006</v>
      </c>
      <c r="J11" s="385">
        <f t="shared" si="4"/>
        <v>21302.465280000004</v>
      </c>
      <c r="K11" s="391">
        <f t="shared" si="5"/>
        <v>53888</v>
      </c>
      <c r="L11" s="96">
        <v>0.39531000000000005</v>
      </c>
      <c r="N11" s="385">
        <f t="shared" si="6"/>
        <v>22041.378710000001</v>
      </c>
      <c r="O11" s="391">
        <f t="shared" si="7"/>
        <v>54221</v>
      </c>
      <c r="P11" s="96">
        <v>0.40651000000000004</v>
      </c>
    </row>
    <row r="12" spans="1:16" ht="13.5" customHeight="1">
      <c r="A12" s="95" t="s">
        <v>17</v>
      </c>
      <c r="B12" s="385">
        <f t="shared" si="0"/>
        <v>23886.511200000001</v>
      </c>
      <c r="C12" s="391">
        <f t="shared" si="1"/>
        <v>41040</v>
      </c>
      <c r="D12" s="96">
        <v>0.58203000000000005</v>
      </c>
      <c r="F12" s="385">
        <f t="shared" si="2"/>
        <v>22200.396150000004</v>
      </c>
      <c r="G12" s="391">
        <f t="shared" si="3"/>
        <v>41455</v>
      </c>
      <c r="H12" s="96">
        <v>0.53553000000000006</v>
      </c>
      <c r="J12" s="385">
        <f t="shared" si="4"/>
        <v>21105.577399999998</v>
      </c>
      <c r="K12" s="391">
        <f t="shared" si="5"/>
        <v>41630</v>
      </c>
      <c r="L12" s="96">
        <v>0.50697999999999999</v>
      </c>
      <c r="N12" s="385">
        <f t="shared" si="6"/>
        <v>21594.88364</v>
      </c>
      <c r="O12" s="391">
        <f t="shared" si="7"/>
        <v>41789</v>
      </c>
      <c r="P12" s="96">
        <v>0.51676</v>
      </c>
    </row>
    <row r="13" spans="1:16" ht="13.5" customHeight="1">
      <c r="A13" s="95" t="s">
        <v>18</v>
      </c>
      <c r="B13" s="385">
        <f t="shared" si="0"/>
        <v>8220.7713000000003</v>
      </c>
      <c r="C13" s="391">
        <f t="shared" si="1"/>
        <v>23401</v>
      </c>
      <c r="D13" s="96">
        <v>0.3513</v>
      </c>
      <c r="F13" s="385">
        <f t="shared" si="2"/>
        <v>7563.4873700000016</v>
      </c>
      <c r="G13" s="391">
        <f t="shared" si="3"/>
        <v>23563</v>
      </c>
      <c r="H13" s="96">
        <v>0.32099000000000005</v>
      </c>
      <c r="J13" s="385">
        <f t="shared" si="4"/>
        <v>6194.7755800000004</v>
      </c>
      <c r="K13" s="391">
        <f t="shared" si="5"/>
        <v>23674</v>
      </c>
      <c r="L13" s="96">
        <v>0.26167000000000001</v>
      </c>
      <c r="N13" s="385">
        <f t="shared" si="6"/>
        <v>5824.6209000000008</v>
      </c>
      <c r="O13" s="391">
        <f t="shared" si="7"/>
        <v>23890</v>
      </c>
      <c r="P13" s="96">
        <v>0.24381000000000003</v>
      </c>
    </row>
    <row r="14" spans="1:16" ht="13.5" customHeight="1">
      <c r="A14" s="95" t="s">
        <v>19</v>
      </c>
      <c r="B14" s="385">
        <f t="shared" si="0"/>
        <v>34153.263060000005</v>
      </c>
      <c r="C14" s="391">
        <f t="shared" si="1"/>
        <v>69202</v>
      </c>
      <c r="D14" s="96">
        <v>0.49353000000000002</v>
      </c>
      <c r="F14" s="385">
        <f t="shared" si="2"/>
        <v>31974.855149999999</v>
      </c>
      <c r="G14" s="391">
        <f t="shared" si="3"/>
        <v>69503</v>
      </c>
      <c r="H14" s="96">
        <v>0.46005000000000001</v>
      </c>
      <c r="J14" s="385">
        <f t="shared" si="4"/>
        <v>34166.030140000003</v>
      </c>
      <c r="K14" s="391">
        <f t="shared" si="5"/>
        <v>69586</v>
      </c>
      <c r="L14" s="96">
        <v>0.49099000000000004</v>
      </c>
      <c r="N14" s="385">
        <f t="shared" si="6"/>
        <v>34631.342130000005</v>
      </c>
      <c r="O14" s="391">
        <f t="shared" si="7"/>
        <v>69699</v>
      </c>
      <c r="P14" s="96">
        <v>0.49687000000000003</v>
      </c>
    </row>
    <row r="15" spans="1:16" ht="13.5" customHeight="1">
      <c r="A15" s="95" t="s">
        <v>20</v>
      </c>
      <c r="B15" s="385">
        <f t="shared" si="0"/>
        <v>34019.482900000003</v>
      </c>
      <c r="C15" s="391">
        <f t="shared" si="1"/>
        <v>69635</v>
      </c>
      <c r="D15" s="96">
        <v>0.48854000000000003</v>
      </c>
      <c r="F15" s="385">
        <f t="shared" si="2"/>
        <v>30800.545300000002</v>
      </c>
      <c r="G15" s="391">
        <f t="shared" si="3"/>
        <v>70049</v>
      </c>
      <c r="H15" s="96">
        <v>0.43970000000000004</v>
      </c>
      <c r="J15" s="385">
        <f t="shared" si="4"/>
        <v>30230.8426</v>
      </c>
      <c r="K15" s="391">
        <f t="shared" si="5"/>
        <v>70337</v>
      </c>
      <c r="L15" s="96">
        <v>0.42980000000000002</v>
      </c>
      <c r="N15" s="385">
        <f t="shared" si="6"/>
        <v>33508.224249999999</v>
      </c>
      <c r="O15" s="391">
        <f t="shared" si="7"/>
        <v>70685</v>
      </c>
      <c r="P15" s="96">
        <v>0.47405000000000003</v>
      </c>
    </row>
    <row r="16" spans="1:16" ht="13.5" customHeight="1">
      <c r="A16" s="95" t="s">
        <v>21</v>
      </c>
      <c r="B16" s="385">
        <f t="shared" si="0"/>
        <v>24918.552200000002</v>
      </c>
      <c r="C16" s="391">
        <f t="shared" si="1"/>
        <v>54748</v>
      </c>
      <c r="D16" s="96">
        <v>0.45515000000000005</v>
      </c>
      <c r="F16" s="385">
        <f t="shared" si="2"/>
        <v>22118.757570000002</v>
      </c>
      <c r="G16" s="391">
        <f t="shared" si="3"/>
        <v>54873</v>
      </c>
      <c r="H16" s="96">
        <v>0.40309000000000006</v>
      </c>
      <c r="J16" s="385">
        <f t="shared" si="4"/>
        <v>21284.527680000003</v>
      </c>
      <c r="K16" s="391">
        <f t="shared" si="5"/>
        <v>55107</v>
      </c>
      <c r="L16" s="96">
        <v>0.38624000000000003</v>
      </c>
      <c r="N16" s="385">
        <f t="shared" si="6"/>
        <v>20730.800230000001</v>
      </c>
      <c r="O16" s="391">
        <f t="shared" si="7"/>
        <v>55387</v>
      </c>
      <c r="P16" s="96">
        <v>0.37429000000000001</v>
      </c>
    </row>
    <row r="17" spans="1:16" ht="13.5" customHeight="1">
      <c r="A17" s="95" t="s">
        <v>23</v>
      </c>
      <c r="B17" s="385">
        <f t="shared" si="0"/>
        <v>20203.726010000002</v>
      </c>
      <c r="C17" s="391">
        <f t="shared" si="1"/>
        <v>44749</v>
      </c>
      <c r="D17" s="96">
        <v>0.45149000000000006</v>
      </c>
      <c r="F17" s="385">
        <f t="shared" si="2"/>
        <v>21626.697400000001</v>
      </c>
      <c r="G17" s="391">
        <f t="shared" si="3"/>
        <v>45301</v>
      </c>
      <c r="H17" s="96">
        <v>0.47740000000000005</v>
      </c>
      <c r="J17" s="385">
        <f t="shared" si="4"/>
        <v>20305.318500000001</v>
      </c>
      <c r="K17" s="391">
        <f t="shared" si="5"/>
        <v>45975</v>
      </c>
      <c r="L17" s="96">
        <v>0.44166000000000005</v>
      </c>
      <c r="N17" s="385">
        <f t="shared" si="6"/>
        <v>20909.44326</v>
      </c>
      <c r="O17" s="391">
        <f t="shared" si="7"/>
        <v>46771</v>
      </c>
      <c r="P17" s="96">
        <v>0.44706000000000001</v>
      </c>
    </row>
    <row r="18" spans="1:16" ht="13.5" customHeight="1">
      <c r="A18" s="95" t="s">
        <v>189</v>
      </c>
      <c r="B18" s="385">
        <f t="shared" si="0"/>
        <v>103083.44033</v>
      </c>
      <c r="C18" s="391">
        <f t="shared" si="1"/>
        <v>231383</v>
      </c>
      <c r="D18" s="96">
        <v>0.44551000000000002</v>
      </c>
      <c r="F18" s="385">
        <f t="shared" si="2"/>
        <v>101702.2102</v>
      </c>
      <c r="G18" s="391">
        <f t="shared" si="3"/>
        <v>233369</v>
      </c>
      <c r="H18" s="96">
        <v>0.43580000000000002</v>
      </c>
      <c r="J18" s="385">
        <f t="shared" si="4"/>
        <v>110399.77075000001</v>
      </c>
      <c r="K18" s="391">
        <f t="shared" si="5"/>
        <v>235771</v>
      </c>
      <c r="L18" s="96">
        <v>0.46825000000000006</v>
      </c>
      <c r="N18" s="385">
        <f t="shared" si="6"/>
        <v>104292.72399000001</v>
      </c>
      <c r="O18" s="391">
        <f t="shared" si="7"/>
        <v>238269</v>
      </c>
      <c r="P18" s="96">
        <v>0.43771000000000004</v>
      </c>
    </row>
    <row r="19" spans="1:16" ht="13.5" customHeight="1">
      <c r="A19" s="95" t="s">
        <v>32</v>
      </c>
      <c r="B19" s="385">
        <f t="shared" si="0"/>
        <v>8061.6089700000011</v>
      </c>
      <c r="C19" s="391">
        <f t="shared" si="1"/>
        <v>12951</v>
      </c>
      <c r="D19" s="96">
        <v>0.62247000000000008</v>
      </c>
      <c r="F19" s="385">
        <f t="shared" si="2"/>
        <v>7681.9755999999998</v>
      </c>
      <c r="G19" s="391">
        <f t="shared" si="3"/>
        <v>12805</v>
      </c>
      <c r="H19" s="96">
        <v>0.59992000000000001</v>
      </c>
      <c r="J19" s="385">
        <f t="shared" si="4"/>
        <v>7145.9825800000008</v>
      </c>
      <c r="K19" s="391">
        <f t="shared" si="5"/>
        <v>12773</v>
      </c>
      <c r="L19" s="96">
        <v>0.55946000000000007</v>
      </c>
      <c r="N19" s="385">
        <f t="shared" si="6"/>
        <v>6878.2313400000003</v>
      </c>
      <c r="O19" s="391">
        <f t="shared" si="7"/>
        <v>12833</v>
      </c>
      <c r="P19" s="96">
        <v>0.53598000000000001</v>
      </c>
    </row>
    <row r="20" spans="1:16" ht="13.5" customHeight="1">
      <c r="A20" s="95" t="s">
        <v>25</v>
      </c>
      <c r="B20" s="385">
        <f t="shared" si="0"/>
        <v>31211.268800000002</v>
      </c>
      <c r="C20" s="391">
        <f t="shared" si="1"/>
        <v>71072</v>
      </c>
      <c r="D20" s="96">
        <v>0.43915000000000004</v>
      </c>
      <c r="F20" s="385">
        <f t="shared" si="2"/>
        <v>30670.088000000003</v>
      </c>
      <c r="G20" s="391">
        <f t="shared" si="3"/>
        <v>71800</v>
      </c>
      <c r="H20" s="96">
        <v>0.42716000000000004</v>
      </c>
      <c r="J20" s="385">
        <f t="shared" si="4"/>
        <v>27683.31969</v>
      </c>
      <c r="K20" s="391">
        <f t="shared" si="5"/>
        <v>72267</v>
      </c>
      <c r="L20" s="96">
        <v>0.38307000000000002</v>
      </c>
      <c r="N20" s="385">
        <f t="shared" si="6"/>
        <v>26081.980800000005</v>
      </c>
      <c r="O20" s="391">
        <f t="shared" si="7"/>
        <v>72672</v>
      </c>
      <c r="P20" s="96">
        <v>0.35890000000000005</v>
      </c>
    </row>
    <row r="21" spans="1:16" ht="13.5" customHeight="1">
      <c r="A21" s="95" t="s">
        <v>26</v>
      </c>
      <c r="B21" s="385">
        <f t="shared" si="0"/>
        <v>69593.476780000012</v>
      </c>
      <c r="C21" s="391">
        <f t="shared" si="1"/>
        <v>165833</v>
      </c>
      <c r="D21" s="96">
        <v>0.41966000000000003</v>
      </c>
      <c r="F21" s="385">
        <f t="shared" si="2"/>
        <v>64297.965600000003</v>
      </c>
      <c r="G21" s="391">
        <f t="shared" si="3"/>
        <v>166960</v>
      </c>
      <c r="H21" s="96">
        <v>0.38511000000000001</v>
      </c>
      <c r="J21" s="385">
        <f t="shared" si="4"/>
        <v>60879.700000000004</v>
      </c>
      <c r="K21" s="391">
        <f t="shared" si="5"/>
        <v>167944</v>
      </c>
      <c r="L21" s="96">
        <v>0.36250000000000004</v>
      </c>
      <c r="N21" s="385">
        <f t="shared" si="6"/>
        <v>66758.015940000012</v>
      </c>
      <c r="O21" s="391">
        <f t="shared" si="7"/>
        <v>169239</v>
      </c>
      <c r="P21" s="96">
        <v>0.39446000000000003</v>
      </c>
    </row>
    <row r="22" spans="1:16" ht="13.5" customHeight="1">
      <c r="A22" s="95" t="s">
        <v>28</v>
      </c>
      <c r="B22" s="385">
        <f t="shared" si="0"/>
        <v>52290.159570000003</v>
      </c>
      <c r="C22" s="391">
        <f t="shared" si="1"/>
        <v>107573</v>
      </c>
      <c r="D22" s="96">
        <v>0.48609000000000002</v>
      </c>
      <c r="F22" s="385">
        <f t="shared" si="2"/>
        <v>48307.024430000005</v>
      </c>
      <c r="G22" s="391">
        <f t="shared" si="3"/>
        <v>108319</v>
      </c>
      <c r="H22" s="96">
        <v>0.44597000000000003</v>
      </c>
      <c r="J22" s="385">
        <f t="shared" si="4"/>
        <v>50733.881660000006</v>
      </c>
      <c r="K22" s="391">
        <f t="shared" si="5"/>
        <v>108878</v>
      </c>
      <c r="L22" s="96">
        <v>0.46597000000000005</v>
      </c>
      <c r="N22" s="385">
        <f t="shared" si="6"/>
        <v>49452.141840000004</v>
      </c>
      <c r="O22" s="391">
        <f t="shared" si="7"/>
        <v>109514</v>
      </c>
      <c r="P22" s="96">
        <v>0.45156000000000002</v>
      </c>
    </row>
    <row r="23" spans="1:16" ht="13.5" customHeight="1">
      <c r="A23" s="95" t="s">
        <v>30</v>
      </c>
      <c r="B23" s="385">
        <f t="shared" si="0"/>
        <v>16593.24742</v>
      </c>
      <c r="C23" s="391">
        <f t="shared" si="1"/>
        <v>37766</v>
      </c>
      <c r="D23" s="96">
        <v>0.43937000000000004</v>
      </c>
      <c r="F23" s="385">
        <f t="shared" si="2"/>
        <v>16738.364840000002</v>
      </c>
      <c r="G23" s="391">
        <f t="shared" si="3"/>
        <v>38557</v>
      </c>
      <c r="H23" s="96">
        <v>0.43412000000000006</v>
      </c>
      <c r="J23" s="385">
        <f t="shared" si="4"/>
        <v>15882.358340000002</v>
      </c>
      <c r="K23" s="391">
        <f t="shared" si="5"/>
        <v>39122</v>
      </c>
      <c r="L23" s="96">
        <v>0.40597000000000005</v>
      </c>
      <c r="N23" s="385">
        <f t="shared" si="6"/>
        <v>15557.058820000002</v>
      </c>
      <c r="O23" s="391">
        <f t="shared" si="7"/>
        <v>39733</v>
      </c>
      <c r="P23" s="96">
        <v>0.39154000000000005</v>
      </c>
    </row>
    <row r="24" spans="1:16" ht="13.5" customHeight="1">
      <c r="A24" s="95" t="s">
        <v>31</v>
      </c>
      <c r="B24" s="385">
        <f t="shared" si="0"/>
        <v>19170.302460000003</v>
      </c>
      <c r="C24" s="391">
        <f t="shared" si="1"/>
        <v>41961</v>
      </c>
      <c r="D24" s="96">
        <v>0.45686000000000004</v>
      </c>
      <c r="F24" s="385">
        <f t="shared" si="2"/>
        <v>20087.07418</v>
      </c>
      <c r="G24" s="391">
        <f t="shared" si="3"/>
        <v>42269</v>
      </c>
      <c r="H24" s="96">
        <v>0.47522000000000003</v>
      </c>
      <c r="J24" s="385">
        <f t="shared" si="4"/>
        <v>21055.7192</v>
      </c>
      <c r="K24" s="391">
        <f t="shared" si="5"/>
        <v>42554</v>
      </c>
      <c r="L24" s="96">
        <v>0.49480000000000002</v>
      </c>
      <c r="N24" s="385">
        <f t="shared" si="6"/>
        <v>21249.622720000003</v>
      </c>
      <c r="O24" s="391">
        <f t="shared" si="7"/>
        <v>42932</v>
      </c>
      <c r="P24" s="96">
        <v>0.49496000000000007</v>
      </c>
    </row>
    <row r="25" spans="1:16" ht="13.5" customHeight="1">
      <c r="A25" s="95" t="s">
        <v>33</v>
      </c>
      <c r="B25" s="385">
        <f t="shared" si="0"/>
        <v>34411.124799999998</v>
      </c>
      <c r="C25" s="391">
        <f t="shared" si="1"/>
        <v>63440</v>
      </c>
      <c r="D25" s="96">
        <v>0.54242000000000001</v>
      </c>
      <c r="F25" s="385">
        <f t="shared" si="2"/>
        <v>31213.024920000003</v>
      </c>
      <c r="G25" s="391">
        <f t="shared" si="3"/>
        <v>63756</v>
      </c>
      <c r="H25" s="96">
        <v>0.48957000000000006</v>
      </c>
      <c r="J25" s="385">
        <f t="shared" si="4"/>
        <v>28584.059800000003</v>
      </c>
      <c r="K25" s="391">
        <f t="shared" si="5"/>
        <v>63935</v>
      </c>
      <c r="L25" s="96">
        <v>0.44708000000000003</v>
      </c>
      <c r="N25" s="385">
        <f t="shared" si="6"/>
        <v>27603.290400000002</v>
      </c>
      <c r="O25" s="391">
        <f t="shared" si="7"/>
        <v>64140</v>
      </c>
      <c r="P25" s="96">
        <v>0.43036000000000002</v>
      </c>
    </row>
    <row r="26" spans="1:16" ht="13.5" customHeight="1">
      <c r="A26" s="95" t="s">
        <v>35</v>
      </c>
      <c r="B26" s="385">
        <f t="shared" si="0"/>
        <v>5888.1747200000009</v>
      </c>
      <c r="C26" s="391">
        <f t="shared" si="1"/>
        <v>10256</v>
      </c>
      <c r="D26" s="96">
        <v>0.57412000000000007</v>
      </c>
      <c r="F26" s="385">
        <f t="shared" si="2"/>
        <v>5669.7946000000002</v>
      </c>
      <c r="G26" s="391">
        <f t="shared" si="3"/>
        <v>10385</v>
      </c>
      <c r="H26" s="96">
        <v>0.54596</v>
      </c>
      <c r="J26" s="385">
        <f t="shared" si="4"/>
        <v>5382.7491000000009</v>
      </c>
      <c r="K26" s="391">
        <f t="shared" si="5"/>
        <v>10506</v>
      </c>
      <c r="L26" s="96">
        <v>0.51235000000000008</v>
      </c>
      <c r="N26" s="385">
        <f t="shared" si="6"/>
        <v>5494.6321000000007</v>
      </c>
      <c r="O26" s="391">
        <f t="shared" si="7"/>
        <v>10589</v>
      </c>
      <c r="P26" s="96">
        <v>0.51890000000000003</v>
      </c>
    </row>
    <row r="27" spans="1:16" ht="13.5" customHeight="1">
      <c r="A27" s="95" t="s">
        <v>36</v>
      </c>
      <c r="B27" s="385">
        <f t="shared" si="0"/>
        <v>30083.391330000006</v>
      </c>
      <c r="C27" s="391">
        <f t="shared" si="1"/>
        <v>67101</v>
      </c>
      <c r="D27" s="96">
        <v>0.44833000000000006</v>
      </c>
      <c r="F27" s="385">
        <f t="shared" si="2"/>
        <v>27180.407460000002</v>
      </c>
      <c r="G27" s="391">
        <f t="shared" si="3"/>
        <v>67618</v>
      </c>
      <c r="H27" s="96">
        <v>0.40197000000000005</v>
      </c>
      <c r="J27" s="385">
        <f t="shared" si="4"/>
        <v>26189.309880000004</v>
      </c>
      <c r="K27" s="391">
        <f t="shared" si="5"/>
        <v>68196</v>
      </c>
      <c r="L27" s="96">
        <v>0.38403000000000004</v>
      </c>
      <c r="N27" s="385">
        <f t="shared" si="6"/>
        <v>25718.798160000002</v>
      </c>
      <c r="O27" s="391">
        <f t="shared" si="7"/>
        <v>69003</v>
      </c>
      <c r="P27" s="96">
        <v>0.37272000000000005</v>
      </c>
    </row>
    <row r="28" spans="1:16" ht="13.5" customHeight="1">
      <c r="A28" s="95" t="s">
        <v>38</v>
      </c>
      <c r="B28" s="385">
        <f t="shared" si="0"/>
        <v>26125.959510000004</v>
      </c>
      <c r="C28" s="391">
        <f t="shared" si="1"/>
        <v>53787</v>
      </c>
      <c r="D28" s="96">
        <v>0.48573000000000005</v>
      </c>
      <c r="F28" s="385">
        <f t="shared" si="2"/>
        <v>27036.242099999999</v>
      </c>
      <c r="G28" s="391">
        <f t="shared" si="3"/>
        <v>54306</v>
      </c>
      <c r="H28" s="96">
        <v>0.49785000000000001</v>
      </c>
      <c r="J28" s="385">
        <f t="shared" si="4"/>
        <v>27947.06093</v>
      </c>
      <c r="K28" s="391">
        <f t="shared" si="5"/>
        <v>54413</v>
      </c>
      <c r="L28" s="96">
        <v>0.51361000000000001</v>
      </c>
      <c r="N28" s="385">
        <f t="shared" si="6"/>
        <v>26041.604250000004</v>
      </c>
      <c r="O28" s="391">
        <f t="shared" si="7"/>
        <v>54715</v>
      </c>
      <c r="P28" s="96">
        <v>0.47595000000000004</v>
      </c>
    </row>
    <row r="29" spans="1:16" ht="13.5" customHeight="1">
      <c r="A29" s="95" t="s">
        <v>39</v>
      </c>
      <c r="B29" s="385">
        <f t="shared" si="0"/>
        <v>6763.3347600000006</v>
      </c>
      <c r="C29" s="391">
        <f t="shared" si="1"/>
        <v>10283</v>
      </c>
      <c r="D29" s="96">
        <v>0.65772000000000008</v>
      </c>
      <c r="F29" s="385">
        <f t="shared" si="2"/>
        <v>7465.0644900000007</v>
      </c>
      <c r="G29" s="391">
        <f t="shared" si="3"/>
        <v>10341</v>
      </c>
      <c r="H29" s="96">
        <v>0.72189000000000003</v>
      </c>
      <c r="J29" s="385">
        <f t="shared" si="4"/>
        <v>7382.5048000000006</v>
      </c>
      <c r="K29" s="391">
        <f t="shared" si="5"/>
        <v>10384</v>
      </c>
      <c r="L29" s="96">
        <v>0.71095000000000008</v>
      </c>
      <c r="N29" s="385">
        <f t="shared" si="6"/>
        <v>6798.6075300000002</v>
      </c>
      <c r="O29" s="391">
        <f t="shared" si="7"/>
        <v>10439</v>
      </c>
      <c r="P29" s="96">
        <v>0.65127000000000002</v>
      </c>
    </row>
    <row r="30" spans="1:16" ht="13.5" customHeight="1">
      <c r="A30" s="95" t="s">
        <v>40</v>
      </c>
      <c r="B30" s="385">
        <f t="shared" si="0"/>
        <v>23923.522250000002</v>
      </c>
      <c r="C30" s="391">
        <f t="shared" si="1"/>
        <v>51923</v>
      </c>
      <c r="D30" s="96">
        <v>0.46075000000000005</v>
      </c>
      <c r="F30" s="385">
        <f t="shared" si="2"/>
        <v>23116.981680000001</v>
      </c>
      <c r="G30" s="391">
        <f t="shared" si="3"/>
        <v>52104</v>
      </c>
      <c r="H30" s="96">
        <v>0.44367000000000001</v>
      </c>
      <c r="J30" s="385">
        <f t="shared" si="4"/>
        <v>23414.568660000001</v>
      </c>
      <c r="K30" s="391">
        <f t="shared" si="5"/>
        <v>52281</v>
      </c>
      <c r="L30" s="96">
        <v>0.44786000000000004</v>
      </c>
      <c r="N30" s="385">
        <f t="shared" si="6"/>
        <v>24078.993440000002</v>
      </c>
      <c r="O30" s="391">
        <f t="shared" si="7"/>
        <v>52588</v>
      </c>
      <c r="P30" s="96">
        <v>0.45788000000000006</v>
      </c>
    </row>
    <row r="31" spans="1:16" ht="13.5" customHeight="1">
      <c r="A31" s="95" t="s">
        <v>42</v>
      </c>
      <c r="B31" s="385">
        <f t="shared" si="0"/>
        <v>16298.656440000001</v>
      </c>
      <c r="C31" s="391">
        <f t="shared" si="1"/>
        <v>38951</v>
      </c>
      <c r="D31" s="96">
        <v>0.41844000000000003</v>
      </c>
      <c r="F31" s="385">
        <f t="shared" si="2"/>
        <v>14635.233900000001</v>
      </c>
      <c r="G31" s="391">
        <f t="shared" si="3"/>
        <v>39285</v>
      </c>
      <c r="H31" s="96">
        <v>0.37254000000000004</v>
      </c>
      <c r="J31" s="385">
        <f t="shared" si="4"/>
        <v>13556.316800000001</v>
      </c>
      <c r="K31" s="391">
        <f t="shared" si="5"/>
        <v>39440</v>
      </c>
      <c r="L31" s="96">
        <v>0.34372000000000003</v>
      </c>
      <c r="N31" s="385">
        <f t="shared" si="6"/>
        <v>12785.242680000001</v>
      </c>
      <c r="O31" s="391">
        <f t="shared" si="7"/>
        <v>39654</v>
      </c>
      <c r="P31" s="96">
        <v>0.32242000000000004</v>
      </c>
    </row>
    <row r="32" spans="1:16" ht="13.5" customHeight="1">
      <c r="A32" s="95" t="s">
        <v>22</v>
      </c>
      <c r="B32" s="385">
        <f t="shared" ref="B32:B38" si="8">SUM(C32*D32)</f>
        <v>22781.572500000002</v>
      </c>
      <c r="C32" s="391">
        <f t="shared" si="1"/>
        <v>45350</v>
      </c>
      <c r="D32" s="96">
        <v>0.50235000000000007</v>
      </c>
      <c r="F32" s="385">
        <f t="shared" ref="F32:F38" si="9">SUM(G32*H32)</f>
        <v>20758.3377</v>
      </c>
      <c r="G32" s="391">
        <f t="shared" si="3"/>
        <v>45690</v>
      </c>
      <c r="H32" s="96">
        <v>0.45433000000000001</v>
      </c>
      <c r="J32" s="385">
        <f t="shared" ref="J32:J38" si="10">SUM(K32*L32)</f>
        <v>21276.893130000004</v>
      </c>
      <c r="K32" s="391">
        <f t="shared" si="5"/>
        <v>46023</v>
      </c>
      <c r="L32" s="96">
        <v>0.46231000000000005</v>
      </c>
      <c r="N32" s="385">
        <f t="shared" ref="N32:N38" si="11">SUM(O32*P32)</f>
        <v>22265.253919999999</v>
      </c>
      <c r="O32" s="391">
        <f t="shared" si="7"/>
        <v>46228</v>
      </c>
      <c r="P32" s="96">
        <v>0.48164000000000001</v>
      </c>
    </row>
    <row r="33" spans="1:16" ht="13.5" customHeight="1">
      <c r="A33" s="95" t="s">
        <v>24</v>
      </c>
      <c r="B33" s="385">
        <f t="shared" si="8"/>
        <v>17363.764859999999</v>
      </c>
      <c r="C33" s="391">
        <f t="shared" si="1"/>
        <v>38581</v>
      </c>
      <c r="D33" s="96">
        <v>0.45006000000000002</v>
      </c>
      <c r="F33" s="385">
        <f t="shared" si="9"/>
        <v>17278.15782</v>
      </c>
      <c r="G33" s="391">
        <f t="shared" si="3"/>
        <v>38899</v>
      </c>
      <c r="H33" s="96">
        <v>0.44418000000000002</v>
      </c>
      <c r="J33" s="385">
        <f t="shared" si="10"/>
        <v>17476.974119999999</v>
      </c>
      <c r="K33" s="391">
        <f t="shared" si="5"/>
        <v>39108</v>
      </c>
      <c r="L33" s="96">
        <v>0.44689000000000001</v>
      </c>
      <c r="N33" s="385">
        <f t="shared" si="11"/>
        <v>18343.819350000002</v>
      </c>
      <c r="O33" s="391">
        <f t="shared" si="7"/>
        <v>39345</v>
      </c>
      <c r="P33" s="96">
        <v>0.46623000000000003</v>
      </c>
    </row>
    <row r="34" spans="1:16" ht="13.5" customHeight="1">
      <c r="A34" s="95" t="s">
        <v>27</v>
      </c>
      <c r="B34" s="385">
        <f t="shared" si="8"/>
        <v>121562.04995000002</v>
      </c>
      <c r="C34" s="391">
        <f t="shared" si="1"/>
        <v>289399</v>
      </c>
      <c r="D34" s="96">
        <v>0.42005000000000003</v>
      </c>
      <c r="F34" s="385">
        <f t="shared" si="9"/>
        <v>113456.24895000001</v>
      </c>
      <c r="G34" s="391">
        <f t="shared" si="3"/>
        <v>291115</v>
      </c>
      <c r="H34" s="96">
        <v>0.38973000000000002</v>
      </c>
      <c r="J34" s="385">
        <f t="shared" si="10"/>
        <v>109673.6012</v>
      </c>
      <c r="K34" s="391">
        <f t="shared" si="5"/>
        <v>292619</v>
      </c>
      <c r="L34" s="96">
        <v>0.37480000000000002</v>
      </c>
      <c r="N34" s="385">
        <f t="shared" si="11"/>
        <v>104499.47718</v>
      </c>
      <c r="O34" s="391">
        <f t="shared" si="7"/>
        <v>294622</v>
      </c>
      <c r="P34" s="96">
        <v>0.35469000000000001</v>
      </c>
    </row>
    <row r="35" spans="1:16" ht="13.5" customHeight="1">
      <c r="A35" s="95" t="s">
        <v>29</v>
      </c>
      <c r="B35" s="385">
        <f t="shared" si="8"/>
        <v>18176.589599999999</v>
      </c>
      <c r="C35" s="391">
        <f t="shared" si="1"/>
        <v>37586</v>
      </c>
      <c r="D35" s="96">
        <v>0.48360000000000003</v>
      </c>
      <c r="F35" s="385">
        <f t="shared" si="9"/>
        <v>16012.593790000003</v>
      </c>
      <c r="G35" s="391">
        <f t="shared" si="3"/>
        <v>37651</v>
      </c>
      <c r="H35" s="96">
        <v>0.42529000000000006</v>
      </c>
      <c r="J35" s="385">
        <f t="shared" si="10"/>
        <v>14498.175200000001</v>
      </c>
      <c r="K35" s="391">
        <f t="shared" si="5"/>
        <v>37640</v>
      </c>
      <c r="L35" s="96">
        <v>0.38518000000000002</v>
      </c>
      <c r="N35" s="385">
        <f t="shared" si="11"/>
        <v>17153.488560000002</v>
      </c>
      <c r="O35" s="391">
        <f t="shared" si="7"/>
        <v>37614</v>
      </c>
      <c r="P35" s="96">
        <v>0.45604000000000006</v>
      </c>
    </row>
    <row r="36" spans="1:16" ht="13.5" customHeight="1">
      <c r="A36" s="95" t="s">
        <v>34</v>
      </c>
      <c r="B36" s="385">
        <f t="shared" si="8"/>
        <v>66645.835720000003</v>
      </c>
      <c r="C36" s="391">
        <f t="shared" si="1"/>
        <v>150364</v>
      </c>
      <c r="D36" s="96">
        <v>0.44323000000000001</v>
      </c>
      <c r="F36" s="385">
        <f t="shared" si="9"/>
        <v>64813.752450000007</v>
      </c>
      <c r="G36" s="391">
        <f t="shared" si="3"/>
        <v>151155</v>
      </c>
      <c r="H36" s="96">
        <v>0.42879000000000006</v>
      </c>
      <c r="J36" s="385">
        <f t="shared" si="10"/>
        <v>63548.869760000009</v>
      </c>
      <c r="K36" s="391">
        <f t="shared" si="5"/>
        <v>151744</v>
      </c>
      <c r="L36" s="96">
        <v>0.41879000000000005</v>
      </c>
      <c r="N36" s="385">
        <f t="shared" si="11"/>
        <v>56961.851380000007</v>
      </c>
      <c r="O36" s="391">
        <f t="shared" si="7"/>
        <v>152443</v>
      </c>
      <c r="P36" s="96">
        <v>0.37366000000000005</v>
      </c>
    </row>
    <row r="37" spans="1:16" ht="13.5" customHeight="1">
      <c r="A37" s="95" t="s">
        <v>37</v>
      </c>
      <c r="B37" s="385">
        <f t="shared" si="8"/>
        <v>43856.008500000004</v>
      </c>
      <c r="C37" s="391">
        <f t="shared" si="1"/>
        <v>84025</v>
      </c>
      <c r="D37" s="96">
        <v>0.52194000000000007</v>
      </c>
      <c r="F37" s="385">
        <f t="shared" si="9"/>
        <v>38027.591980000005</v>
      </c>
      <c r="G37" s="391">
        <f t="shared" si="3"/>
        <v>84938</v>
      </c>
      <c r="H37" s="96">
        <v>0.44771000000000005</v>
      </c>
      <c r="J37" s="385">
        <f t="shared" si="10"/>
        <v>33299.928200000002</v>
      </c>
      <c r="K37" s="391">
        <f t="shared" si="5"/>
        <v>85745</v>
      </c>
      <c r="L37" s="96">
        <v>0.38836000000000004</v>
      </c>
      <c r="N37" s="385">
        <f t="shared" si="11"/>
        <v>30858.281170000002</v>
      </c>
      <c r="O37" s="391">
        <f t="shared" si="7"/>
        <v>86683</v>
      </c>
      <c r="P37" s="96">
        <v>0.35599000000000003</v>
      </c>
    </row>
    <row r="38" spans="1:16" ht="13.5" customHeight="1">
      <c r="A38" s="95" t="s">
        <v>41</v>
      </c>
      <c r="B38" s="385">
        <f t="shared" si="8"/>
        <v>62404.552160000007</v>
      </c>
      <c r="C38" s="391">
        <f t="shared" si="1"/>
        <v>144148</v>
      </c>
      <c r="D38" s="96">
        <v>0.43292000000000003</v>
      </c>
      <c r="F38" s="385">
        <f t="shared" si="9"/>
        <v>62900.101500000004</v>
      </c>
      <c r="G38" s="391">
        <f t="shared" si="3"/>
        <v>145182</v>
      </c>
      <c r="H38" s="96">
        <v>0.43325000000000002</v>
      </c>
      <c r="J38" s="385">
        <f t="shared" si="10"/>
        <v>59553.803660000012</v>
      </c>
      <c r="K38" s="391">
        <f t="shared" si="5"/>
        <v>146173</v>
      </c>
      <c r="L38" s="96">
        <v>0.40742000000000006</v>
      </c>
      <c r="N38" s="385">
        <f t="shared" si="11"/>
        <v>62245.160459999999</v>
      </c>
      <c r="O38" s="391">
        <f t="shared" si="7"/>
        <v>147434</v>
      </c>
      <c r="P38" s="96">
        <v>0.42219000000000001</v>
      </c>
    </row>
    <row r="39" spans="1:16" ht="13.5" customHeight="1">
      <c r="A39" s="95" t="s">
        <v>43</v>
      </c>
      <c r="B39" s="385">
        <f t="shared" si="0"/>
        <v>22705.467960000005</v>
      </c>
      <c r="C39" s="391">
        <f t="shared" si="1"/>
        <v>42657</v>
      </c>
      <c r="D39" s="96">
        <v>0.53228000000000009</v>
      </c>
      <c r="F39" s="385">
        <f t="shared" si="2"/>
        <v>22510.043600000005</v>
      </c>
      <c r="G39" s="391">
        <f t="shared" si="3"/>
        <v>42746</v>
      </c>
      <c r="H39" s="96">
        <v>0.52660000000000007</v>
      </c>
      <c r="J39" s="385">
        <f t="shared" si="4"/>
        <v>20583.498880000003</v>
      </c>
      <c r="K39" s="391">
        <f t="shared" si="5"/>
        <v>42868</v>
      </c>
      <c r="L39" s="96">
        <v>0.48016000000000003</v>
      </c>
      <c r="N39" s="385">
        <f t="shared" si="6"/>
        <v>20936.246500000001</v>
      </c>
      <c r="O39" s="391">
        <f t="shared" si="7"/>
        <v>43030</v>
      </c>
      <c r="P39" s="96">
        <v>0.48655000000000004</v>
      </c>
    </row>
    <row r="40" spans="1:16" ht="13.5" customHeight="1">
      <c r="A40" s="95" t="s">
        <v>44</v>
      </c>
      <c r="B40" s="385">
        <f t="shared" si="0"/>
        <v>32957.796699999999</v>
      </c>
      <c r="C40" s="391">
        <f t="shared" si="1"/>
        <v>76630</v>
      </c>
      <c r="D40" s="96">
        <v>0.43009000000000003</v>
      </c>
      <c r="F40" s="385">
        <f t="shared" si="2"/>
        <v>33729.789239999998</v>
      </c>
      <c r="G40" s="391">
        <f t="shared" si="3"/>
        <v>77369</v>
      </c>
      <c r="H40" s="96">
        <v>0.43596000000000001</v>
      </c>
      <c r="J40" s="385">
        <f t="shared" si="4"/>
        <v>29132.595160000004</v>
      </c>
      <c r="K40" s="391">
        <f t="shared" si="5"/>
        <v>77953</v>
      </c>
      <c r="L40" s="96">
        <v>0.37372000000000005</v>
      </c>
      <c r="N40" s="385">
        <f t="shared" si="6"/>
        <v>25791.874920000002</v>
      </c>
      <c r="O40" s="391">
        <f t="shared" si="7"/>
        <v>78966</v>
      </c>
      <c r="P40" s="96">
        <v>0.32662000000000002</v>
      </c>
    </row>
    <row r="41" spans="1:16" ht="13.5" customHeight="1">
      <c r="A41" s="95" t="s">
        <v>47</v>
      </c>
      <c r="B41" s="385">
        <f>SUM(B32:B39)</f>
        <v>375495.84125000006</v>
      </c>
      <c r="C41" s="385">
        <f>SUM(C32:C39)</f>
        <v>832110</v>
      </c>
      <c r="D41" s="392">
        <f>SUM(B41/C41)</f>
        <v>0.45125745544459273</v>
      </c>
      <c r="F41" s="385">
        <f>SUM(F32:F39)</f>
        <v>355756.82779000001</v>
      </c>
      <c r="G41" s="385">
        <f>SUM(G32:G39)</f>
        <v>837376</v>
      </c>
      <c r="H41" s="392">
        <f>SUM(F41/G41)</f>
        <v>0.42484717473393074</v>
      </c>
      <c r="J41" s="385">
        <f>SUM(J32:J39)</f>
        <v>339911.74415000004</v>
      </c>
      <c r="K41" s="385">
        <f>SUM(K32:K39)</f>
        <v>841920</v>
      </c>
      <c r="L41" s="392">
        <f>SUM(J41/K41)</f>
        <v>0.40373401766201067</v>
      </c>
      <c r="N41" s="385">
        <f>SUM(N32:N39)</f>
        <v>333263.57852000004</v>
      </c>
      <c r="O41" s="385">
        <f>SUM(O32:O39)</f>
        <v>847399</v>
      </c>
      <c r="P41" s="96">
        <v>0.39327822964152664</v>
      </c>
    </row>
    <row r="42" spans="1:16" ht="13.5" customHeight="1">
      <c r="A42" s="6" t="s">
        <v>543</v>
      </c>
      <c r="B42" s="385" cm="1">
        <f t="array" ref="B42">SUM(SUMIFS(B$9:B$41,$A$9:$A$41,{"East Renfrewshire","East Dunbartonshire","Aberdeenshire","Edinburgh, City of","Perth and Kinross","Aberdeen City","Shetland Islands","Orkney Islands"}))</f>
        <v>285737.07139000006</v>
      </c>
      <c r="C42" s="385" cm="1">
        <f t="array" ref="C42">SUM(SUMIFS(C$9:C$41,$A$9:$A$41,{"East Renfrewshire","East Dunbartonshire","Aberdeenshire","Edinburgh, City of","Perth and Kinross","Aberdeen City","Shetland Islands","Orkney Islands"}))</f>
        <v>619999</v>
      </c>
      <c r="D42" s="406">
        <f>SUM(B42/C42)</f>
        <v>0.46086698751127025</v>
      </c>
      <c r="E42" s="9"/>
      <c r="F42" s="385" cm="1">
        <f t="array" ref="F42">SUM(SUMIFS(F$9:F$41,$A$9:$A$41,{"East Renfrewshire","East Dunbartonshire","Aberdeenshire","Edinburgh, City of","Perth and Kinross","Aberdeen City","Shetland Islands","Orkney Islands"}))</f>
        <v>278350.74202000001</v>
      </c>
      <c r="G42" s="385" cm="1">
        <f t="array" ref="G42">SUM(SUMIFS(G$9:G$41,$A$9:$A$41,{"East Renfrewshire","East Dunbartonshire","Aberdeenshire","Edinburgh, City of","Perth and Kinross","Aberdeen City","Shetland Islands","Orkney Islands"}))</f>
        <v>624045</v>
      </c>
      <c r="H42" s="406">
        <f t="shared" ref="H42:H45" si="12">SUM(F42/G42)</f>
        <v>0.44604274053954446</v>
      </c>
      <c r="I42" s="9"/>
      <c r="J42" s="385" cm="1">
        <f t="array" ref="J42">SUM(SUMIFS(J$9:J$41,$A$9:$A$41,{"East Renfrewshire","East Dunbartonshire","Aberdeenshire","Edinburgh, City of","Perth and Kinross","Aberdeen City","Shetland Islands","Orkney Islands"}))</f>
        <v>282841.87142000004</v>
      </c>
      <c r="K42" s="385" cm="1">
        <f t="array" ref="K42">SUM(SUMIFS(K$9:K$41,$A$9:$A$41,{"East Renfrewshire","East Dunbartonshire","Aberdeenshire","Edinburgh, City of","Perth and Kinross","Aberdeen City","Shetland Islands","Orkney Islands"}))</f>
        <v>628730</v>
      </c>
      <c r="L42" s="406">
        <f t="shared" ref="L42:L45" si="13">SUM(J42/K42)</f>
        <v>0.4498622165635488</v>
      </c>
      <c r="M42" s="9"/>
      <c r="N42" s="385" cm="1">
        <f t="array" ref="N42">SUM(SUMIFS(N$9:N$41,$A$9:$A$41,{"East Renfrewshire","East Dunbartonshire","Aberdeenshire","Edinburgh, City of","Perth and Kinross","Aberdeen City","Shetland Islands","Orkney Islands"}))</f>
        <v>279426.87437999999</v>
      </c>
      <c r="O42" s="385" cm="1">
        <f t="array" ref="O42">SUM(SUMIFS(O$9:O$41,$A$9:$A$41,{"East Renfrewshire","East Dunbartonshire","Aberdeenshire","Edinburgh, City of","Perth and Kinross","Aberdeen City","Shetland Islands","Orkney Islands"}))</f>
        <v>634368</v>
      </c>
      <c r="P42" s="406">
        <f t="shared" ref="P42:P45" si="14">SUM(N42/O42)</f>
        <v>0.44048072156855328</v>
      </c>
    </row>
    <row r="43" spans="1:16" ht="13.5" customHeight="1">
      <c r="A43" s="6" t="s">
        <v>544</v>
      </c>
      <c r="B43" s="385" cm="1">
        <f t="array" ref="B43">SUM(SUMIFS(B$9:B$41,$A$9:$A$41,{"Moray","Stirling","East Lothian","Angus","Scottish Borders","Highland","Argyll and Bute","Midlothian"}))</f>
        <v>199603.60614000002</v>
      </c>
      <c r="C43" s="385" cm="1">
        <f t="array" ref="C43">SUM(SUMIFS(C$9:C$41,$A$9:$A$41,{"Moray","Stirling","East Lothian","Angus","Scottish Borders","Highland","Argyll and Bute","Midlothian"}))</f>
        <v>419160</v>
      </c>
      <c r="D43" s="406">
        <f t="shared" ref="D43:D45" si="15">SUM(B43/C43)</f>
        <v>0.47619907944460355</v>
      </c>
      <c r="E43" s="9"/>
      <c r="F43" s="385" cm="1">
        <f t="array" ref="F43">SUM(SUMIFS(F$9:F$41,$A$9:$A$41,{"Moray","Stirling","East Lothian","Angus","Scottish Borders","Highland","Argyll and Bute","Midlothian"}))</f>
        <v>191631.36620000002</v>
      </c>
      <c r="G43" s="385" cm="1">
        <f t="array" ref="G43">SUM(SUMIFS(G$9:G$41,$A$9:$A$41,{"Moray","Stirling","East Lothian","Angus","Scottish Borders","Highland","Argyll and Bute","Midlothian"}))</f>
        <v>423119</v>
      </c>
      <c r="H43" s="406">
        <f t="shared" si="12"/>
        <v>0.45290182241875221</v>
      </c>
      <c r="I43" s="9"/>
      <c r="J43" s="385" cm="1">
        <f t="array" ref="J43">SUM(SUMIFS(J$9:J$41,$A$9:$A$41,{"Moray","Stirling","East Lothian","Angus","Scottish Borders","Highland","Argyll and Bute","Midlothian"}))</f>
        <v>191888.69811000003</v>
      </c>
      <c r="K43" s="385" cm="1">
        <f t="array" ref="K43">SUM(SUMIFS(K$9:K$41,$A$9:$A$41,{"Moray","Stirling","East Lothian","Angus","Scottish Borders","Highland","Argyll and Bute","Midlothian"}))</f>
        <v>425900</v>
      </c>
      <c r="L43" s="406">
        <f t="shared" si="13"/>
        <v>0.4505487159192299</v>
      </c>
      <c r="M43" s="9"/>
      <c r="N43" s="385" cm="1">
        <f t="array" ref="N43">SUM(SUMIFS(N$9:N$41,$A$9:$A$41,{"Moray","Stirling","East Lothian","Angus","Scottish Borders","Highland","Argyll and Bute","Midlothian"}))</f>
        <v>189631.37591999999</v>
      </c>
      <c r="O43" s="385" cm="1">
        <f t="array" ref="O43">SUM(SUMIFS(O$9:O$41,$A$9:$A$41,{"Moray","Stirling","East Lothian","Angus","Scottish Borders","Highland","Argyll and Bute","Midlothian"}))</f>
        <v>429329</v>
      </c>
      <c r="P43" s="406">
        <f t="shared" si="14"/>
        <v>0.44169244546722908</v>
      </c>
    </row>
    <row r="44" spans="1:16" ht="13.5" customHeight="1">
      <c r="A44" s="6" t="s">
        <v>545</v>
      </c>
      <c r="B44" s="385" cm="1">
        <f t="array" ref="B44">SUM(SUMIFS(B$9:B$41,$A$9:$A$41,{"Falkirk","Dumfries and Galloway","Fife","South Ayrshire","West Lothian","South Lanarkshire","Renfrewshire","Clackmannanshire"}))</f>
        <v>306320.65955000004</v>
      </c>
      <c r="C44" s="385" cm="1">
        <f t="array" ref="C44">SUM(SUMIFS(C$9:C$41,$A$9:$A$41,{"Falkirk","Dumfries and Galloway","Fife","South Ayrshire","West Lothian","South Lanarkshire","Renfrewshire","Clackmannanshire"}))</f>
        <v>686234</v>
      </c>
      <c r="D44" s="406">
        <f t="shared" si="15"/>
        <v>0.44637931019156735</v>
      </c>
      <c r="E44" s="9"/>
      <c r="F44" s="385" cm="1">
        <f t="array" ref="F44">SUM(SUMIFS(F$9:F$41,$A$9:$A$41,{"Falkirk","Dumfries and Galloway","Fife","South Ayrshire","West Lothian","South Lanarkshire","Renfrewshire","Clackmannanshire"}))</f>
        <v>292280.86051999999</v>
      </c>
      <c r="G44" s="385" cm="1">
        <f t="array" ref="G44">SUM(SUMIFS(G$9:G$41,$A$9:$A$41,{"Falkirk","Dumfries and Galloway","Fife","South Ayrshire","West Lothian","South Lanarkshire","Renfrewshire","Clackmannanshire"}))</f>
        <v>691419</v>
      </c>
      <c r="H44" s="406">
        <f t="shared" si="12"/>
        <v>0.42272610460516702</v>
      </c>
      <c r="I44" s="9"/>
      <c r="J44" s="385" cm="1">
        <f t="array" ref="J44">SUM(SUMIFS(J$9:J$41,$A$9:$A$41,{"Falkirk","Dumfries and Galloway","Fife","South Ayrshire","West Lothian","South Lanarkshire","Renfrewshire","Clackmannanshire"}))</f>
        <v>274324.72109000001</v>
      </c>
      <c r="K44" s="385" cm="1">
        <f t="array" ref="K44">SUM(SUMIFS(K$9:K$41,$A$9:$A$41,{"Falkirk","Dumfries and Galloway","Fife","South Ayrshire","West Lothian","South Lanarkshire","Renfrewshire","Clackmannanshire"}))</f>
        <v>695623</v>
      </c>
      <c r="L44" s="406">
        <f t="shared" si="13"/>
        <v>0.39435832496912843</v>
      </c>
      <c r="M44" s="9"/>
      <c r="N44" s="385" cm="1">
        <f t="array" ref="N44">SUM(SUMIFS(N$9:N$41,$A$9:$A$41,{"Falkirk","Dumfries and Galloway","Fife","South Ayrshire","West Lothian","South Lanarkshire","Renfrewshire","Clackmannanshire"}))</f>
        <v>276270.26976000005</v>
      </c>
      <c r="O44" s="385" cm="1">
        <f t="array" ref="O44">SUM(SUMIFS(O$9:O$41,$A$9:$A$41,{"Falkirk","Dumfries and Galloway","Fife","South Ayrshire","West Lothian","South Lanarkshire","Renfrewshire","Clackmannanshire"}))</f>
        <v>701171</v>
      </c>
      <c r="P44" s="406">
        <f t="shared" si="14"/>
        <v>0.39401268700502451</v>
      </c>
    </row>
    <row r="45" spans="1:16" ht="13.5" customHeight="1">
      <c r="A45" s="6" t="s">
        <v>546</v>
      </c>
      <c r="B45" s="385" cm="1">
        <f t="array" ref="B45">SUM(SUMIFS(B$9:B$41,$A$9:$A$41,{"Na h-Eileanan Siar","Dundee City","East Ayrshire","North Ayrshire","North Lanarkshire","Inverclyde","West Dunbartonshire","Glasgow City"}))</f>
        <v>330500.7121</v>
      </c>
      <c r="C45" s="385" cm="1">
        <f t="array" ref="C45">SUM(SUMIFS(C$9:C$41,$A$9:$A$41,{"Na h-Eileanan Siar","Dundee City","East Ayrshire","North Ayrshire","North Lanarkshire","Inverclyde","West Dunbartonshire","Glasgow City"}))</f>
        <v>720780</v>
      </c>
      <c r="D45" s="406">
        <f t="shared" si="15"/>
        <v>0.45853202377979413</v>
      </c>
      <c r="E45" s="9"/>
      <c r="F45" s="385" cm="1">
        <f t="array" ref="F45">SUM(SUMIFS(F$9:F$41,$A$9:$A$41,{"Na h-Eileanan Siar","Dundee City","East Ayrshire","North Ayrshire","North Lanarkshire","Inverclyde","West Dunbartonshire","Glasgow City"}))</f>
        <v>308606.94218000001</v>
      </c>
      <c r="G45" s="385" cm="1">
        <f t="array" ref="G45">SUM(SUMIFS(G$9:G$41,$A$9:$A$41,{"Na h-Eileanan Siar","Dundee City","East Ayrshire","North Ayrshire","North Lanarkshire","Inverclyde","West Dunbartonshire","Glasgow City"}))</f>
        <v>724150</v>
      </c>
      <c r="H45" s="406">
        <f t="shared" si="12"/>
        <v>0.42616438884209074</v>
      </c>
      <c r="I45" s="9"/>
      <c r="J45" s="385" cm="1">
        <f t="array" ref="J45">SUM(SUMIFS(J$9:J$41,$A$9:$A$41,{"Na h-Eileanan Siar","Dundee City","East Ayrshire","North Ayrshire","North Lanarkshire","Inverclyde","West Dunbartonshire","Glasgow City"}))</f>
        <v>295549.5577</v>
      </c>
      <c r="K45" s="385" cm="1">
        <f t="array" ref="K45">SUM(SUMIFS(K$9:K$41,$A$9:$A$41,{"Na h-Eileanan Siar","Dundee City","East Ayrshire","North Ayrshire","North Lanarkshire","Inverclyde","West Dunbartonshire","Glasgow City"}))</f>
        <v>727023</v>
      </c>
      <c r="L45" s="406">
        <f t="shared" si="13"/>
        <v>0.40652023072172405</v>
      </c>
      <c r="M45" s="9"/>
      <c r="N45" s="385" cm="1">
        <f t="array" ref="N45">SUM(SUMIFS(N$9:N$41,$A$9:$A$41,{"Na h-Eileanan Siar","Dundee City","East Ayrshire","North Ayrshire","North Lanarkshire","Inverclyde","West Dunbartonshire","Glasgow City"}))</f>
        <v>288271.60984000005</v>
      </c>
      <c r="O45" s="385" cm="1">
        <f t="array" ref="O45">SUM(SUMIFS(O$9:O$41,$A$9:$A$41,{"Na h-Eileanan Siar","Dundee City","East Ayrshire","North Ayrshire","North Lanarkshire","Inverclyde","West Dunbartonshire","Glasgow City"}))</f>
        <v>730754</v>
      </c>
      <c r="P45" s="406">
        <f t="shared" si="14"/>
        <v>0.39448516168231723</v>
      </c>
    </row>
    <row r="46" spans="1:16" ht="13.5" customHeight="1">
      <c r="A46" s="97" t="s">
        <v>45</v>
      </c>
      <c r="B46" s="385">
        <f t="shared" si="0"/>
        <v>1122083.0994100003</v>
      </c>
      <c r="C46" s="391">
        <f>VLOOKUP($A46,$A$53:$G$85,3,FALSE)</f>
        <v>2446171</v>
      </c>
      <c r="D46" s="96">
        <v>0.45871000000000006</v>
      </c>
      <c r="F46" s="385">
        <f t="shared" si="2"/>
        <v>1070772.98544</v>
      </c>
      <c r="G46" s="391">
        <f>VLOOKUP($A46,$A$53:$G$85,4,FALSE)</f>
        <v>2462736</v>
      </c>
      <c r="H46" s="96">
        <v>0.43479000000000001</v>
      </c>
      <c r="J46" s="385">
        <f t="shared" si="4"/>
        <v>1044592.5492500002</v>
      </c>
      <c r="K46" s="391">
        <f>VLOOKUP($A46,$A$53:$G$85,5,FALSE)</f>
        <v>2477275</v>
      </c>
      <c r="L46" s="96">
        <v>0.42167000000000004</v>
      </c>
      <c r="N46" s="385">
        <f t="shared" si="6"/>
        <v>1023205.4299999999</v>
      </c>
      <c r="O46" s="391">
        <f>VLOOKUP($A46,$A$53:$G$85,6,FALSE)</f>
        <v>2495623</v>
      </c>
      <c r="P46" s="96">
        <v>0.41</v>
      </c>
    </row>
    <row r="49" spans="1:7" ht="18" customHeight="1">
      <c r="A49" s="90" t="s">
        <v>260</v>
      </c>
    </row>
    <row r="50" spans="1:7" ht="15" customHeight="1"/>
    <row r="51" spans="1:7" s="81" customFormat="1" ht="13.5" customHeight="1">
      <c r="A51" s="600" t="s">
        <v>259</v>
      </c>
      <c r="B51" s="600">
        <v>2015</v>
      </c>
      <c r="C51" s="600">
        <v>2016</v>
      </c>
      <c r="D51" s="600">
        <v>2017</v>
      </c>
      <c r="E51" s="600">
        <v>2018</v>
      </c>
      <c r="F51" s="600">
        <v>2019</v>
      </c>
      <c r="G51" s="600">
        <v>2020</v>
      </c>
    </row>
    <row r="52" spans="1:7" s="81" customFormat="1" ht="13.5" customHeight="1">
      <c r="A52" s="601"/>
      <c r="B52" s="601"/>
      <c r="C52" s="601"/>
      <c r="D52" s="601"/>
      <c r="E52" s="601"/>
      <c r="F52" s="601"/>
      <c r="G52" s="601"/>
    </row>
    <row r="53" spans="1:7" s="81" customFormat="1" ht="18" customHeight="1">
      <c r="A53" s="81" t="s">
        <v>45</v>
      </c>
      <c r="B53" s="89">
        <v>2429943</v>
      </c>
      <c r="C53" s="89">
        <v>2446171</v>
      </c>
      <c r="D53" s="89">
        <v>2462736</v>
      </c>
      <c r="E53" s="89">
        <v>2477275</v>
      </c>
      <c r="F53" s="82">
        <v>2495623</v>
      </c>
      <c r="G53" s="82">
        <v>2507625</v>
      </c>
    </row>
    <row r="54" spans="1:7" ht="18" customHeight="1">
      <c r="A54" s="81" t="s">
        <v>14</v>
      </c>
      <c r="B54" s="88">
        <v>105311</v>
      </c>
      <c r="C54" s="88">
        <v>106749</v>
      </c>
      <c r="D54" s="88">
        <v>106802</v>
      </c>
      <c r="E54" s="88">
        <v>107586</v>
      </c>
      <c r="F54" s="221">
        <v>108381</v>
      </c>
      <c r="G54" s="221">
        <v>108893</v>
      </c>
    </row>
    <row r="55" spans="1:7" ht="13.5" customHeight="1">
      <c r="A55" s="81" t="s">
        <v>15</v>
      </c>
      <c r="B55" s="88">
        <v>109631</v>
      </c>
      <c r="C55" s="88">
        <v>110296</v>
      </c>
      <c r="D55" s="88">
        <v>110941</v>
      </c>
      <c r="E55" s="88">
        <v>111156</v>
      </c>
      <c r="F55" s="221">
        <v>112114</v>
      </c>
      <c r="G55" s="221">
        <v>112713</v>
      </c>
    </row>
    <row r="56" spans="1:7" ht="13.5" customHeight="1">
      <c r="A56" s="81" t="s">
        <v>16</v>
      </c>
      <c r="B56" s="88">
        <v>53142</v>
      </c>
      <c r="C56" s="88">
        <v>53333</v>
      </c>
      <c r="D56" s="88">
        <v>53627</v>
      </c>
      <c r="E56" s="88">
        <v>53888</v>
      </c>
      <c r="F56" s="221">
        <v>54221</v>
      </c>
      <c r="G56" s="221">
        <v>54480</v>
      </c>
    </row>
    <row r="57" spans="1:7" ht="13.5" customHeight="1">
      <c r="A57" s="81" t="s">
        <v>17</v>
      </c>
      <c r="B57" s="88">
        <v>40938</v>
      </c>
      <c r="C57" s="88">
        <v>41040</v>
      </c>
      <c r="D57" s="88">
        <v>41455</v>
      </c>
      <c r="E57" s="88">
        <v>41630</v>
      </c>
      <c r="F57" s="221">
        <v>41789</v>
      </c>
      <c r="G57" s="221">
        <v>41839</v>
      </c>
    </row>
    <row r="58" spans="1:7" ht="13.5" customHeight="1">
      <c r="A58" s="95" t="s">
        <v>189</v>
      </c>
      <c r="B58" s="88">
        <v>229650</v>
      </c>
      <c r="C58" s="88">
        <v>231383</v>
      </c>
      <c r="D58" s="88">
        <v>233369</v>
      </c>
      <c r="E58" s="88">
        <v>235771</v>
      </c>
      <c r="F58" s="221">
        <v>238269</v>
      </c>
      <c r="G58" s="221">
        <v>239364</v>
      </c>
    </row>
    <row r="59" spans="1:7" ht="18" customHeight="1">
      <c r="A59" s="81" t="s">
        <v>18</v>
      </c>
      <c r="B59" s="88">
        <v>23333</v>
      </c>
      <c r="C59" s="88">
        <v>23401</v>
      </c>
      <c r="D59" s="88">
        <v>23563</v>
      </c>
      <c r="E59" s="88">
        <v>23674</v>
      </c>
      <c r="F59" s="221">
        <v>23890</v>
      </c>
      <c r="G59" s="221">
        <v>24066</v>
      </c>
    </row>
    <row r="60" spans="1:7" ht="13.5" customHeight="1">
      <c r="A60" s="81" t="s">
        <v>19</v>
      </c>
      <c r="B60" s="88">
        <v>68999</v>
      </c>
      <c r="C60" s="88">
        <v>69202</v>
      </c>
      <c r="D60" s="88">
        <v>69503</v>
      </c>
      <c r="E60" s="88">
        <v>69586</v>
      </c>
      <c r="F60" s="221">
        <v>69699</v>
      </c>
      <c r="G60" s="221">
        <v>69957</v>
      </c>
    </row>
    <row r="61" spans="1:7" ht="13.5" customHeight="1">
      <c r="A61" s="81" t="s">
        <v>20</v>
      </c>
      <c r="B61" s="88">
        <v>69534</v>
      </c>
      <c r="C61" s="88">
        <v>69635</v>
      </c>
      <c r="D61" s="88">
        <v>70049</v>
      </c>
      <c r="E61" s="88">
        <v>70337</v>
      </c>
      <c r="F61" s="221">
        <v>70685</v>
      </c>
      <c r="G61" s="221">
        <v>70689</v>
      </c>
    </row>
    <row r="62" spans="1:7" ht="13.5" customHeight="1">
      <c r="A62" s="81" t="s">
        <v>21</v>
      </c>
      <c r="B62" s="88">
        <v>54570</v>
      </c>
      <c r="C62" s="88">
        <v>54748</v>
      </c>
      <c r="D62" s="88">
        <v>54873</v>
      </c>
      <c r="E62" s="88">
        <v>55107</v>
      </c>
      <c r="F62" s="221">
        <v>55387</v>
      </c>
      <c r="G62" s="221">
        <v>55564</v>
      </c>
    </row>
    <row r="63" spans="1:7" ht="13.5" customHeight="1">
      <c r="A63" s="81" t="s">
        <v>22</v>
      </c>
      <c r="B63" s="88">
        <v>45008</v>
      </c>
      <c r="C63" s="88">
        <v>45350</v>
      </c>
      <c r="D63" s="88">
        <v>45690</v>
      </c>
      <c r="E63" s="88">
        <v>46023</v>
      </c>
      <c r="F63" s="221">
        <v>46228</v>
      </c>
      <c r="G63" s="221">
        <v>46563</v>
      </c>
    </row>
    <row r="64" spans="1:7" ht="18" customHeight="1">
      <c r="A64" s="81" t="s">
        <v>23</v>
      </c>
      <c r="B64" s="88">
        <v>44384</v>
      </c>
      <c r="C64" s="88">
        <v>44749</v>
      </c>
      <c r="D64" s="88">
        <v>45301</v>
      </c>
      <c r="E64" s="88">
        <v>45975</v>
      </c>
      <c r="F64" s="221">
        <v>46771</v>
      </c>
      <c r="G64" s="221">
        <v>47482</v>
      </c>
    </row>
    <row r="65" spans="1:7" ht="13.5" customHeight="1">
      <c r="A65" s="81" t="s">
        <v>24</v>
      </c>
      <c r="B65" s="88">
        <v>38270</v>
      </c>
      <c r="C65" s="88">
        <v>38581</v>
      </c>
      <c r="D65" s="88">
        <v>38899</v>
      </c>
      <c r="E65" s="88">
        <v>39108</v>
      </c>
      <c r="F65" s="221">
        <v>39345</v>
      </c>
      <c r="G65" s="221">
        <v>39586</v>
      </c>
    </row>
    <row r="66" spans="1:7" ht="13.5" customHeight="1">
      <c r="A66" s="81" t="s">
        <v>25</v>
      </c>
      <c r="B66" s="88">
        <v>70431</v>
      </c>
      <c r="C66" s="88">
        <v>71072</v>
      </c>
      <c r="D66" s="88">
        <v>71800</v>
      </c>
      <c r="E66" s="88">
        <v>72267</v>
      </c>
      <c r="F66" s="221">
        <v>72672</v>
      </c>
      <c r="G66" s="221">
        <v>72994</v>
      </c>
    </row>
    <row r="67" spans="1:7" ht="13.5" customHeight="1">
      <c r="A67" s="81" t="s">
        <v>26</v>
      </c>
      <c r="B67" s="88">
        <v>164705</v>
      </c>
      <c r="C67" s="88">
        <v>165833</v>
      </c>
      <c r="D67" s="88">
        <v>166960</v>
      </c>
      <c r="E67" s="88">
        <v>167944</v>
      </c>
      <c r="F67" s="221">
        <v>169239</v>
      </c>
      <c r="G67" s="221">
        <v>169886</v>
      </c>
    </row>
    <row r="68" spans="1:7" ht="13.5" customHeight="1">
      <c r="A68" s="81" t="s">
        <v>27</v>
      </c>
      <c r="B68" s="88">
        <v>287862</v>
      </c>
      <c r="C68" s="88">
        <v>289399</v>
      </c>
      <c r="D68" s="88">
        <v>291115</v>
      </c>
      <c r="E68" s="88">
        <v>292619</v>
      </c>
      <c r="F68" s="221">
        <v>294622</v>
      </c>
      <c r="G68" s="221">
        <v>295761</v>
      </c>
    </row>
    <row r="69" spans="1:7" ht="18" customHeight="1">
      <c r="A69" s="81" t="s">
        <v>28</v>
      </c>
      <c r="B69" s="88">
        <v>106834</v>
      </c>
      <c r="C69" s="88">
        <v>107573</v>
      </c>
      <c r="D69" s="88">
        <v>108319</v>
      </c>
      <c r="E69" s="88">
        <v>108878</v>
      </c>
      <c r="F69" s="221">
        <v>109514</v>
      </c>
      <c r="G69" s="221">
        <v>110084</v>
      </c>
    </row>
    <row r="70" spans="1:7" ht="13.5" customHeight="1">
      <c r="A70" s="81" t="s">
        <v>29</v>
      </c>
      <c r="B70" s="88">
        <v>37426</v>
      </c>
      <c r="C70" s="88">
        <v>37586</v>
      </c>
      <c r="D70" s="88">
        <v>37651</v>
      </c>
      <c r="E70" s="88">
        <v>37640</v>
      </c>
      <c r="F70" s="221">
        <v>37614</v>
      </c>
      <c r="G70" s="221">
        <v>37646</v>
      </c>
    </row>
    <row r="71" spans="1:7" ht="13.5" customHeight="1">
      <c r="A71" s="81" t="s">
        <v>30</v>
      </c>
      <c r="B71" s="88">
        <v>37069</v>
      </c>
      <c r="C71" s="88">
        <v>37766</v>
      </c>
      <c r="D71" s="88">
        <v>38557</v>
      </c>
      <c r="E71" s="88">
        <v>39122</v>
      </c>
      <c r="F71" s="221">
        <v>39733</v>
      </c>
      <c r="G71" s="221">
        <v>40137</v>
      </c>
    </row>
    <row r="72" spans="1:7" ht="13.5" customHeight="1">
      <c r="A72" s="81" t="s">
        <v>31</v>
      </c>
      <c r="B72" s="88">
        <v>41641</v>
      </c>
      <c r="C72" s="88">
        <v>41961</v>
      </c>
      <c r="D72" s="88">
        <v>42269</v>
      </c>
      <c r="E72" s="88">
        <v>42554</v>
      </c>
      <c r="F72" s="221">
        <v>42932</v>
      </c>
      <c r="G72" s="221">
        <v>43175</v>
      </c>
    </row>
    <row r="73" spans="1:7" ht="13.5" customHeight="1">
      <c r="A73" s="81" t="s">
        <v>32</v>
      </c>
      <c r="B73" s="88">
        <v>12968</v>
      </c>
      <c r="C73" s="88">
        <v>12951</v>
      </c>
      <c r="D73" s="88">
        <v>12805</v>
      </c>
      <c r="E73" s="88">
        <v>12773</v>
      </c>
      <c r="F73" s="221">
        <v>12833</v>
      </c>
      <c r="G73" s="221">
        <v>12849</v>
      </c>
    </row>
    <row r="74" spans="1:7" ht="18" customHeight="1">
      <c r="A74" s="81" t="s">
        <v>33</v>
      </c>
      <c r="B74" s="88">
        <v>63189</v>
      </c>
      <c r="C74" s="88">
        <v>63440</v>
      </c>
      <c r="D74" s="88">
        <v>63756</v>
      </c>
      <c r="E74" s="88">
        <v>63935</v>
      </c>
      <c r="F74" s="221">
        <v>64140</v>
      </c>
      <c r="G74" s="221">
        <v>64415</v>
      </c>
    </row>
    <row r="75" spans="1:7" ht="13.5" customHeight="1">
      <c r="A75" s="81" t="s">
        <v>34</v>
      </c>
      <c r="B75" s="88">
        <v>149282</v>
      </c>
      <c r="C75" s="88">
        <v>150364</v>
      </c>
      <c r="D75" s="88">
        <v>151155</v>
      </c>
      <c r="E75" s="88">
        <v>151744</v>
      </c>
      <c r="F75" s="221">
        <v>152443</v>
      </c>
      <c r="G75" s="221">
        <v>152910</v>
      </c>
    </row>
    <row r="76" spans="1:7" ht="13.5" customHeight="1">
      <c r="A76" s="81" t="s">
        <v>35</v>
      </c>
      <c r="B76" s="88">
        <v>10146</v>
      </c>
      <c r="C76" s="88">
        <v>10256</v>
      </c>
      <c r="D76" s="88">
        <v>10385</v>
      </c>
      <c r="E76" s="88">
        <v>10506</v>
      </c>
      <c r="F76" s="221">
        <v>10589</v>
      </c>
      <c r="G76" s="221">
        <v>10635</v>
      </c>
    </row>
    <row r="77" spans="1:7" ht="13.5" customHeight="1">
      <c r="A77" s="81" t="s">
        <v>36</v>
      </c>
      <c r="B77" s="88">
        <v>66545</v>
      </c>
      <c r="C77" s="88">
        <v>67101</v>
      </c>
      <c r="D77" s="88">
        <v>67618</v>
      </c>
      <c r="E77" s="88">
        <v>68196</v>
      </c>
      <c r="F77" s="221">
        <v>69003</v>
      </c>
      <c r="G77" s="221">
        <v>69432</v>
      </c>
    </row>
    <row r="78" spans="1:7" ht="13.5" customHeight="1">
      <c r="A78" s="81" t="s">
        <v>37</v>
      </c>
      <c r="B78" s="88">
        <v>83245</v>
      </c>
      <c r="C78" s="88">
        <v>84025</v>
      </c>
      <c r="D78" s="88">
        <v>84938</v>
      </c>
      <c r="E78" s="88">
        <v>85745</v>
      </c>
      <c r="F78" s="221">
        <v>86683</v>
      </c>
      <c r="G78" s="221">
        <v>87241</v>
      </c>
    </row>
    <row r="79" spans="1:7" ht="18" customHeight="1">
      <c r="A79" s="81" t="s">
        <v>38</v>
      </c>
      <c r="B79" s="88">
        <v>53351</v>
      </c>
      <c r="C79" s="88">
        <v>53787</v>
      </c>
      <c r="D79" s="88">
        <v>54306</v>
      </c>
      <c r="E79" s="88">
        <v>54413</v>
      </c>
      <c r="F79" s="221">
        <v>54715</v>
      </c>
      <c r="G79" s="221">
        <v>54796</v>
      </c>
    </row>
    <row r="80" spans="1:7" ht="13.5" customHeight="1">
      <c r="A80" s="81" t="s">
        <v>39</v>
      </c>
      <c r="B80" s="88">
        <v>10235</v>
      </c>
      <c r="C80" s="88">
        <v>10283</v>
      </c>
      <c r="D80" s="88">
        <v>10341</v>
      </c>
      <c r="E80" s="88">
        <v>10384</v>
      </c>
      <c r="F80" s="221">
        <v>10439</v>
      </c>
      <c r="G80" s="221">
        <v>10461</v>
      </c>
    </row>
    <row r="81" spans="1:7" ht="13.5" customHeight="1">
      <c r="A81" s="81" t="s">
        <v>40</v>
      </c>
      <c r="B81" s="88">
        <v>51912</v>
      </c>
      <c r="C81" s="88">
        <v>51923</v>
      </c>
      <c r="D81" s="88">
        <v>52104</v>
      </c>
      <c r="E81" s="88">
        <v>52281</v>
      </c>
      <c r="F81" s="221">
        <v>52588</v>
      </c>
      <c r="G81" s="221">
        <v>52571</v>
      </c>
    </row>
    <row r="82" spans="1:7" ht="13.5" customHeight="1">
      <c r="A82" s="81" t="s">
        <v>41</v>
      </c>
      <c r="B82" s="88">
        <v>143313</v>
      </c>
      <c r="C82" s="88">
        <v>144148</v>
      </c>
      <c r="D82" s="88">
        <v>145182</v>
      </c>
      <c r="E82" s="88">
        <v>146173</v>
      </c>
      <c r="F82" s="221">
        <v>147434</v>
      </c>
      <c r="G82" s="221">
        <v>148483</v>
      </c>
    </row>
    <row r="83" spans="1:7" ht="13.5" customHeight="1">
      <c r="A83" s="81" t="s">
        <v>42</v>
      </c>
      <c r="B83" s="88">
        <v>38665</v>
      </c>
      <c r="C83" s="88">
        <v>38951</v>
      </c>
      <c r="D83" s="88">
        <v>39285</v>
      </c>
      <c r="E83" s="88">
        <v>39440</v>
      </c>
      <c r="F83" s="221">
        <v>39654</v>
      </c>
      <c r="G83" s="221">
        <v>39896</v>
      </c>
    </row>
    <row r="84" spans="1:7" ht="18" customHeight="1">
      <c r="A84" s="81" t="s">
        <v>43</v>
      </c>
      <c r="B84" s="88">
        <v>42571</v>
      </c>
      <c r="C84" s="88">
        <v>42657</v>
      </c>
      <c r="D84" s="88">
        <v>42746</v>
      </c>
      <c r="E84" s="88">
        <v>42868</v>
      </c>
      <c r="F84" s="221">
        <v>43030</v>
      </c>
      <c r="G84" s="221">
        <v>43164</v>
      </c>
    </row>
    <row r="85" spans="1:7" ht="13.5" customHeight="1">
      <c r="A85" s="87" t="s">
        <v>44</v>
      </c>
      <c r="B85" s="86">
        <v>75782</v>
      </c>
      <c r="C85" s="86">
        <v>76630</v>
      </c>
      <c r="D85" s="86">
        <v>77369</v>
      </c>
      <c r="E85" s="86">
        <v>77953</v>
      </c>
      <c r="F85" s="221">
        <v>78966</v>
      </c>
      <c r="G85" s="221">
        <v>79892</v>
      </c>
    </row>
    <row r="86" spans="1:7" ht="13">
      <c r="F86" s="82"/>
      <c r="G86" s="82"/>
    </row>
    <row r="87" spans="1:7" ht="13">
      <c r="A87" s="84" t="s">
        <v>258</v>
      </c>
      <c r="B87" s="83"/>
      <c r="F87" s="82"/>
      <c r="G87" s="82"/>
    </row>
    <row r="88" spans="1:7" ht="12.75" customHeight="1">
      <c r="A88" s="599" t="s">
        <v>257</v>
      </c>
      <c r="B88" s="599"/>
      <c r="G88" s="82"/>
    </row>
    <row r="89" spans="1:7" ht="13">
      <c r="A89" s="599"/>
      <c r="B89" s="599"/>
      <c r="G89" s="82"/>
    </row>
    <row r="90" spans="1:7" ht="13">
      <c r="A90" s="599"/>
      <c r="B90" s="599"/>
      <c r="G90" s="82"/>
    </row>
    <row r="91" spans="1:7" ht="13">
      <c r="A91" s="602" t="s">
        <v>256</v>
      </c>
      <c r="B91" s="602"/>
      <c r="G91" s="82"/>
    </row>
    <row r="92" spans="1:7" ht="13">
      <c r="A92" s="599" t="s">
        <v>255</v>
      </c>
      <c r="B92" s="599"/>
      <c r="G92" s="82"/>
    </row>
    <row r="93" spans="1:7" ht="13">
      <c r="A93" s="599"/>
      <c r="B93" s="599"/>
      <c r="G93" s="82"/>
    </row>
    <row r="94" spans="1:7" ht="13">
      <c r="A94" s="599" t="s">
        <v>552</v>
      </c>
      <c r="B94" s="599"/>
      <c r="G94" s="82"/>
    </row>
    <row r="95" spans="1:7" ht="13">
      <c r="A95" s="599"/>
      <c r="B95" s="599"/>
      <c r="G95" s="82"/>
    </row>
    <row r="96" spans="1:7" ht="13">
      <c r="A96" s="85"/>
      <c r="B96" s="85"/>
      <c r="G96" s="82"/>
    </row>
    <row r="97" spans="1:7" ht="13">
      <c r="A97" s="83" t="s">
        <v>254</v>
      </c>
      <c r="B97" s="83"/>
      <c r="G97" s="82"/>
    </row>
    <row r="98" spans="1:7" ht="13">
      <c r="A98" s="84"/>
      <c r="B98" s="83"/>
      <c r="G98" s="82"/>
    </row>
    <row r="99" spans="1:7" ht="13">
      <c r="A99" s="83" t="s">
        <v>253</v>
      </c>
      <c r="B99" s="83"/>
      <c r="G99" s="82"/>
    </row>
    <row r="100" spans="1:7" ht="13">
      <c r="A100" s="84"/>
      <c r="B100" s="83"/>
      <c r="G100" s="82"/>
    </row>
    <row r="101" spans="1:7" ht="13">
      <c r="A101" s="83" t="s">
        <v>252</v>
      </c>
      <c r="B101" s="83"/>
      <c r="G101" s="82"/>
    </row>
    <row r="102" spans="1:7" ht="13.5" customHeight="1">
      <c r="G102" s="82"/>
    </row>
    <row r="103" spans="1:7" ht="13.5" customHeight="1">
      <c r="G103" s="82"/>
    </row>
    <row r="104" spans="1:7" ht="13.5" customHeight="1">
      <c r="G104" s="82"/>
    </row>
    <row r="105" spans="1:7" ht="13.5" customHeight="1">
      <c r="G105" s="82"/>
    </row>
    <row r="106" spans="1:7" ht="13.5" customHeight="1">
      <c r="G106" s="82"/>
    </row>
    <row r="107" spans="1:7" ht="13.5" customHeight="1">
      <c r="G107" s="82"/>
    </row>
    <row r="108" spans="1:7" ht="13.5" customHeight="1">
      <c r="G108" s="82"/>
    </row>
    <row r="109" spans="1:7" ht="13.5" customHeight="1">
      <c r="G109" s="82"/>
    </row>
    <row r="110" spans="1:7" ht="13.5" customHeight="1">
      <c r="G110" s="82"/>
    </row>
    <row r="111" spans="1:7" ht="13.5" customHeight="1">
      <c r="G111" s="82"/>
    </row>
    <row r="112" spans="1:7" ht="13.5" customHeight="1">
      <c r="G112" s="82"/>
    </row>
    <row r="113" spans="7:7" ht="13.5" customHeight="1">
      <c r="G113" s="82"/>
    </row>
    <row r="114" spans="7:7" ht="13.5" customHeight="1">
      <c r="G114" s="82"/>
    </row>
    <row r="115" spans="7:7" ht="13.5" customHeight="1">
      <c r="G115" s="82"/>
    </row>
    <row r="116" spans="7:7" ht="13.5" customHeight="1">
      <c r="G116" s="82"/>
    </row>
    <row r="117" spans="7:7" ht="13.5" customHeight="1">
      <c r="G117" s="82"/>
    </row>
    <row r="118" spans="7:7" ht="13.5" customHeight="1">
      <c r="G118" s="82"/>
    </row>
    <row r="119" spans="7:7" ht="13.5" customHeight="1">
      <c r="G119" s="82"/>
    </row>
    <row r="120" spans="7:7" ht="13.5" customHeight="1">
      <c r="G120" s="82"/>
    </row>
    <row r="121" spans="7:7" ht="13.5" customHeight="1">
      <c r="G121" s="82"/>
    </row>
    <row r="122" spans="7:7" ht="13.5" customHeight="1">
      <c r="G122" s="82"/>
    </row>
    <row r="123" spans="7:7" ht="13.5" customHeight="1">
      <c r="G123" s="82"/>
    </row>
    <row r="124" spans="7:7" ht="13.5" customHeight="1">
      <c r="G124" s="82"/>
    </row>
    <row r="125" spans="7:7" ht="13.5" customHeight="1">
      <c r="G125" s="82"/>
    </row>
    <row r="126" spans="7:7" ht="13.5" customHeight="1">
      <c r="G126" s="82"/>
    </row>
    <row r="127" spans="7:7" ht="13.5" customHeight="1">
      <c r="G127" s="82"/>
    </row>
    <row r="128" spans="7:7" ht="13.5" customHeight="1">
      <c r="G128" s="82"/>
    </row>
    <row r="129" spans="7:7" ht="13.5" customHeight="1">
      <c r="G129" s="82"/>
    </row>
    <row r="130" spans="7:7" ht="13.5" customHeight="1">
      <c r="G130" s="82"/>
    </row>
    <row r="131" spans="7:7" ht="13.5" customHeight="1">
      <c r="G131" s="82"/>
    </row>
    <row r="132" spans="7:7" ht="13.5" customHeight="1">
      <c r="G132" s="82"/>
    </row>
    <row r="133" spans="7:7" ht="13.5" customHeight="1">
      <c r="G133" s="82"/>
    </row>
    <row r="134" spans="7:7" ht="13.5" customHeight="1">
      <c r="G134" s="82"/>
    </row>
    <row r="135" spans="7:7" ht="13.5" customHeight="1">
      <c r="G135" s="82"/>
    </row>
    <row r="136" spans="7:7" ht="13.5" customHeight="1">
      <c r="G136" s="82"/>
    </row>
    <row r="137" spans="7:7" ht="13.5" customHeight="1">
      <c r="G137" s="82"/>
    </row>
    <row r="138" spans="7:7" ht="13.5" customHeight="1">
      <c r="G138" s="82"/>
    </row>
    <row r="139" spans="7:7" ht="13.5" customHeight="1">
      <c r="G139" s="82"/>
    </row>
    <row r="140" spans="7:7" ht="13.5" customHeight="1">
      <c r="G140" s="82"/>
    </row>
    <row r="141" spans="7:7" ht="13.5" customHeight="1">
      <c r="G141" s="82"/>
    </row>
    <row r="142" spans="7:7" ht="13.5" customHeight="1">
      <c r="G142" s="82"/>
    </row>
    <row r="143" spans="7:7" ht="13.5" customHeight="1">
      <c r="G143" s="82"/>
    </row>
    <row r="144" spans="7:7" ht="13.5" customHeight="1">
      <c r="G144" s="82"/>
    </row>
    <row r="145" spans="7:7" ht="13.5" customHeight="1">
      <c r="G145" s="82"/>
    </row>
    <row r="146" spans="7:7" ht="13.5" customHeight="1">
      <c r="G146" s="82"/>
    </row>
    <row r="147" spans="7:7" ht="13.5" customHeight="1">
      <c r="G147" s="82"/>
    </row>
    <row r="148" spans="7:7" ht="13.5" customHeight="1">
      <c r="G148" s="82"/>
    </row>
    <row r="149" spans="7:7" ht="13.5" customHeight="1">
      <c r="G149" s="82"/>
    </row>
    <row r="150" spans="7:7" ht="13.5" customHeight="1">
      <c r="G150" s="82"/>
    </row>
  </sheetData>
  <mergeCells count="11">
    <mergeCell ref="F51:F52"/>
    <mergeCell ref="G51:G52"/>
    <mergeCell ref="E51:E52"/>
    <mergeCell ref="A88:B90"/>
    <mergeCell ref="A91:B91"/>
    <mergeCell ref="D51:D52"/>
    <mergeCell ref="A92:B93"/>
    <mergeCell ref="A94:B95"/>
    <mergeCell ref="A51:A52"/>
    <mergeCell ref="B51:B52"/>
    <mergeCell ref="C51:C52"/>
  </mergeCells>
  <hyperlinks>
    <hyperlink ref="A1" location="Contents!A1" display="Contents" xr:uid="{00000000-0004-0000-5300-000000000000}"/>
  </hyperlinks>
  <pageMargins left="0.75" right="0.75" top="1" bottom="1" header="0.5" footer="0.5"/>
  <pageSetup scale="34"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0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79998168889431442"/>
    <pageSetUpPr autoPageBreaks="0" fitToPage="1"/>
  </sheetPr>
  <dimension ref="A1:P150"/>
  <sheetViews>
    <sheetView showGridLines="0" zoomScaleNormal="100" workbookViewId="0"/>
  </sheetViews>
  <sheetFormatPr defaultColWidth="9.1796875" defaultRowHeight="13.5" customHeight="1"/>
  <cols>
    <col min="1" max="1" width="22.81640625" style="81" customWidth="1"/>
    <col min="2" max="17" width="10.81640625" style="80" customWidth="1"/>
    <col min="18" max="16384" width="9.1796875" style="80"/>
  </cols>
  <sheetData>
    <row r="1" spans="1:16" ht="13.5" customHeight="1">
      <c r="A1" s="7" t="s">
        <v>261</v>
      </c>
      <c r="B1" s="91" t="s">
        <v>262</v>
      </c>
    </row>
    <row r="2" spans="1:16" ht="13.5" customHeight="1">
      <c r="A2"/>
      <c r="B2" s="91" t="s">
        <v>263</v>
      </c>
    </row>
    <row r="3" spans="1:16" ht="13.5" customHeight="1">
      <c r="A3" s="92"/>
      <c r="B3"/>
    </row>
    <row r="4" spans="1:16" ht="13.5" customHeight="1">
      <c r="A4" s="92"/>
      <c r="B4"/>
    </row>
    <row r="5" spans="1:16" ht="13.5" customHeight="1">
      <c r="A5" s="92"/>
      <c r="B5"/>
    </row>
    <row r="6" spans="1:16" ht="13.5" customHeight="1">
      <c r="A6" s="92"/>
      <c r="B6"/>
    </row>
    <row r="7" spans="1:16" ht="13.5" customHeight="1">
      <c r="A7" s="92"/>
      <c r="B7"/>
      <c r="D7" s="222" t="s">
        <v>265</v>
      </c>
      <c r="H7" s="222" t="s">
        <v>266</v>
      </c>
      <c r="L7" s="222" t="s">
        <v>267</v>
      </c>
      <c r="P7" s="222" t="s">
        <v>582</v>
      </c>
    </row>
    <row r="8" spans="1:16" ht="13.5" customHeight="1">
      <c r="A8" s="93" t="s">
        <v>228</v>
      </c>
      <c r="D8" s="94" t="s">
        <v>264</v>
      </c>
      <c r="H8" s="94" t="s">
        <v>264</v>
      </c>
      <c r="L8" s="94" t="s">
        <v>264</v>
      </c>
      <c r="P8" s="94" t="s">
        <v>264</v>
      </c>
    </row>
    <row r="9" spans="1:16" ht="13.5" customHeight="1">
      <c r="A9" s="95" t="s">
        <v>14</v>
      </c>
      <c r="B9" s="385">
        <f>SUM(C9*D9)</f>
        <v>80960.576580000008</v>
      </c>
      <c r="C9" s="391">
        <f t="shared" ref="C9:C40" si="0">VLOOKUP($A9,$A$53:$G$85,3,FALSE)</f>
        <v>106749</v>
      </c>
      <c r="D9" s="96">
        <v>0.75842000000000009</v>
      </c>
      <c r="F9" s="385">
        <f>SUM(G9*H9)</f>
        <v>77187.94144000001</v>
      </c>
      <c r="G9" s="391">
        <f>VLOOKUP($A9,$A$53:$G$85,4,FALSE)</f>
        <v>106802</v>
      </c>
      <c r="H9" s="96">
        <v>0.72272000000000003</v>
      </c>
      <c r="J9" s="385">
        <f>SUM(K9*L9)</f>
        <v>81452.284740000003</v>
      </c>
      <c r="K9" s="391">
        <f>VLOOKUP($A9,$A$53:$G$85,5,FALSE)</f>
        <v>107586</v>
      </c>
      <c r="L9" s="96">
        <v>0.75709000000000004</v>
      </c>
      <c r="N9" s="385">
        <f>SUM(O9*P9)</f>
        <v>86072.938770000008</v>
      </c>
      <c r="O9" s="391">
        <f>VLOOKUP($A9,$A$53:$G$85,6,FALSE)</f>
        <v>108381</v>
      </c>
      <c r="P9" s="96">
        <v>0.79417000000000004</v>
      </c>
    </row>
    <row r="10" spans="1:16" ht="13.5" customHeight="1">
      <c r="A10" s="95" t="s">
        <v>15</v>
      </c>
      <c r="B10" s="385">
        <f t="shared" ref="B10:B46" si="1">SUM(C10*D10)</f>
        <v>66980.554880000011</v>
      </c>
      <c r="C10" s="391">
        <f t="shared" si="0"/>
        <v>110296</v>
      </c>
      <c r="D10" s="96">
        <v>0.60728000000000004</v>
      </c>
      <c r="F10" s="385">
        <f t="shared" ref="F10:F46" si="2">SUM(G10*H10)</f>
        <v>65299.872600000002</v>
      </c>
      <c r="G10" s="391">
        <f t="shared" ref="G10:G40" si="3">VLOOKUP($A10,$A$53:$G$85,4,FALSE)</f>
        <v>110941</v>
      </c>
      <c r="H10" s="96">
        <v>0.58860000000000001</v>
      </c>
      <c r="J10" s="385">
        <f t="shared" ref="J10:J46" si="4">SUM(K10*L10)</f>
        <v>64062.537479999999</v>
      </c>
      <c r="K10" s="391">
        <f t="shared" ref="K10:K40" si="5">VLOOKUP($A10,$A$53:$G$85,5,FALSE)</f>
        <v>111156</v>
      </c>
      <c r="L10" s="96">
        <v>0.57633000000000001</v>
      </c>
      <c r="N10" s="385">
        <f t="shared" ref="N10:N46" si="6">SUM(O10*P10)</f>
        <v>64965.578440000012</v>
      </c>
      <c r="O10" s="391">
        <f t="shared" ref="O10:O40" si="7">VLOOKUP($A10,$A$53:$G$85,6,FALSE)</f>
        <v>112114</v>
      </c>
      <c r="P10" s="96">
        <v>0.57946000000000009</v>
      </c>
    </row>
    <row r="11" spans="1:16" ht="13.5" customHeight="1">
      <c r="A11" s="95" t="s">
        <v>16</v>
      </c>
      <c r="B11" s="385">
        <f t="shared" si="1"/>
        <v>44076.524520000006</v>
      </c>
      <c r="C11" s="391">
        <f t="shared" si="0"/>
        <v>53333</v>
      </c>
      <c r="D11" s="96">
        <v>0.82644000000000006</v>
      </c>
      <c r="F11" s="385">
        <f t="shared" si="2"/>
        <v>46426.502710000008</v>
      </c>
      <c r="G11" s="391">
        <f t="shared" si="3"/>
        <v>53627</v>
      </c>
      <c r="H11" s="96">
        <v>0.86573000000000011</v>
      </c>
      <c r="J11" s="385">
        <f t="shared" si="4"/>
        <v>46347.991040000001</v>
      </c>
      <c r="K11" s="391">
        <f t="shared" si="5"/>
        <v>53888</v>
      </c>
      <c r="L11" s="96">
        <v>0.86008000000000007</v>
      </c>
      <c r="N11" s="385">
        <f t="shared" si="6"/>
        <v>46291.178750000006</v>
      </c>
      <c r="O11" s="391">
        <f t="shared" si="7"/>
        <v>54221</v>
      </c>
      <c r="P11" s="96">
        <v>0.85375000000000012</v>
      </c>
    </row>
    <row r="12" spans="1:16" ht="13.5" customHeight="1">
      <c r="A12" s="95" t="s">
        <v>17</v>
      </c>
      <c r="B12" s="385">
        <f t="shared" si="1"/>
        <v>28969.725600000002</v>
      </c>
      <c r="C12" s="391">
        <f t="shared" si="0"/>
        <v>41040</v>
      </c>
      <c r="D12" s="96">
        <v>0.70589000000000002</v>
      </c>
      <c r="F12" s="385">
        <f t="shared" si="2"/>
        <v>29544.149400000002</v>
      </c>
      <c r="G12" s="391">
        <f t="shared" si="3"/>
        <v>41455</v>
      </c>
      <c r="H12" s="96">
        <v>0.71268000000000009</v>
      </c>
      <c r="J12" s="385">
        <f t="shared" si="4"/>
        <v>30146.364500000003</v>
      </c>
      <c r="K12" s="391">
        <f t="shared" si="5"/>
        <v>41630</v>
      </c>
      <c r="L12" s="96">
        <v>0.72415000000000007</v>
      </c>
      <c r="N12" s="385">
        <f t="shared" si="6"/>
        <v>27899.172180000005</v>
      </c>
      <c r="O12" s="391">
        <f t="shared" si="7"/>
        <v>41789</v>
      </c>
      <c r="P12" s="96">
        <v>0.6676200000000001</v>
      </c>
    </row>
    <row r="13" spans="1:16" ht="13.5" customHeight="1">
      <c r="A13" s="95" t="s">
        <v>18</v>
      </c>
      <c r="B13" s="385">
        <f t="shared" si="1"/>
        <v>18398.568230000001</v>
      </c>
      <c r="C13" s="391">
        <f t="shared" si="0"/>
        <v>23401</v>
      </c>
      <c r="D13" s="96">
        <v>0.7862300000000001</v>
      </c>
      <c r="F13" s="385">
        <f t="shared" si="2"/>
        <v>18991.071110000001</v>
      </c>
      <c r="G13" s="391">
        <f t="shared" si="3"/>
        <v>23563</v>
      </c>
      <c r="H13" s="96">
        <v>0.80597000000000008</v>
      </c>
      <c r="J13" s="385">
        <f t="shared" si="4"/>
        <v>19207.426420000003</v>
      </c>
      <c r="K13" s="391">
        <f t="shared" si="5"/>
        <v>23674</v>
      </c>
      <c r="L13" s="96">
        <v>0.81133000000000011</v>
      </c>
      <c r="N13" s="385">
        <f t="shared" si="6"/>
        <v>18633.005499999999</v>
      </c>
      <c r="O13" s="391">
        <f t="shared" si="7"/>
        <v>23890</v>
      </c>
      <c r="P13" s="96">
        <v>0.77995000000000003</v>
      </c>
    </row>
    <row r="14" spans="1:16" ht="13.5" customHeight="1">
      <c r="A14" s="95" t="s">
        <v>19</v>
      </c>
      <c r="B14" s="385">
        <f t="shared" si="1"/>
        <v>49083.594560000005</v>
      </c>
      <c r="C14" s="391">
        <f t="shared" si="0"/>
        <v>69202</v>
      </c>
      <c r="D14" s="96">
        <v>0.70928000000000002</v>
      </c>
      <c r="F14" s="385">
        <f t="shared" si="2"/>
        <v>45213.786590000003</v>
      </c>
      <c r="G14" s="391">
        <f t="shared" si="3"/>
        <v>69503</v>
      </c>
      <c r="H14" s="96">
        <v>0.65053000000000005</v>
      </c>
      <c r="J14" s="385">
        <f t="shared" si="4"/>
        <v>46197.449540000009</v>
      </c>
      <c r="K14" s="391">
        <f t="shared" si="5"/>
        <v>69586</v>
      </c>
      <c r="L14" s="96">
        <v>0.66389000000000009</v>
      </c>
      <c r="N14" s="385">
        <f t="shared" si="6"/>
        <v>50561.048580000002</v>
      </c>
      <c r="O14" s="391">
        <f t="shared" si="7"/>
        <v>69699</v>
      </c>
      <c r="P14" s="96">
        <v>0.72542000000000006</v>
      </c>
    </row>
    <row r="15" spans="1:16" ht="13.5" customHeight="1">
      <c r="A15" s="95" t="s">
        <v>20</v>
      </c>
      <c r="B15" s="385">
        <f t="shared" si="1"/>
        <v>61572.659700000011</v>
      </c>
      <c r="C15" s="391">
        <f t="shared" si="0"/>
        <v>69635</v>
      </c>
      <c r="D15" s="96">
        <v>0.88422000000000012</v>
      </c>
      <c r="F15" s="385">
        <f t="shared" si="2"/>
        <v>61140.868670000011</v>
      </c>
      <c r="G15" s="391">
        <f t="shared" si="3"/>
        <v>70049</v>
      </c>
      <c r="H15" s="96">
        <v>0.87283000000000011</v>
      </c>
      <c r="J15" s="385">
        <f t="shared" si="4"/>
        <v>62002.768870000007</v>
      </c>
      <c r="K15" s="391">
        <f t="shared" si="5"/>
        <v>70337</v>
      </c>
      <c r="L15" s="96">
        <v>0.88151000000000013</v>
      </c>
      <c r="N15" s="385">
        <f t="shared" si="6"/>
        <v>62349.11795</v>
      </c>
      <c r="O15" s="391">
        <f t="shared" si="7"/>
        <v>70685</v>
      </c>
      <c r="P15" s="96">
        <v>0.88207000000000002</v>
      </c>
    </row>
    <row r="16" spans="1:16" ht="13.5" customHeight="1">
      <c r="A16" s="95" t="s">
        <v>21</v>
      </c>
      <c r="B16" s="385">
        <f t="shared" si="1"/>
        <v>45655.452160000008</v>
      </c>
      <c r="C16" s="391">
        <f t="shared" si="0"/>
        <v>54748</v>
      </c>
      <c r="D16" s="96">
        <v>0.83392000000000011</v>
      </c>
      <c r="F16" s="385">
        <f t="shared" si="2"/>
        <v>42006.927690000004</v>
      </c>
      <c r="G16" s="391">
        <f t="shared" si="3"/>
        <v>54873</v>
      </c>
      <c r="H16" s="96">
        <v>0.76553000000000004</v>
      </c>
      <c r="J16" s="385">
        <f t="shared" si="4"/>
        <v>37310.745420000007</v>
      </c>
      <c r="K16" s="391">
        <f t="shared" si="5"/>
        <v>55107</v>
      </c>
      <c r="L16" s="96">
        <v>0.67706000000000011</v>
      </c>
      <c r="N16" s="385">
        <f t="shared" si="6"/>
        <v>33331.342730000004</v>
      </c>
      <c r="O16" s="391">
        <f t="shared" si="7"/>
        <v>55387</v>
      </c>
      <c r="P16" s="96">
        <v>0.60179000000000005</v>
      </c>
    </row>
    <row r="17" spans="1:16" ht="13.5" customHeight="1">
      <c r="A17" s="95" t="s">
        <v>23</v>
      </c>
      <c r="B17" s="385">
        <f t="shared" si="1"/>
        <v>34247.304680000008</v>
      </c>
      <c r="C17" s="391">
        <f t="shared" si="0"/>
        <v>44749</v>
      </c>
      <c r="D17" s="96">
        <v>0.76532000000000011</v>
      </c>
      <c r="F17" s="385">
        <f t="shared" si="2"/>
        <v>33673.592329999999</v>
      </c>
      <c r="G17" s="391">
        <f t="shared" si="3"/>
        <v>45301</v>
      </c>
      <c r="H17" s="96">
        <v>0.74333000000000005</v>
      </c>
      <c r="J17" s="385">
        <f t="shared" si="4"/>
        <v>33239.925000000003</v>
      </c>
      <c r="K17" s="391">
        <f t="shared" si="5"/>
        <v>45975</v>
      </c>
      <c r="L17" s="96">
        <v>0.72300000000000009</v>
      </c>
      <c r="N17" s="385">
        <f t="shared" si="6"/>
        <v>33865.010260000003</v>
      </c>
      <c r="O17" s="391">
        <f t="shared" si="7"/>
        <v>46771</v>
      </c>
      <c r="P17" s="96">
        <v>0.72406000000000004</v>
      </c>
    </row>
    <row r="18" spans="1:16" ht="13.5" customHeight="1">
      <c r="A18" s="95" t="s">
        <v>189</v>
      </c>
      <c r="B18" s="385">
        <f t="shared" si="1"/>
        <v>170751.39868000001</v>
      </c>
      <c r="C18" s="391">
        <f t="shared" si="0"/>
        <v>231383</v>
      </c>
      <c r="D18" s="96">
        <v>0.73796000000000006</v>
      </c>
      <c r="F18" s="385">
        <f t="shared" si="2"/>
        <v>172441.02148</v>
      </c>
      <c r="G18" s="391">
        <f t="shared" si="3"/>
        <v>233369</v>
      </c>
      <c r="H18" s="96">
        <v>0.73892000000000002</v>
      </c>
      <c r="J18" s="385">
        <f t="shared" si="4"/>
        <v>176413.29303999999</v>
      </c>
      <c r="K18" s="391">
        <f t="shared" si="5"/>
        <v>235771</v>
      </c>
      <c r="L18" s="96">
        <v>0.74824000000000002</v>
      </c>
      <c r="N18" s="385">
        <f t="shared" si="6"/>
        <v>174775.07688000001</v>
      </c>
      <c r="O18" s="391">
        <f t="shared" si="7"/>
        <v>238269</v>
      </c>
      <c r="P18" s="96">
        <v>0.73352000000000006</v>
      </c>
    </row>
    <row r="19" spans="1:16" ht="13.5" customHeight="1">
      <c r="A19" s="95" t="s">
        <v>32</v>
      </c>
      <c r="B19" s="385">
        <f t="shared" si="1"/>
        <v>8709.0294600000016</v>
      </c>
      <c r="C19" s="391">
        <f t="shared" si="0"/>
        <v>12951</v>
      </c>
      <c r="D19" s="96">
        <v>0.67246000000000006</v>
      </c>
      <c r="F19" s="385">
        <f t="shared" si="2"/>
        <v>9533.9627500000006</v>
      </c>
      <c r="G19" s="391">
        <f t="shared" si="3"/>
        <v>12805</v>
      </c>
      <c r="H19" s="96">
        <v>0.74455000000000005</v>
      </c>
      <c r="J19" s="385">
        <f t="shared" si="4"/>
        <v>8524.3170100000007</v>
      </c>
      <c r="K19" s="391">
        <f t="shared" si="5"/>
        <v>12773</v>
      </c>
      <c r="L19" s="96">
        <v>0.66737000000000002</v>
      </c>
      <c r="N19" s="385">
        <f t="shared" si="6"/>
        <v>8145.4900900000002</v>
      </c>
      <c r="O19" s="391">
        <f t="shared" si="7"/>
        <v>12833</v>
      </c>
      <c r="P19" s="96">
        <v>0.63473000000000002</v>
      </c>
    </row>
    <row r="20" spans="1:16" ht="13.5" customHeight="1">
      <c r="A20" s="95" t="s">
        <v>25</v>
      </c>
      <c r="B20" s="385">
        <f t="shared" si="1"/>
        <v>54099.295680000003</v>
      </c>
      <c r="C20" s="391">
        <f t="shared" si="0"/>
        <v>71072</v>
      </c>
      <c r="D20" s="96">
        <v>0.76119000000000003</v>
      </c>
      <c r="F20" s="385">
        <f t="shared" si="2"/>
        <v>54568</v>
      </c>
      <c r="G20" s="391">
        <f t="shared" si="3"/>
        <v>71800</v>
      </c>
      <c r="H20" s="96">
        <v>0.76</v>
      </c>
      <c r="J20" s="385">
        <f t="shared" si="4"/>
        <v>54758.873910000002</v>
      </c>
      <c r="K20" s="391">
        <f t="shared" si="5"/>
        <v>72267</v>
      </c>
      <c r="L20" s="96">
        <v>0.75773000000000001</v>
      </c>
      <c r="N20" s="385">
        <f t="shared" si="6"/>
        <v>53202.444479999998</v>
      </c>
      <c r="O20" s="391">
        <f t="shared" si="7"/>
        <v>72672</v>
      </c>
      <c r="P20" s="96">
        <v>0.73209000000000002</v>
      </c>
    </row>
    <row r="21" spans="1:16" ht="13.5" customHeight="1">
      <c r="A21" s="95" t="s">
        <v>26</v>
      </c>
      <c r="B21" s="385">
        <f t="shared" si="1"/>
        <v>97257.737840000002</v>
      </c>
      <c r="C21" s="391">
        <f t="shared" si="0"/>
        <v>165833</v>
      </c>
      <c r="D21" s="96">
        <v>0.58648</v>
      </c>
      <c r="F21" s="385">
        <f t="shared" si="2"/>
        <v>94369.131200000003</v>
      </c>
      <c r="G21" s="391">
        <f t="shared" si="3"/>
        <v>166960</v>
      </c>
      <c r="H21" s="96">
        <v>0.56522000000000006</v>
      </c>
      <c r="J21" s="385">
        <f t="shared" si="4"/>
        <v>97137.130160000015</v>
      </c>
      <c r="K21" s="391">
        <f t="shared" si="5"/>
        <v>167944</v>
      </c>
      <c r="L21" s="96">
        <v>0.57839000000000007</v>
      </c>
      <c r="N21" s="385">
        <f t="shared" si="6"/>
        <v>95411.871029999995</v>
      </c>
      <c r="O21" s="391">
        <f t="shared" si="7"/>
        <v>169239</v>
      </c>
      <c r="P21" s="96">
        <v>0.56376999999999999</v>
      </c>
    </row>
    <row r="22" spans="1:16" ht="13.5" customHeight="1">
      <c r="A22" s="95" t="s">
        <v>28</v>
      </c>
      <c r="B22" s="385">
        <f t="shared" si="1"/>
        <v>70133.293080000003</v>
      </c>
      <c r="C22" s="391">
        <f t="shared" si="0"/>
        <v>107573</v>
      </c>
      <c r="D22" s="96">
        <v>0.65196000000000009</v>
      </c>
      <c r="F22" s="385">
        <f t="shared" si="2"/>
        <v>72129.622100000008</v>
      </c>
      <c r="G22" s="391">
        <f t="shared" si="3"/>
        <v>108319</v>
      </c>
      <c r="H22" s="96">
        <v>0.66590000000000005</v>
      </c>
      <c r="J22" s="385">
        <f t="shared" si="4"/>
        <v>79079.180179999996</v>
      </c>
      <c r="K22" s="391">
        <f t="shared" si="5"/>
        <v>108878</v>
      </c>
      <c r="L22" s="96">
        <v>0.72631000000000001</v>
      </c>
      <c r="N22" s="385">
        <f t="shared" si="6"/>
        <v>85190.940600000002</v>
      </c>
      <c r="O22" s="391">
        <f t="shared" si="7"/>
        <v>109514</v>
      </c>
      <c r="P22" s="96">
        <v>0.77790000000000004</v>
      </c>
    </row>
    <row r="23" spans="1:16" ht="13.5" customHeight="1">
      <c r="A23" s="95" t="s">
        <v>30</v>
      </c>
      <c r="B23" s="385">
        <f t="shared" si="1"/>
        <v>28499.35658</v>
      </c>
      <c r="C23" s="391">
        <f t="shared" si="0"/>
        <v>37766</v>
      </c>
      <c r="D23" s="96">
        <v>0.75463000000000002</v>
      </c>
      <c r="F23" s="385">
        <f t="shared" si="2"/>
        <v>28753.497180000002</v>
      </c>
      <c r="G23" s="391">
        <f t="shared" si="3"/>
        <v>38557</v>
      </c>
      <c r="H23" s="96">
        <v>0.74574000000000007</v>
      </c>
      <c r="J23" s="385">
        <f t="shared" si="4"/>
        <v>29859.866500000004</v>
      </c>
      <c r="K23" s="391">
        <f t="shared" si="5"/>
        <v>39122</v>
      </c>
      <c r="L23" s="96">
        <v>0.7632500000000001</v>
      </c>
      <c r="N23" s="385">
        <f t="shared" si="6"/>
        <v>32007.712810000005</v>
      </c>
      <c r="O23" s="391">
        <f t="shared" si="7"/>
        <v>39733</v>
      </c>
      <c r="P23" s="96">
        <v>0.80557000000000012</v>
      </c>
    </row>
    <row r="24" spans="1:16" ht="13.5" customHeight="1">
      <c r="A24" s="95" t="s">
        <v>31</v>
      </c>
      <c r="B24" s="385">
        <f t="shared" si="1"/>
        <v>25208.490360000003</v>
      </c>
      <c r="C24" s="391">
        <f t="shared" si="0"/>
        <v>41961</v>
      </c>
      <c r="D24" s="96">
        <v>0.60076000000000007</v>
      </c>
      <c r="F24" s="385">
        <f t="shared" si="2"/>
        <v>25203.736630000003</v>
      </c>
      <c r="G24" s="391">
        <f t="shared" si="3"/>
        <v>42269</v>
      </c>
      <c r="H24" s="96">
        <v>0.59627000000000008</v>
      </c>
      <c r="J24" s="385">
        <f t="shared" si="4"/>
        <v>28325.219020000004</v>
      </c>
      <c r="K24" s="391">
        <f t="shared" si="5"/>
        <v>42554</v>
      </c>
      <c r="L24" s="96">
        <v>0.66563000000000005</v>
      </c>
      <c r="N24" s="385">
        <f t="shared" si="6"/>
        <v>28569.099400000003</v>
      </c>
      <c r="O24" s="391">
        <f t="shared" si="7"/>
        <v>42932</v>
      </c>
      <c r="P24" s="96">
        <v>0.6654500000000001</v>
      </c>
    </row>
    <row r="25" spans="1:16" ht="13.5" customHeight="1">
      <c r="A25" s="95" t="s">
        <v>33</v>
      </c>
      <c r="B25" s="385">
        <f t="shared" si="1"/>
        <v>45907.087200000009</v>
      </c>
      <c r="C25" s="391">
        <f t="shared" si="0"/>
        <v>63440</v>
      </c>
      <c r="D25" s="96">
        <v>0.72363000000000011</v>
      </c>
      <c r="F25" s="385">
        <f t="shared" si="2"/>
        <v>41011.047000000006</v>
      </c>
      <c r="G25" s="391">
        <f t="shared" si="3"/>
        <v>63756</v>
      </c>
      <c r="H25" s="96">
        <v>0.6432500000000001</v>
      </c>
      <c r="J25" s="385">
        <f t="shared" si="4"/>
        <v>36368.146050000003</v>
      </c>
      <c r="K25" s="391">
        <f t="shared" si="5"/>
        <v>63935</v>
      </c>
      <c r="L25" s="96">
        <v>0.56883000000000006</v>
      </c>
      <c r="N25" s="385">
        <f t="shared" si="6"/>
        <v>33911.4594</v>
      </c>
      <c r="O25" s="391">
        <f t="shared" si="7"/>
        <v>64140</v>
      </c>
      <c r="P25" s="96">
        <v>0.52871000000000001</v>
      </c>
    </row>
    <row r="26" spans="1:16" ht="13.5" customHeight="1">
      <c r="A26" s="95" t="s">
        <v>35</v>
      </c>
      <c r="B26" s="385">
        <f t="shared" si="1"/>
        <v>6564.1476800000009</v>
      </c>
      <c r="C26" s="391">
        <f t="shared" si="0"/>
        <v>10256</v>
      </c>
      <c r="D26" s="96">
        <v>0.6400300000000001</v>
      </c>
      <c r="F26" s="385">
        <f t="shared" si="2"/>
        <v>6449.6042500000012</v>
      </c>
      <c r="G26" s="391">
        <f t="shared" si="3"/>
        <v>10385</v>
      </c>
      <c r="H26" s="96">
        <v>0.6210500000000001</v>
      </c>
      <c r="J26" s="385">
        <f t="shared" si="4"/>
        <v>6227.7466800000011</v>
      </c>
      <c r="K26" s="391">
        <f t="shared" si="5"/>
        <v>10506</v>
      </c>
      <c r="L26" s="96">
        <v>0.59278000000000008</v>
      </c>
      <c r="N26" s="385">
        <f t="shared" si="6"/>
        <v>6278.747550000001</v>
      </c>
      <c r="O26" s="391">
        <f t="shared" si="7"/>
        <v>10589</v>
      </c>
      <c r="P26" s="96">
        <v>0.59295000000000009</v>
      </c>
    </row>
    <row r="27" spans="1:16" ht="13.5" customHeight="1">
      <c r="A27" s="95" t="s">
        <v>36</v>
      </c>
      <c r="B27" s="385">
        <f t="shared" si="1"/>
        <v>43640.477370000001</v>
      </c>
      <c r="C27" s="391">
        <f t="shared" si="0"/>
        <v>67101</v>
      </c>
      <c r="D27" s="96">
        <v>0.65037</v>
      </c>
      <c r="F27" s="385">
        <f t="shared" si="2"/>
        <v>43161.245580000003</v>
      </c>
      <c r="G27" s="391">
        <f t="shared" si="3"/>
        <v>67618</v>
      </c>
      <c r="H27" s="96">
        <v>0.63831000000000004</v>
      </c>
      <c r="J27" s="385">
        <f t="shared" si="4"/>
        <v>46504.898280000001</v>
      </c>
      <c r="K27" s="391">
        <f t="shared" si="5"/>
        <v>68196</v>
      </c>
      <c r="L27" s="96">
        <v>0.68193000000000004</v>
      </c>
      <c r="N27" s="385">
        <f t="shared" si="6"/>
        <v>53803.019160000003</v>
      </c>
      <c r="O27" s="391">
        <f t="shared" si="7"/>
        <v>69003</v>
      </c>
      <c r="P27" s="96">
        <v>0.77972000000000008</v>
      </c>
    </row>
    <row r="28" spans="1:16" ht="13.5" customHeight="1">
      <c r="A28" s="95" t="s">
        <v>38</v>
      </c>
      <c r="B28" s="385">
        <f t="shared" si="1"/>
        <v>42386.845350000003</v>
      </c>
      <c r="C28" s="391">
        <f t="shared" si="0"/>
        <v>53787</v>
      </c>
      <c r="D28" s="96">
        <v>0.78805000000000003</v>
      </c>
      <c r="F28" s="385">
        <f t="shared" si="2"/>
        <v>41769.459900000009</v>
      </c>
      <c r="G28" s="391">
        <f t="shared" si="3"/>
        <v>54306</v>
      </c>
      <c r="H28" s="96">
        <v>0.76915000000000011</v>
      </c>
      <c r="J28" s="385">
        <f t="shared" si="4"/>
        <v>39804.741889999998</v>
      </c>
      <c r="K28" s="391">
        <f t="shared" si="5"/>
        <v>54413</v>
      </c>
      <c r="L28" s="96">
        <v>0.73153000000000001</v>
      </c>
      <c r="N28" s="385">
        <f t="shared" si="6"/>
        <v>40477.062700000002</v>
      </c>
      <c r="O28" s="391">
        <f t="shared" si="7"/>
        <v>54715</v>
      </c>
      <c r="P28" s="96">
        <v>0.7397800000000001</v>
      </c>
    </row>
    <row r="29" spans="1:16" ht="13.5" customHeight="1">
      <c r="A29" s="95" t="s">
        <v>39</v>
      </c>
      <c r="B29" s="385">
        <f t="shared" si="1"/>
        <v>6094.3227800000004</v>
      </c>
      <c r="C29" s="391">
        <f t="shared" si="0"/>
        <v>10283</v>
      </c>
      <c r="D29" s="96">
        <v>0.59266000000000008</v>
      </c>
      <c r="F29" s="385">
        <f t="shared" si="2"/>
        <v>5583.2093100000002</v>
      </c>
      <c r="G29" s="391">
        <f t="shared" si="3"/>
        <v>10341</v>
      </c>
      <c r="H29" s="96">
        <v>0.53991</v>
      </c>
      <c r="J29" s="385">
        <f t="shared" si="4"/>
        <v>5738.4060799999997</v>
      </c>
      <c r="K29" s="391">
        <f t="shared" si="5"/>
        <v>10384</v>
      </c>
      <c r="L29" s="96">
        <v>0.55262</v>
      </c>
      <c r="N29" s="385">
        <f t="shared" si="6"/>
        <v>6160.6802400000006</v>
      </c>
      <c r="O29" s="391">
        <f t="shared" si="7"/>
        <v>10439</v>
      </c>
      <c r="P29" s="96">
        <v>0.59016000000000002</v>
      </c>
    </row>
    <row r="30" spans="1:16" ht="13.5" customHeight="1">
      <c r="A30" s="95" t="s">
        <v>40</v>
      </c>
      <c r="B30" s="385">
        <f t="shared" si="1"/>
        <v>35331.005350000007</v>
      </c>
      <c r="C30" s="391">
        <f t="shared" si="0"/>
        <v>51923</v>
      </c>
      <c r="D30" s="96">
        <v>0.68045000000000011</v>
      </c>
      <c r="F30" s="385">
        <f t="shared" si="2"/>
        <v>33001.631520000003</v>
      </c>
      <c r="G30" s="391">
        <f t="shared" si="3"/>
        <v>52104</v>
      </c>
      <c r="H30" s="96">
        <v>0.63338000000000005</v>
      </c>
      <c r="J30" s="385">
        <f t="shared" si="4"/>
        <v>30410.289270000001</v>
      </c>
      <c r="K30" s="391">
        <f t="shared" si="5"/>
        <v>52281</v>
      </c>
      <c r="L30" s="96">
        <v>0.58167000000000002</v>
      </c>
      <c r="N30" s="385">
        <f t="shared" si="6"/>
        <v>29845.793520000003</v>
      </c>
      <c r="O30" s="391">
        <f t="shared" si="7"/>
        <v>52588</v>
      </c>
      <c r="P30" s="96">
        <v>0.56754000000000004</v>
      </c>
    </row>
    <row r="31" spans="1:16" ht="13.5" customHeight="1">
      <c r="A31" s="95" t="s">
        <v>42</v>
      </c>
      <c r="B31" s="385">
        <f t="shared" si="1"/>
        <v>29690.789260000001</v>
      </c>
      <c r="C31" s="391">
        <f t="shared" si="0"/>
        <v>38951</v>
      </c>
      <c r="D31" s="96">
        <v>0.76226000000000005</v>
      </c>
      <c r="F31" s="385">
        <f t="shared" si="2"/>
        <v>29000.579850000002</v>
      </c>
      <c r="G31" s="391">
        <f t="shared" si="3"/>
        <v>39285</v>
      </c>
      <c r="H31" s="96">
        <v>0.73821000000000003</v>
      </c>
      <c r="J31" s="385">
        <f t="shared" si="4"/>
        <v>29432.100000000002</v>
      </c>
      <c r="K31" s="391">
        <f t="shared" si="5"/>
        <v>39440</v>
      </c>
      <c r="L31" s="96">
        <v>0.74625000000000008</v>
      </c>
      <c r="N31" s="385">
        <f t="shared" si="6"/>
        <v>28380.764340000002</v>
      </c>
      <c r="O31" s="391">
        <f t="shared" si="7"/>
        <v>39654</v>
      </c>
      <c r="P31" s="96">
        <v>0.71571000000000007</v>
      </c>
    </row>
    <row r="32" spans="1:16" ht="13.5" customHeight="1">
      <c r="A32" s="95" t="s">
        <v>22</v>
      </c>
      <c r="B32" s="385">
        <f t="shared" ref="B32:B38" si="8">SUM(C32*D32)</f>
        <v>33259.69</v>
      </c>
      <c r="C32" s="391">
        <f t="shared" si="0"/>
        <v>45350</v>
      </c>
      <c r="D32" s="96">
        <v>0.73340000000000005</v>
      </c>
      <c r="F32" s="385">
        <f t="shared" ref="F32:F38" si="9">SUM(G32*H32)</f>
        <v>33642.917700000005</v>
      </c>
      <c r="G32" s="391">
        <f t="shared" si="3"/>
        <v>45690</v>
      </c>
      <c r="H32" s="96">
        <v>0.73633000000000004</v>
      </c>
      <c r="J32" s="385">
        <f t="shared" ref="J32:J38" si="10">SUM(K32*L32)</f>
        <v>35032.247370000005</v>
      </c>
      <c r="K32" s="391">
        <f t="shared" si="5"/>
        <v>46023</v>
      </c>
      <c r="L32" s="96">
        <v>0.76119000000000003</v>
      </c>
      <c r="N32" s="385">
        <f t="shared" ref="N32:N38" si="11">SUM(O32*P32)</f>
        <v>37310.618800000004</v>
      </c>
      <c r="O32" s="391">
        <f t="shared" si="7"/>
        <v>46228</v>
      </c>
      <c r="P32" s="96">
        <v>0.80710000000000004</v>
      </c>
    </row>
    <row r="33" spans="1:16" ht="13.5" customHeight="1">
      <c r="A33" s="95" t="s">
        <v>24</v>
      </c>
      <c r="B33" s="385">
        <f t="shared" si="8"/>
        <v>29058.823390000001</v>
      </c>
      <c r="C33" s="391">
        <f t="shared" si="0"/>
        <v>38581</v>
      </c>
      <c r="D33" s="96">
        <v>0.75319000000000003</v>
      </c>
      <c r="F33" s="385">
        <f t="shared" si="9"/>
        <v>27523.765429999999</v>
      </c>
      <c r="G33" s="391">
        <f t="shared" si="3"/>
        <v>38899</v>
      </c>
      <c r="H33" s="96">
        <v>0.70757000000000003</v>
      </c>
      <c r="J33" s="385">
        <f t="shared" si="10"/>
        <v>26293.872720000003</v>
      </c>
      <c r="K33" s="391">
        <f t="shared" si="5"/>
        <v>39108</v>
      </c>
      <c r="L33" s="96">
        <v>0.67234000000000005</v>
      </c>
      <c r="N33" s="385">
        <f t="shared" si="11"/>
        <v>25971.241050000004</v>
      </c>
      <c r="O33" s="391">
        <f t="shared" si="7"/>
        <v>39345</v>
      </c>
      <c r="P33" s="96">
        <v>0.66009000000000007</v>
      </c>
    </row>
    <row r="34" spans="1:16" ht="13.5" customHeight="1">
      <c r="A34" s="95" t="s">
        <v>27</v>
      </c>
      <c r="B34" s="385">
        <f t="shared" si="8"/>
        <v>203077.06628</v>
      </c>
      <c r="C34" s="391">
        <f t="shared" si="0"/>
        <v>289399</v>
      </c>
      <c r="D34" s="96">
        <v>0.70172000000000001</v>
      </c>
      <c r="F34" s="385">
        <f t="shared" si="9"/>
        <v>207169.07860000001</v>
      </c>
      <c r="G34" s="391">
        <f t="shared" si="3"/>
        <v>291115</v>
      </c>
      <c r="H34" s="96">
        <v>0.71164000000000005</v>
      </c>
      <c r="J34" s="385">
        <f t="shared" si="10"/>
        <v>224690.42534000002</v>
      </c>
      <c r="K34" s="391">
        <f t="shared" si="5"/>
        <v>292619</v>
      </c>
      <c r="L34" s="96">
        <v>0.7678600000000001</v>
      </c>
      <c r="N34" s="385">
        <f t="shared" si="11"/>
        <v>234872.65840000001</v>
      </c>
      <c r="O34" s="391">
        <f t="shared" si="7"/>
        <v>294622</v>
      </c>
      <c r="P34" s="96">
        <v>0.79720000000000002</v>
      </c>
    </row>
    <row r="35" spans="1:16" ht="13.5" customHeight="1">
      <c r="A35" s="95" t="s">
        <v>29</v>
      </c>
      <c r="B35" s="385">
        <f t="shared" si="8"/>
        <v>27123.561040000001</v>
      </c>
      <c r="C35" s="391">
        <f t="shared" si="0"/>
        <v>37586</v>
      </c>
      <c r="D35" s="96">
        <v>0.72164000000000006</v>
      </c>
      <c r="F35" s="385">
        <f t="shared" si="9"/>
        <v>25523.612900000004</v>
      </c>
      <c r="G35" s="391">
        <f t="shared" si="3"/>
        <v>37651</v>
      </c>
      <c r="H35" s="96">
        <v>0.67790000000000006</v>
      </c>
      <c r="J35" s="385">
        <f t="shared" si="10"/>
        <v>24742.277600000001</v>
      </c>
      <c r="K35" s="391">
        <f t="shared" si="5"/>
        <v>37640</v>
      </c>
      <c r="L35" s="96">
        <v>0.65734000000000004</v>
      </c>
      <c r="N35" s="385">
        <f t="shared" si="11"/>
        <v>24970.806180000003</v>
      </c>
      <c r="O35" s="391">
        <f t="shared" si="7"/>
        <v>37614</v>
      </c>
      <c r="P35" s="96">
        <v>0.66387000000000007</v>
      </c>
    </row>
    <row r="36" spans="1:16" ht="13.5" customHeight="1">
      <c r="A36" s="95" t="s">
        <v>34</v>
      </c>
      <c r="B36" s="385">
        <f t="shared" si="8"/>
        <v>102749.73576000001</v>
      </c>
      <c r="C36" s="391">
        <f t="shared" si="0"/>
        <v>150364</v>
      </c>
      <c r="D36" s="96">
        <v>0.68334000000000006</v>
      </c>
      <c r="F36" s="385">
        <f t="shared" si="9"/>
        <v>97771.588650000005</v>
      </c>
      <c r="G36" s="391">
        <f t="shared" si="3"/>
        <v>151155</v>
      </c>
      <c r="H36" s="96">
        <v>0.64683000000000002</v>
      </c>
      <c r="J36" s="385">
        <f t="shared" si="10"/>
        <v>101871.81696000001</v>
      </c>
      <c r="K36" s="391">
        <f t="shared" si="5"/>
        <v>151744</v>
      </c>
      <c r="L36" s="96">
        <v>0.67134000000000005</v>
      </c>
      <c r="N36" s="385">
        <f t="shared" si="11"/>
        <v>109365.65706000001</v>
      </c>
      <c r="O36" s="391">
        <f t="shared" si="7"/>
        <v>152443</v>
      </c>
      <c r="P36" s="96">
        <v>0.71742000000000006</v>
      </c>
    </row>
    <row r="37" spans="1:16" ht="13.5" customHeight="1">
      <c r="A37" s="95" t="s">
        <v>37</v>
      </c>
      <c r="B37" s="385">
        <f t="shared" si="8"/>
        <v>62379.31975000001</v>
      </c>
      <c r="C37" s="391">
        <f t="shared" si="0"/>
        <v>84025</v>
      </c>
      <c r="D37" s="96">
        <v>0.74239000000000011</v>
      </c>
      <c r="F37" s="385">
        <f t="shared" si="9"/>
        <v>58673.471640000003</v>
      </c>
      <c r="G37" s="391">
        <f t="shared" si="3"/>
        <v>84938</v>
      </c>
      <c r="H37" s="96">
        <v>0.69078000000000006</v>
      </c>
      <c r="J37" s="385">
        <f t="shared" si="10"/>
        <v>55671.656150000003</v>
      </c>
      <c r="K37" s="391">
        <f t="shared" si="5"/>
        <v>85745</v>
      </c>
      <c r="L37" s="96">
        <v>0.64927000000000001</v>
      </c>
      <c r="N37" s="385">
        <f t="shared" si="11"/>
        <v>53750.394640000006</v>
      </c>
      <c r="O37" s="391">
        <f t="shared" si="7"/>
        <v>86683</v>
      </c>
      <c r="P37" s="96">
        <v>0.62008000000000008</v>
      </c>
    </row>
    <row r="38" spans="1:16" ht="13.5" customHeight="1">
      <c r="A38" s="95" t="s">
        <v>41</v>
      </c>
      <c r="B38" s="385">
        <f t="shared" si="8"/>
        <v>110613.40928000001</v>
      </c>
      <c r="C38" s="391">
        <f t="shared" si="0"/>
        <v>144148</v>
      </c>
      <c r="D38" s="96">
        <v>0.76736000000000004</v>
      </c>
      <c r="F38" s="385">
        <f t="shared" si="9"/>
        <v>107778.76134000001</v>
      </c>
      <c r="G38" s="391">
        <f t="shared" si="3"/>
        <v>145182</v>
      </c>
      <c r="H38" s="96">
        <v>0.74237000000000009</v>
      </c>
      <c r="J38" s="385">
        <f t="shared" si="10"/>
        <v>104832.35214</v>
      </c>
      <c r="K38" s="391">
        <f t="shared" si="5"/>
        <v>146173</v>
      </c>
      <c r="L38" s="96">
        <v>0.71718000000000004</v>
      </c>
      <c r="N38" s="385">
        <f t="shared" si="11"/>
        <v>100586.8465</v>
      </c>
      <c r="O38" s="391">
        <f t="shared" si="7"/>
        <v>147434</v>
      </c>
      <c r="P38" s="96">
        <v>0.68225000000000002</v>
      </c>
    </row>
    <row r="39" spans="1:16" ht="13.5" customHeight="1">
      <c r="A39" s="95" t="s">
        <v>43</v>
      </c>
      <c r="B39" s="385">
        <f t="shared" si="1"/>
        <v>31670.263080000004</v>
      </c>
      <c r="C39" s="391">
        <f t="shared" si="0"/>
        <v>42657</v>
      </c>
      <c r="D39" s="96">
        <v>0.7424400000000001</v>
      </c>
      <c r="F39" s="385">
        <f t="shared" si="2"/>
        <v>31481.146620000003</v>
      </c>
      <c r="G39" s="391">
        <f t="shared" si="3"/>
        <v>42746</v>
      </c>
      <c r="H39" s="96">
        <v>0.73647000000000007</v>
      </c>
      <c r="J39" s="385">
        <f t="shared" si="4"/>
        <v>32132.138080000004</v>
      </c>
      <c r="K39" s="391">
        <f t="shared" si="5"/>
        <v>42868</v>
      </c>
      <c r="L39" s="96">
        <v>0.74956000000000012</v>
      </c>
      <c r="N39" s="385">
        <f t="shared" si="6"/>
        <v>34078.899400000002</v>
      </c>
      <c r="O39" s="391">
        <f t="shared" si="7"/>
        <v>43030</v>
      </c>
      <c r="P39" s="96">
        <v>0.79198000000000002</v>
      </c>
    </row>
    <row r="40" spans="1:16" ht="13.5" customHeight="1">
      <c r="A40" s="95" t="s">
        <v>44</v>
      </c>
      <c r="B40" s="385">
        <f t="shared" si="1"/>
        <v>49816.396700000005</v>
      </c>
      <c r="C40" s="391">
        <f t="shared" si="0"/>
        <v>76630</v>
      </c>
      <c r="D40" s="96">
        <v>0.65009000000000006</v>
      </c>
      <c r="F40" s="385">
        <f t="shared" si="2"/>
        <v>48026.806750000003</v>
      </c>
      <c r="G40" s="391">
        <f t="shared" si="3"/>
        <v>77369</v>
      </c>
      <c r="H40" s="96">
        <v>0.62075000000000002</v>
      </c>
      <c r="J40" s="385">
        <f t="shared" si="4"/>
        <v>47453.888749999998</v>
      </c>
      <c r="K40" s="391">
        <f t="shared" si="5"/>
        <v>77953</v>
      </c>
      <c r="L40" s="96">
        <v>0.60875000000000001</v>
      </c>
      <c r="N40" s="385">
        <f t="shared" si="6"/>
        <v>45428.35014000001</v>
      </c>
      <c r="O40" s="391">
        <f t="shared" si="7"/>
        <v>78966</v>
      </c>
      <c r="P40" s="96">
        <v>0.57529000000000008</v>
      </c>
    </row>
    <row r="41" spans="1:16" ht="13.5" customHeight="1">
      <c r="A41" s="95" t="s">
        <v>47</v>
      </c>
      <c r="B41" s="385">
        <f>SUM(B32:B39)</f>
        <v>599931.86858000001</v>
      </c>
      <c r="C41" s="391">
        <f>SUM(C32:C39)</f>
        <v>832110</v>
      </c>
      <c r="D41" s="392">
        <f>SUM(B41/C41)</f>
        <v>0.7209766359976445</v>
      </c>
      <c r="F41" s="385">
        <f>SUM(F32:F39)</f>
        <v>589564.34288000001</v>
      </c>
      <c r="G41" s="391">
        <f>SUM(G32:G39)</f>
        <v>837376</v>
      </c>
      <c r="H41" s="392">
        <f>SUM(F41/G41)</f>
        <v>0.70406166749464993</v>
      </c>
      <c r="J41" s="385">
        <f>SUM(J32:J39)</f>
        <v>605266.78636000003</v>
      </c>
      <c r="K41" s="391">
        <f>SUM(K32:K39)</f>
        <v>841920</v>
      </c>
      <c r="L41" s="392">
        <f>SUM(J41/K41)</f>
        <v>0.71891246954580013</v>
      </c>
      <c r="N41" s="385">
        <f>SUM(N32:N39)</f>
        <v>620907.12203000009</v>
      </c>
      <c r="O41" s="391">
        <f>SUM(O32:O39)</f>
        <v>847399</v>
      </c>
      <c r="P41" s="96">
        <v>0.73272109364065818</v>
      </c>
    </row>
    <row r="42" spans="1:16" ht="13.5" customHeight="1">
      <c r="A42" s="6" t="s">
        <v>543</v>
      </c>
      <c r="B42" s="385" cm="1">
        <f t="array" ref="B42">SUM(SUMIFS(B$9:B$41,$A$9:$A$41,{"East Renfrewshire","East Dunbartonshire","Aberdeenshire","Edinburgh, City of","Perth and Kinross","Aberdeen City","Shetland Islands","Orkney Islands"}))</f>
        <v>437309.99135999999</v>
      </c>
      <c r="C42" s="385" cm="1">
        <f t="array" ref="C42">SUM(SUMIFS(C$9:C$41,$A$9:$A$41,{"East Renfrewshire","East Dunbartonshire","Aberdeenshire","Edinburgh, City of","Perth and Kinross","Aberdeen City","Shetland Islands","Orkney Islands"}))</f>
        <v>619999</v>
      </c>
      <c r="D42" s="406">
        <f>SUM(B42/C42)</f>
        <v>0.70533983338682804</v>
      </c>
      <c r="E42" s="9"/>
      <c r="F42" s="385" cm="1">
        <f t="array" ref="F42">SUM(SUMIFS(F$9:F$41,$A$9:$A$41,{"East Renfrewshire","East Dunbartonshire","Aberdeenshire","Edinburgh, City of","Perth and Kinross","Aberdeen City","Shetland Islands","Orkney Islands"}))</f>
        <v>431289.57779000001</v>
      </c>
      <c r="G42" s="385" cm="1">
        <f t="array" ref="G42">SUM(SUMIFS(G$9:G$41,$A$9:$A$41,{"East Renfrewshire","East Dunbartonshire","Aberdeenshire","Edinburgh, City of","Perth and Kinross","Aberdeen City","Shetland Islands","Orkney Islands"}))</f>
        <v>624045</v>
      </c>
      <c r="H42" s="406">
        <f t="shared" ref="H42:H45" si="12">SUM(F42/G42)</f>
        <v>0.69111935483819276</v>
      </c>
      <c r="I42" s="9"/>
      <c r="J42" s="385" cm="1">
        <f t="array" ref="J42">SUM(SUMIFS(J$9:J$41,$A$9:$A$41,{"East Renfrewshire","East Dunbartonshire","Aberdeenshire","Edinburgh, City of","Perth and Kinross","Aberdeen City","Shetland Islands","Orkney Islands"}))</f>
        <v>441725.28639000002</v>
      </c>
      <c r="K42" s="385" cm="1">
        <f t="array" ref="K42">SUM(SUMIFS(K$9:K$41,$A$9:$A$41,{"East Renfrewshire","East Dunbartonshire","Aberdeenshire","Edinburgh, City of","Perth and Kinross","Aberdeen City","Shetland Islands","Orkney Islands"}))</f>
        <v>628730</v>
      </c>
      <c r="L42" s="406">
        <f t="shared" ref="L42:L45" si="13">SUM(J42/K42)</f>
        <v>0.7025675351740811</v>
      </c>
      <c r="M42" s="9"/>
      <c r="N42" s="385" cm="1">
        <f t="array" ref="N42">SUM(SUMIFS(N$9:N$41,$A$9:$A$41,{"East Renfrewshire","East Dunbartonshire","Aberdeenshire","Edinburgh, City of","Perth and Kinross","Aberdeen City","Shetland Islands","Orkney Islands"}))</f>
        <v>455337.90089000011</v>
      </c>
      <c r="O42" s="385" cm="1">
        <f t="array" ref="O42">SUM(SUMIFS(O$9:O$41,$A$9:$A$41,{"East Renfrewshire","East Dunbartonshire","Aberdeenshire","Edinburgh, City of","Perth and Kinross","Aberdeen City","Shetland Islands","Orkney Islands"}))</f>
        <v>634368</v>
      </c>
      <c r="P42" s="406">
        <f t="shared" ref="P42:P45" si="14">SUM(N42/O42)</f>
        <v>0.71778195131217226</v>
      </c>
    </row>
    <row r="43" spans="1:16" ht="13.5" customHeight="1">
      <c r="A43" s="6" t="s">
        <v>544</v>
      </c>
      <c r="B43" s="385" cm="1">
        <f t="array" ref="B43">SUM(SUMIFS(B$9:B$41,$A$9:$A$41,{"Moray","Stirling","East Lothian","Angus","Scottish Borders","Highland","Argyll and Bute","Midlothian"}))</f>
        <v>303212.32943000004</v>
      </c>
      <c r="C43" s="385" cm="1">
        <f t="array" ref="C43">SUM(SUMIFS(C$9:C$41,$A$9:$A$41,{"Moray","Stirling","East Lothian","Angus","Scottish Borders","Highland","Argyll and Bute","Midlothian"}))</f>
        <v>419160</v>
      </c>
      <c r="D43" s="406">
        <f t="shared" ref="D43:D45" si="15">SUM(B43/C43)</f>
        <v>0.72338087944937501</v>
      </c>
      <c r="E43" s="9"/>
      <c r="F43" s="385" cm="1">
        <f t="array" ref="F43">SUM(SUMIFS(F$9:F$41,$A$9:$A$41,{"Moray","Stirling","East Lothian","Angus","Scottish Borders","Highland","Argyll and Bute","Midlothian"}))</f>
        <v>306501.14010000008</v>
      </c>
      <c r="G43" s="385" cm="1">
        <f t="array" ref="G43">SUM(SUMIFS(G$9:G$41,$A$9:$A$41,{"Moray","Stirling","East Lothian","Angus","Scottish Borders","Highland","Argyll and Bute","Midlothian"}))</f>
        <v>423119</v>
      </c>
      <c r="H43" s="406">
        <f t="shared" si="12"/>
        <v>0.72438519683587854</v>
      </c>
      <c r="I43" s="9"/>
      <c r="J43" s="385" cm="1">
        <f t="array" ref="J43">SUM(SUMIFS(J$9:J$41,$A$9:$A$41,{"Moray","Stirling","East Lothian","Angus","Scottish Borders","Highland","Argyll and Bute","Midlothian"}))</f>
        <v>316235.38813000004</v>
      </c>
      <c r="K43" s="385" cm="1">
        <f t="array" ref="K43">SUM(SUMIFS(K$9:K$41,$A$9:$A$41,{"Moray","Stirling","East Lothian","Angus","Scottish Borders","Highland","Argyll and Bute","Midlothian"}))</f>
        <v>425900</v>
      </c>
      <c r="L43" s="406">
        <f t="shared" si="13"/>
        <v>0.74251089018548966</v>
      </c>
      <c r="M43" s="9"/>
      <c r="N43" s="385" cm="1">
        <f t="array" ref="N43">SUM(SUMIFS(N$9:N$41,$A$9:$A$41,{"Moray","Stirling","East Lothian","Angus","Scottish Borders","Highland","Argyll and Bute","Midlothian"}))</f>
        <v>322680.94104000001</v>
      </c>
      <c r="O43" s="385" cm="1">
        <f t="array" ref="O43">SUM(SUMIFS(O$9:O$41,$A$9:$A$41,{"Moray","Stirling","East Lothian","Angus","Scottish Borders","Highland","Argyll and Bute","Midlothian"}))</f>
        <v>429329</v>
      </c>
      <c r="P43" s="406">
        <f t="shared" si="14"/>
        <v>0.75159362875556979</v>
      </c>
    </row>
    <row r="44" spans="1:16" ht="13.5" customHeight="1">
      <c r="A44" s="6" t="s">
        <v>545</v>
      </c>
      <c r="B44" s="385" cm="1">
        <f t="array" ref="B44">SUM(SUMIFS(B$9:B$41,$A$9:$A$41,{"Falkirk","Dumfries and Galloway","Fife","South Ayrshire","West Lothian","South Lanarkshire","Renfrewshire","Clackmannanshire"}))</f>
        <v>476979.32738999999</v>
      </c>
      <c r="C44" s="385" cm="1">
        <f t="array" ref="C44">SUM(SUMIFS(C$9:C$41,$A$9:$A$41,{"Falkirk","Dumfries and Galloway","Fife","South Ayrshire","West Lothian","South Lanarkshire","Renfrewshire","Clackmannanshire"}))</f>
        <v>686234</v>
      </c>
      <c r="D44" s="406">
        <f t="shared" si="15"/>
        <v>0.69506804878510831</v>
      </c>
      <c r="E44" s="9"/>
      <c r="F44" s="385" cm="1">
        <f t="array" ref="F44">SUM(SUMIFS(F$9:F$41,$A$9:$A$41,{"Falkirk","Dumfries and Galloway","Fife","South Ayrshire","West Lothian","South Lanarkshire","Renfrewshire","Clackmannanshire"}))</f>
        <v>460622.66015000007</v>
      </c>
      <c r="G44" s="385" cm="1">
        <f t="array" ref="G44">SUM(SUMIFS(G$9:G$41,$A$9:$A$41,{"Falkirk","Dumfries and Galloway","Fife","South Ayrshire","West Lothian","South Lanarkshire","Renfrewshire","Clackmannanshire"}))</f>
        <v>691419</v>
      </c>
      <c r="H44" s="406">
        <f t="shared" si="12"/>
        <v>0.66619901991411878</v>
      </c>
      <c r="I44" s="9"/>
      <c r="J44" s="385" cm="1">
        <f t="array" ref="J44">SUM(SUMIFS(J$9:J$41,$A$9:$A$41,{"Falkirk","Dumfries and Galloway","Fife","South Ayrshire","West Lothian","South Lanarkshire","Renfrewshire","Clackmannanshire"}))</f>
        <v>455669.06634000002</v>
      </c>
      <c r="K44" s="385" cm="1">
        <f t="array" ref="K44">SUM(SUMIFS(K$9:K$41,$A$9:$A$41,{"Falkirk","Dumfries and Galloway","Fife","South Ayrshire","West Lothian","South Lanarkshire","Renfrewshire","Clackmannanshire"}))</f>
        <v>695623</v>
      </c>
      <c r="L44" s="406">
        <f t="shared" si="13"/>
        <v>0.65505175409668748</v>
      </c>
      <c r="M44" s="9"/>
      <c r="N44" s="385" cm="1">
        <f t="array" ref="N44">SUM(SUMIFS(N$9:N$41,$A$9:$A$41,{"Falkirk","Dumfries and Galloway","Fife","South Ayrshire","West Lothian","South Lanarkshire","Renfrewshire","Clackmannanshire"}))</f>
        <v>447419.75439000002</v>
      </c>
      <c r="O44" s="385" cm="1">
        <f t="array" ref="O44">SUM(SUMIFS(O$9:O$41,$A$9:$A$41,{"Falkirk","Dumfries and Galloway","Fife","South Ayrshire","West Lothian","South Lanarkshire","Renfrewshire","Clackmannanshire"}))</f>
        <v>701171</v>
      </c>
      <c r="P44" s="406">
        <f t="shared" si="14"/>
        <v>0.63810362149889255</v>
      </c>
    </row>
    <row r="45" spans="1:16" ht="13.5" customHeight="1">
      <c r="A45" s="6" t="s">
        <v>546</v>
      </c>
      <c r="B45" s="385" cm="1">
        <f t="array" ref="B45">SUM(SUMIFS(B$9:B$41,$A$9:$A$41,{"Na h-Eileanan Siar","Dundee City","East Ayrshire","North Ayrshire","North Lanarkshire","Inverclyde","West Dunbartonshire","Glasgow City"}))</f>
        <v>526464.85468000011</v>
      </c>
      <c r="C45" s="385" cm="1">
        <f t="array" ref="C45">SUM(SUMIFS(C$9:C$41,$A$9:$A$41,{"Na h-Eileanan Siar","Dundee City","East Ayrshire","North Ayrshire","North Lanarkshire","Inverclyde","West Dunbartonshire","Glasgow City"}))</f>
        <v>720780</v>
      </c>
      <c r="D45" s="406">
        <f t="shared" si="15"/>
        <v>0.73040990965343111</v>
      </c>
      <c r="E45" s="9"/>
      <c r="F45" s="385" cm="1">
        <f t="array" ref="F45">SUM(SUMIFS(F$9:F$41,$A$9:$A$41,{"Na h-Eileanan Siar","Dundee City","East Ayrshire","North Ayrshire","North Lanarkshire","Inverclyde","West Dunbartonshire","Glasgow City"}))</f>
        <v>515638.23288000003</v>
      </c>
      <c r="G45" s="385" cm="1">
        <f t="array" ref="G45">SUM(SUMIFS(G$9:G$41,$A$9:$A$41,{"Na h-Eileanan Siar","Dundee City","East Ayrshire","North Ayrshire","North Lanarkshire","Inverclyde","West Dunbartonshire","Glasgow City"}))</f>
        <v>724150</v>
      </c>
      <c r="H45" s="406">
        <f t="shared" si="12"/>
        <v>0.71205997773941865</v>
      </c>
      <c r="I45" s="9"/>
      <c r="J45" s="385" cm="1">
        <f t="array" ref="J45">SUM(SUMIFS(J$9:J$41,$A$9:$A$41,{"Na h-Eileanan Siar","Dundee City","East Ayrshire","North Ayrshire","North Lanarkshire","Inverclyde","West Dunbartonshire","Glasgow City"}))</f>
        <v>527642.63533000008</v>
      </c>
      <c r="K45" s="385" cm="1">
        <f t="array" ref="K45">SUM(SUMIFS(K$9:K$41,$A$9:$A$41,{"Na h-Eileanan Siar","Dundee City","East Ayrshire","North Ayrshire","North Lanarkshire","Inverclyde","West Dunbartonshire","Glasgow City"}))</f>
        <v>727023</v>
      </c>
      <c r="L45" s="406">
        <f t="shared" si="13"/>
        <v>0.7257578306738578</v>
      </c>
      <c r="M45" s="9"/>
      <c r="N45" s="385" cm="1">
        <f t="array" ref="N45">SUM(SUMIFS(N$9:N$41,$A$9:$A$41,{"Na h-Eileanan Siar","Dundee City","East Ayrshire","North Ayrshire","North Lanarkshire","Inverclyde","West Dunbartonshire","Glasgow City"}))</f>
        <v>541025.43121000007</v>
      </c>
      <c r="O45" s="385" cm="1">
        <f t="array" ref="O45">SUM(SUMIFS(O$9:O$41,$A$9:$A$41,{"Na h-Eileanan Siar","Dundee City","East Ayrshire","North Ayrshire","North Lanarkshire","Inverclyde","West Dunbartonshire","Glasgow City"}))</f>
        <v>730754</v>
      </c>
      <c r="P45" s="406">
        <f t="shared" si="14"/>
        <v>0.74036602086338232</v>
      </c>
    </row>
    <row r="46" spans="1:16" ht="13.5" customHeight="1">
      <c r="A46" s="97" t="s">
        <v>45</v>
      </c>
      <c r="B46" s="385">
        <f t="shared" si="1"/>
        <v>1744070.9995800001</v>
      </c>
      <c r="C46" s="391">
        <f>VLOOKUP($A46,$A$53:$G$85,3,FALSE)</f>
        <v>2446171</v>
      </c>
      <c r="D46" s="96">
        <v>0.71298000000000006</v>
      </c>
      <c r="F46" s="385">
        <f t="shared" si="2"/>
        <v>1714138.1380800002</v>
      </c>
      <c r="G46" s="391">
        <f>VLOOKUP($A46,$A$53:$G$85,4,FALSE)</f>
        <v>2462736</v>
      </c>
      <c r="H46" s="96">
        <v>0.69603000000000004</v>
      </c>
      <c r="J46" s="385">
        <f t="shared" si="4"/>
        <v>1741301.3702500002</v>
      </c>
      <c r="K46" s="391">
        <f>VLOOKUP($A46,$A$53:$G$85,5,FALSE)</f>
        <v>2477275</v>
      </c>
      <c r="L46" s="96">
        <v>0.70291000000000003</v>
      </c>
      <c r="N46" s="385">
        <f t="shared" si="6"/>
        <v>1771892.3299999998</v>
      </c>
      <c r="O46" s="391">
        <f>VLOOKUP($A46,$A$53:$G$85,6,FALSE)</f>
        <v>2495623</v>
      </c>
      <c r="P46" s="96">
        <v>0.71</v>
      </c>
    </row>
    <row r="49" spans="1:7" ht="18" customHeight="1">
      <c r="A49" s="90" t="s">
        <v>260</v>
      </c>
    </row>
    <row r="50" spans="1:7" ht="15" customHeight="1"/>
    <row r="51" spans="1:7" s="81" customFormat="1" ht="13.5" customHeight="1">
      <c r="A51" s="600" t="s">
        <v>259</v>
      </c>
      <c r="B51" s="600">
        <v>2015</v>
      </c>
      <c r="C51" s="600">
        <v>2016</v>
      </c>
      <c r="D51" s="600">
        <v>2017</v>
      </c>
      <c r="E51" s="600">
        <v>2018</v>
      </c>
      <c r="F51" s="600">
        <v>2019</v>
      </c>
      <c r="G51" s="600">
        <v>2020</v>
      </c>
    </row>
    <row r="52" spans="1:7" s="81" customFormat="1" ht="13.5" customHeight="1">
      <c r="A52" s="601"/>
      <c r="B52" s="601"/>
      <c r="C52" s="601"/>
      <c r="D52" s="601"/>
      <c r="E52" s="601"/>
      <c r="F52" s="601"/>
      <c r="G52" s="601"/>
    </row>
    <row r="53" spans="1:7" s="81" customFormat="1" ht="18" customHeight="1">
      <c r="A53" s="81" t="s">
        <v>45</v>
      </c>
      <c r="B53" s="89">
        <v>2429943</v>
      </c>
      <c r="C53" s="89">
        <v>2446171</v>
      </c>
      <c r="D53" s="89">
        <v>2462736</v>
      </c>
      <c r="E53" s="89">
        <v>2477275</v>
      </c>
      <c r="F53" s="82">
        <v>2495623</v>
      </c>
      <c r="G53" s="82">
        <v>2507625</v>
      </c>
    </row>
    <row r="54" spans="1:7" ht="18" customHeight="1">
      <c r="A54" s="81" t="s">
        <v>14</v>
      </c>
      <c r="B54" s="88">
        <v>105311</v>
      </c>
      <c r="C54" s="88">
        <v>106749</v>
      </c>
      <c r="D54" s="88">
        <v>106802</v>
      </c>
      <c r="E54" s="88">
        <v>107586</v>
      </c>
      <c r="F54" s="221">
        <v>108381</v>
      </c>
      <c r="G54" s="221">
        <v>108893</v>
      </c>
    </row>
    <row r="55" spans="1:7" ht="13.5" customHeight="1">
      <c r="A55" s="81" t="s">
        <v>15</v>
      </c>
      <c r="B55" s="88">
        <v>109631</v>
      </c>
      <c r="C55" s="88">
        <v>110296</v>
      </c>
      <c r="D55" s="88">
        <v>110941</v>
      </c>
      <c r="E55" s="88">
        <v>111156</v>
      </c>
      <c r="F55" s="221">
        <v>112114</v>
      </c>
      <c r="G55" s="221">
        <v>112713</v>
      </c>
    </row>
    <row r="56" spans="1:7" ht="13.5" customHeight="1">
      <c r="A56" s="81" t="s">
        <v>16</v>
      </c>
      <c r="B56" s="88">
        <v>53142</v>
      </c>
      <c r="C56" s="88">
        <v>53333</v>
      </c>
      <c r="D56" s="88">
        <v>53627</v>
      </c>
      <c r="E56" s="88">
        <v>53888</v>
      </c>
      <c r="F56" s="221">
        <v>54221</v>
      </c>
      <c r="G56" s="221">
        <v>54480</v>
      </c>
    </row>
    <row r="57" spans="1:7" ht="13.5" customHeight="1">
      <c r="A57" s="81" t="s">
        <v>17</v>
      </c>
      <c r="B57" s="88">
        <v>40938</v>
      </c>
      <c r="C57" s="88">
        <v>41040</v>
      </c>
      <c r="D57" s="88">
        <v>41455</v>
      </c>
      <c r="E57" s="88">
        <v>41630</v>
      </c>
      <c r="F57" s="221">
        <v>41789</v>
      </c>
      <c r="G57" s="221">
        <v>41839</v>
      </c>
    </row>
    <row r="58" spans="1:7" ht="13.5" customHeight="1">
      <c r="A58" s="95" t="s">
        <v>189</v>
      </c>
      <c r="B58" s="88">
        <v>229650</v>
      </c>
      <c r="C58" s="88">
        <v>231383</v>
      </c>
      <c r="D58" s="88">
        <v>233369</v>
      </c>
      <c r="E58" s="88">
        <v>235771</v>
      </c>
      <c r="F58" s="221">
        <v>238269</v>
      </c>
      <c r="G58" s="221">
        <v>239364</v>
      </c>
    </row>
    <row r="59" spans="1:7" ht="18" customHeight="1">
      <c r="A59" s="81" t="s">
        <v>18</v>
      </c>
      <c r="B59" s="88">
        <v>23333</v>
      </c>
      <c r="C59" s="88">
        <v>23401</v>
      </c>
      <c r="D59" s="88">
        <v>23563</v>
      </c>
      <c r="E59" s="88">
        <v>23674</v>
      </c>
      <c r="F59" s="221">
        <v>23890</v>
      </c>
      <c r="G59" s="221">
        <v>24066</v>
      </c>
    </row>
    <row r="60" spans="1:7" ht="13.5" customHeight="1">
      <c r="A60" s="81" t="s">
        <v>19</v>
      </c>
      <c r="B60" s="88">
        <v>68999</v>
      </c>
      <c r="C60" s="88">
        <v>69202</v>
      </c>
      <c r="D60" s="88">
        <v>69503</v>
      </c>
      <c r="E60" s="88">
        <v>69586</v>
      </c>
      <c r="F60" s="221">
        <v>69699</v>
      </c>
      <c r="G60" s="221">
        <v>69957</v>
      </c>
    </row>
    <row r="61" spans="1:7" ht="13.5" customHeight="1">
      <c r="A61" s="81" t="s">
        <v>20</v>
      </c>
      <c r="B61" s="88">
        <v>69534</v>
      </c>
      <c r="C61" s="88">
        <v>69635</v>
      </c>
      <c r="D61" s="88">
        <v>70049</v>
      </c>
      <c r="E61" s="88">
        <v>70337</v>
      </c>
      <c r="F61" s="221">
        <v>70685</v>
      </c>
      <c r="G61" s="221">
        <v>70689</v>
      </c>
    </row>
    <row r="62" spans="1:7" ht="13.5" customHeight="1">
      <c r="A62" s="81" t="s">
        <v>21</v>
      </c>
      <c r="B62" s="88">
        <v>54570</v>
      </c>
      <c r="C62" s="88">
        <v>54748</v>
      </c>
      <c r="D62" s="88">
        <v>54873</v>
      </c>
      <c r="E62" s="88">
        <v>55107</v>
      </c>
      <c r="F62" s="221">
        <v>55387</v>
      </c>
      <c r="G62" s="221">
        <v>55564</v>
      </c>
    </row>
    <row r="63" spans="1:7" ht="13.5" customHeight="1">
      <c r="A63" s="81" t="s">
        <v>22</v>
      </c>
      <c r="B63" s="88">
        <v>45008</v>
      </c>
      <c r="C63" s="88">
        <v>45350</v>
      </c>
      <c r="D63" s="88">
        <v>45690</v>
      </c>
      <c r="E63" s="88">
        <v>46023</v>
      </c>
      <c r="F63" s="221">
        <v>46228</v>
      </c>
      <c r="G63" s="221">
        <v>46563</v>
      </c>
    </row>
    <row r="64" spans="1:7" ht="18" customHeight="1">
      <c r="A64" s="81" t="s">
        <v>23</v>
      </c>
      <c r="B64" s="88">
        <v>44384</v>
      </c>
      <c r="C64" s="88">
        <v>44749</v>
      </c>
      <c r="D64" s="88">
        <v>45301</v>
      </c>
      <c r="E64" s="88">
        <v>45975</v>
      </c>
      <c r="F64" s="221">
        <v>46771</v>
      </c>
      <c r="G64" s="221">
        <v>47482</v>
      </c>
    </row>
    <row r="65" spans="1:7" ht="13.5" customHeight="1">
      <c r="A65" s="81" t="s">
        <v>24</v>
      </c>
      <c r="B65" s="88">
        <v>38270</v>
      </c>
      <c r="C65" s="88">
        <v>38581</v>
      </c>
      <c r="D65" s="88">
        <v>38899</v>
      </c>
      <c r="E65" s="88">
        <v>39108</v>
      </c>
      <c r="F65" s="221">
        <v>39345</v>
      </c>
      <c r="G65" s="221">
        <v>39586</v>
      </c>
    </row>
    <row r="66" spans="1:7" ht="13.5" customHeight="1">
      <c r="A66" s="81" t="s">
        <v>25</v>
      </c>
      <c r="B66" s="88">
        <v>70431</v>
      </c>
      <c r="C66" s="88">
        <v>71072</v>
      </c>
      <c r="D66" s="88">
        <v>71800</v>
      </c>
      <c r="E66" s="88">
        <v>72267</v>
      </c>
      <c r="F66" s="221">
        <v>72672</v>
      </c>
      <c r="G66" s="221">
        <v>72994</v>
      </c>
    </row>
    <row r="67" spans="1:7" ht="13.5" customHeight="1">
      <c r="A67" s="81" t="s">
        <v>26</v>
      </c>
      <c r="B67" s="88">
        <v>164705</v>
      </c>
      <c r="C67" s="88">
        <v>165833</v>
      </c>
      <c r="D67" s="88">
        <v>166960</v>
      </c>
      <c r="E67" s="88">
        <v>167944</v>
      </c>
      <c r="F67" s="221">
        <v>169239</v>
      </c>
      <c r="G67" s="221">
        <v>169886</v>
      </c>
    </row>
    <row r="68" spans="1:7" ht="13.5" customHeight="1">
      <c r="A68" s="81" t="s">
        <v>27</v>
      </c>
      <c r="B68" s="88">
        <v>287862</v>
      </c>
      <c r="C68" s="88">
        <v>289399</v>
      </c>
      <c r="D68" s="88">
        <v>291115</v>
      </c>
      <c r="E68" s="88">
        <v>292619</v>
      </c>
      <c r="F68" s="221">
        <v>294622</v>
      </c>
      <c r="G68" s="221">
        <v>295761</v>
      </c>
    </row>
    <row r="69" spans="1:7" ht="18" customHeight="1">
      <c r="A69" s="81" t="s">
        <v>28</v>
      </c>
      <c r="B69" s="88">
        <v>106834</v>
      </c>
      <c r="C69" s="88">
        <v>107573</v>
      </c>
      <c r="D69" s="88">
        <v>108319</v>
      </c>
      <c r="E69" s="88">
        <v>108878</v>
      </c>
      <c r="F69" s="221">
        <v>109514</v>
      </c>
      <c r="G69" s="221">
        <v>110084</v>
      </c>
    </row>
    <row r="70" spans="1:7" ht="13.5" customHeight="1">
      <c r="A70" s="81" t="s">
        <v>29</v>
      </c>
      <c r="B70" s="88">
        <v>37426</v>
      </c>
      <c r="C70" s="88">
        <v>37586</v>
      </c>
      <c r="D70" s="88">
        <v>37651</v>
      </c>
      <c r="E70" s="88">
        <v>37640</v>
      </c>
      <c r="F70" s="221">
        <v>37614</v>
      </c>
      <c r="G70" s="221">
        <v>37646</v>
      </c>
    </row>
    <row r="71" spans="1:7" ht="13.5" customHeight="1">
      <c r="A71" s="81" t="s">
        <v>30</v>
      </c>
      <c r="B71" s="88">
        <v>37069</v>
      </c>
      <c r="C71" s="88">
        <v>37766</v>
      </c>
      <c r="D71" s="88">
        <v>38557</v>
      </c>
      <c r="E71" s="88">
        <v>39122</v>
      </c>
      <c r="F71" s="221">
        <v>39733</v>
      </c>
      <c r="G71" s="221">
        <v>40137</v>
      </c>
    </row>
    <row r="72" spans="1:7" ht="13.5" customHeight="1">
      <c r="A72" s="81" t="s">
        <v>31</v>
      </c>
      <c r="B72" s="88">
        <v>41641</v>
      </c>
      <c r="C72" s="88">
        <v>41961</v>
      </c>
      <c r="D72" s="88">
        <v>42269</v>
      </c>
      <c r="E72" s="88">
        <v>42554</v>
      </c>
      <c r="F72" s="221">
        <v>42932</v>
      </c>
      <c r="G72" s="221">
        <v>43175</v>
      </c>
    </row>
    <row r="73" spans="1:7" ht="13.5" customHeight="1">
      <c r="A73" s="81" t="s">
        <v>32</v>
      </c>
      <c r="B73" s="88">
        <v>12968</v>
      </c>
      <c r="C73" s="88">
        <v>12951</v>
      </c>
      <c r="D73" s="88">
        <v>12805</v>
      </c>
      <c r="E73" s="88">
        <v>12773</v>
      </c>
      <c r="F73" s="221">
        <v>12833</v>
      </c>
      <c r="G73" s="221">
        <v>12849</v>
      </c>
    </row>
    <row r="74" spans="1:7" ht="18" customHeight="1">
      <c r="A74" s="81" t="s">
        <v>33</v>
      </c>
      <c r="B74" s="88">
        <v>63189</v>
      </c>
      <c r="C74" s="88">
        <v>63440</v>
      </c>
      <c r="D74" s="88">
        <v>63756</v>
      </c>
      <c r="E74" s="88">
        <v>63935</v>
      </c>
      <c r="F74" s="221">
        <v>64140</v>
      </c>
      <c r="G74" s="221">
        <v>64415</v>
      </c>
    </row>
    <row r="75" spans="1:7" ht="13.5" customHeight="1">
      <c r="A75" s="81" t="s">
        <v>34</v>
      </c>
      <c r="B75" s="88">
        <v>149282</v>
      </c>
      <c r="C75" s="88">
        <v>150364</v>
      </c>
      <c r="D75" s="88">
        <v>151155</v>
      </c>
      <c r="E75" s="88">
        <v>151744</v>
      </c>
      <c r="F75" s="221">
        <v>152443</v>
      </c>
      <c r="G75" s="221">
        <v>152910</v>
      </c>
    </row>
    <row r="76" spans="1:7" ht="13.5" customHeight="1">
      <c r="A76" s="81" t="s">
        <v>35</v>
      </c>
      <c r="B76" s="88">
        <v>10146</v>
      </c>
      <c r="C76" s="88">
        <v>10256</v>
      </c>
      <c r="D76" s="88">
        <v>10385</v>
      </c>
      <c r="E76" s="88">
        <v>10506</v>
      </c>
      <c r="F76" s="221">
        <v>10589</v>
      </c>
      <c r="G76" s="221">
        <v>10635</v>
      </c>
    </row>
    <row r="77" spans="1:7" ht="13.5" customHeight="1">
      <c r="A77" s="81" t="s">
        <v>36</v>
      </c>
      <c r="B77" s="88">
        <v>66545</v>
      </c>
      <c r="C77" s="88">
        <v>67101</v>
      </c>
      <c r="D77" s="88">
        <v>67618</v>
      </c>
      <c r="E77" s="88">
        <v>68196</v>
      </c>
      <c r="F77" s="221">
        <v>69003</v>
      </c>
      <c r="G77" s="221">
        <v>69432</v>
      </c>
    </row>
    <row r="78" spans="1:7" ht="13.5" customHeight="1">
      <c r="A78" s="81" t="s">
        <v>37</v>
      </c>
      <c r="B78" s="88">
        <v>83245</v>
      </c>
      <c r="C78" s="88">
        <v>84025</v>
      </c>
      <c r="D78" s="88">
        <v>84938</v>
      </c>
      <c r="E78" s="88">
        <v>85745</v>
      </c>
      <c r="F78" s="221">
        <v>86683</v>
      </c>
      <c r="G78" s="221">
        <v>87241</v>
      </c>
    </row>
    <row r="79" spans="1:7" ht="18" customHeight="1">
      <c r="A79" s="81" t="s">
        <v>38</v>
      </c>
      <c r="B79" s="88">
        <v>53351</v>
      </c>
      <c r="C79" s="88">
        <v>53787</v>
      </c>
      <c r="D79" s="88">
        <v>54306</v>
      </c>
      <c r="E79" s="88">
        <v>54413</v>
      </c>
      <c r="F79" s="221">
        <v>54715</v>
      </c>
      <c r="G79" s="221">
        <v>54796</v>
      </c>
    </row>
    <row r="80" spans="1:7" ht="13.5" customHeight="1">
      <c r="A80" s="81" t="s">
        <v>39</v>
      </c>
      <c r="B80" s="88">
        <v>10235</v>
      </c>
      <c r="C80" s="88">
        <v>10283</v>
      </c>
      <c r="D80" s="88">
        <v>10341</v>
      </c>
      <c r="E80" s="88">
        <v>10384</v>
      </c>
      <c r="F80" s="221">
        <v>10439</v>
      </c>
      <c r="G80" s="221">
        <v>10461</v>
      </c>
    </row>
    <row r="81" spans="1:7" ht="13.5" customHeight="1">
      <c r="A81" s="81" t="s">
        <v>40</v>
      </c>
      <c r="B81" s="88">
        <v>51912</v>
      </c>
      <c r="C81" s="88">
        <v>51923</v>
      </c>
      <c r="D81" s="88">
        <v>52104</v>
      </c>
      <c r="E81" s="88">
        <v>52281</v>
      </c>
      <c r="F81" s="221">
        <v>52588</v>
      </c>
      <c r="G81" s="221">
        <v>52571</v>
      </c>
    </row>
    <row r="82" spans="1:7" ht="13.5" customHeight="1">
      <c r="A82" s="81" t="s">
        <v>41</v>
      </c>
      <c r="B82" s="88">
        <v>143313</v>
      </c>
      <c r="C82" s="88">
        <v>144148</v>
      </c>
      <c r="D82" s="88">
        <v>145182</v>
      </c>
      <c r="E82" s="88">
        <v>146173</v>
      </c>
      <c r="F82" s="221">
        <v>147434</v>
      </c>
      <c r="G82" s="221">
        <v>148483</v>
      </c>
    </row>
    <row r="83" spans="1:7" ht="13.5" customHeight="1">
      <c r="A83" s="81" t="s">
        <v>42</v>
      </c>
      <c r="B83" s="88">
        <v>38665</v>
      </c>
      <c r="C83" s="88">
        <v>38951</v>
      </c>
      <c r="D83" s="88">
        <v>39285</v>
      </c>
      <c r="E83" s="88">
        <v>39440</v>
      </c>
      <c r="F83" s="221">
        <v>39654</v>
      </c>
      <c r="G83" s="221">
        <v>39896</v>
      </c>
    </row>
    <row r="84" spans="1:7" ht="18" customHeight="1">
      <c r="A84" s="81" t="s">
        <v>43</v>
      </c>
      <c r="B84" s="88">
        <v>42571</v>
      </c>
      <c r="C84" s="88">
        <v>42657</v>
      </c>
      <c r="D84" s="88">
        <v>42746</v>
      </c>
      <c r="E84" s="88">
        <v>42868</v>
      </c>
      <c r="F84" s="221">
        <v>43030</v>
      </c>
      <c r="G84" s="221">
        <v>43164</v>
      </c>
    </row>
    <row r="85" spans="1:7" ht="13.5" customHeight="1">
      <c r="A85" s="87" t="s">
        <v>44</v>
      </c>
      <c r="B85" s="86">
        <v>75782</v>
      </c>
      <c r="C85" s="86">
        <v>76630</v>
      </c>
      <c r="D85" s="86">
        <v>77369</v>
      </c>
      <c r="E85" s="86">
        <v>77953</v>
      </c>
      <c r="F85" s="221">
        <v>78966</v>
      </c>
      <c r="G85" s="221">
        <v>79892</v>
      </c>
    </row>
    <row r="86" spans="1:7" ht="13">
      <c r="F86" s="82"/>
      <c r="G86" s="82"/>
    </row>
    <row r="87" spans="1:7" ht="13">
      <c r="A87" s="84" t="s">
        <v>258</v>
      </c>
      <c r="B87" s="83"/>
      <c r="F87" s="82"/>
      <c r="G87" s="82"/>
    </row>
    <row r="88" spans="1:7" ht="12.75" customHeight="1">
      <c r="A88" s="599" t="s">
        <v>257</v>
      </c>
      <c r="B88" s="599"/>
      <c r="G88" s="82"/>
    </row>
    <row r="89" spans="1:7" ht="13">
      <c r="A89" s="599"/>
      <c r="B89" s="599"/>
      <c r="G89" s="82"/>
    </row>
    <row r="90" spans="1:7" ht="13">
      <c r="A90" s="599"/>
      <c r="B90" s="599"/>
      <c r="G90" s="82"/>
    </row>
    <row r="91" spans="1:7" ht="13">
      <c r="A91" s="602" t="s">
        <v>256</v>
      </c>
      <c r="B91" s="602"/>
      <c r="G91" s="82"/>
    </row>
    <row r="92" spans="1:7" ht="13">
      <c r="A92" s="599" t="s">
        <v>255</v>
      </c>
      <c r="B92" s="599"/>
      <c r="G92" s="82"/>
    </row>
    <row r="93" spans="1:7" ht="13">
      <c r="A93" s="599"/>
      <c r="B93" s="599"/>
      <c r="G93" s="82"/>
    </row>
    <row r="94" spans="1:7" ht="13">
      <c r="A94" s="599" t="s">
        <v>552</v>
      </c>
      <c r="B94" s="599"/>
      <c r="G94" s="82"/>
    </row>
    <row r="95" spans="1:7" ht="13">
      <c r="A95" s="599"/>
      <c r="B95" s="599"/>
      <c r="G95" s="82"/>
    </row>
    <row r="96" spans="1:7" ht="13">
      <c r="A96" s="85"/>
      <c r="B96" s="85"/>
      <c r="G96" s="82"/>
    </row>
    <row r="97" spans="1:7" ht="13">
      <c r="A97" s="83" t="s">
        <v>254</v>
      </c>
      <c r="B97" s="83"/>
      <c r="G97" s="82"/>
    </row>
    <row r="98" spans="1:7" ht="13">
      <c r="A98" s="84"/>
      <c r="B98" s="83"/>
      <c r="G98" s="82"/>
    </row>
    <row r="99" spans="1:7" ht="13">
      <c r="A99" s="83" t="s">
        <v>253</v>
      </c>
      <c r="B99" s="83"/>
      <c r="G99" s="82"/>
    </row>
    <row r="100" spans="1:7" ht="13">
      <c r="A100" s="84"/>
      <c r="B100" s="83"/>
      <c r="G100" s="82"/>
    </row>
    <row r="101" spans="1:7" ht="13">
      <c r="A101" s="83" t="s">
        <v>252</v>
      </c>
      <c r="B101" s="83"/>
      <c r="G101" s="82"/>
    </row>
    <row r="102" spans="1:7" ht="13.5" customHeight="1">
      <c r="G102" s="82"/>
    </row>
    <row r="103" spans="1:7" ht="13.5" customHeight="1">
      <c r="G103" s="82"/>
    </row>
    <row r="104" spans="1:7" ht="13.5" customHeight="1">
      <c r="G104" s="82"/>
    </row>
    <row r="105" spans="1:7" ht="13.5" customHeight="1">
      <c r="G105" s="82"/>
    </row>
    <row r="106" spans="1:7" ht="13.5" customHeight="1">
      <c r="G106" s="82"/>
    </row>
    <row r="107" spans="1:7" ht="13.5" customHeight="1">
      <c r="G107" s="82"/>
    </row>
    <row r="108" spans="1:7" ht="13.5" customHeight="1">
      <c r="G108" s="82"/>
    </row>
    <row r="109" spans="1:7" ht="13.5" customHeight="1">
      <c r="G109" s="82"/>
    </row>
    <row r="110" spans="1:7" ht="13.5" customHeight="1">
      <c r="G110" s="82"/>
    </row>
    <row r="111" spans="1:7" ht="13.5" customHeight="1">
      <c r="G111" s="82"/>
    </row>
    <row r="112" spans="1:7" ht="13.5" customHeight="1">
      <c r="G112" s="82"/>
    </row>
    <row r="113" spans="7:7" ht="13.5" customHeight="1">
      <c r="G113" s="82"/>
    </row>
    <row r="114" spans="7:7" ht="13.5" customHeight="1">
      <c r="G114" s="82"/>
    </row>
    <row r="115" spans="7:7" ht="13.5" customHeight="1">
      <c r="G115" s="82"/>
    </row>
    <row r="116" spans="7:7" ht="13.5" customHeight="1">
      <c r="G116" s="82"/>
    </row>
    <row r="117" spans="7:7" ht="13.5" customHeight="1">
      <c r="G117" s="82"/>
    </row>
    <row r="118" spans="7:7" ht="13.5" customHeight="1">
      <c r="G118" s="82"/>
    </row>
    <row r="119" spans="7:7" ht="13.5" customHeight="1">
      <c r="G119" s="82"/>
    </row>
    <row r="120" spans="7:7" ht="13.5" customHeight="1">
      <c r="G120" s="82"/>
    </row>
    <row r="121" spans="7:7" ht="13.5" customHeight="1">
      <c r="G121" s="82"/>
    </row>
    <row r="122" spans="7:7" ht="13.5" customHeight="1">
      <c r="G122" s="82"/>
    </row>
    <row r="123" spans="7:7" ht="13.5" customHeight="1">
      <c r="G123" s="82"/>
    </row>
    <row r="124" spans="7:7" ht="13.5" customHeight="1">
      <c r="G124" s="82"/>
    </row>
    <row r="125" spans="7:7" ht="13.5" customHeight="1">
      <c r="G125" s="82"/>
    </row>
    <row r="126" spans="7:7" ht="13.5" customHeight="1">
      <c r="G126" s="82"/>
    </row>
    <row r="127" spans="7:7" ht="13.5" customHeight="1">
      <c r="G127" s="82"/>
    </row>
    <row r="128" spans="7:7" ht="13.5" customHeight="1">
      <c r="G128" s="82"/>
    </row>
    <row r="129" spans="7:7" ht="13.5" customHeight="1">
      <c r="G129" s="82"/>
    </row>
    <row r="130" spans="7:7" ht="13.5" customHeight="1">
      <c r="G130" s="82"/>
    </row>
    <row r="131" spans="7:7" ht="13.5" customHeight="1">
      <c r="G131" s="82"/>
    </row>
    <row r="132" spans="7:7" ht="13.5" customHeight="1">
      <c r="G132" s="82"/>
    </row>
    <row r="133" spans="7:7" ht="13.5" customHeight="1">
      <c r="G133" s="82"/>
    </row>
    <row r="134" spans="7:7" ht="13.5" customHeight="1">
      <c r="G134" s="82"/>
    </row>
    <row r="135" spans="7:7" ht="13.5" customHeight="1">
      <c r="G135" s="82"/>
    </row>
    <row r="136" spans="7:7" ht="13.5" customHeight="1">
      <c r="G136" s="82"/>
    </row>
    <row r="137" spans="7:7" ht="13.5" customHeight="1">
      <c r="G137" s="82"/>
    </row>
    <row r="138" spans="7:7" ht="13.5" customHeight="1">
      <c r="G138" s="82"/>
    </row>
    <row r="139" spans="7:7" ht="13.5" customHeight="1">
      <c r="G139" s="82"/>
    </row>
    <row r="140" spans="7:7" ht="13.5" customHeight="1">
      <c r="G140" s="82"/>
    </row>
    <row r="141" spans="7:7" ht="13.5" customHeight="1">
      <c r="G141" s="82"/>
    </row>
    <row r="142" spans="7:7" ht="13.5" customHeight="1">
      <c r="G142" s="82"/>
    </row>
    <row r="143" spans="7:7" ht="13.5" customHeight="1">
      <c r="G143" s="82"/>
    </row>
    <row r="144" spans="7:7" ht="13.5" customHeight="1">
      <c r="G144" s="82"/>
    </row>
    <row r="145" spans="7:7" ht="13.5" customHeight="1">
      <c r="G145" s="82"/>
    </row>
    <row r="146" spans="7:7" ht="13.5" customHeight="1">
      <c r="G146" s="82"/>
    </row>
    <row r="147" spans="7:7" ht="13.5" customHeight="1">
      <c r="G147" s="82"/>
    </row>
    <row r="148" spans="7:7" ht="13.5" customHeight="1">
      <c r="G148" s="82"/>
    </row>
    <row r="149" spans="7:7" ht="13.5" customHeight="1">
      <c r="G149" s="82"/>
    </row>
    <row r="150" spans="7:7" ht="13.5" customHeight="1">
      <c r="G150" s="82"/>
    </row>
  </sheetData>
  <mergeCells count="11">
    <mergeCell ref="F51:F52"/>
    <mergeCell ref="G51:G52"/>
    <mergeCell ref="E51:E52"/>
    <mergeCell ref="A51:A52"/>
    <mergeCell ref="A94:B95"/>
    <mergeCell ref="A88:B90"/>
    <mergeCell ref="A91:B91"/>
    <mergeCell ref="A92:B93"/>
    <mergeCell ref="D51:D52"/>
    <mergeCell ref="B51:B52"/>
    <mergeCell ref="C51:C52"/>
  </mergeCells>
  <hyperlinks>
    <hyperlink ref="A1" location="Contents!A1" display="Contents" xr:uid="{00000000-0004-0000-5400-000000000000}"/>
  </hyperlinks>
  <pageMargins left="0.75" right="0.75" top="1" bottom="1" header="0.5" footer="0.5"/>
  <pageSetup scale="34"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01"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autoPageBreaks="0" fitToPage="1"/>
  </sheetPr>
  <dimension ref="A1:S57"/>
  <sheetViews>
    <sheetView showGridLines="0" zoomScaleNormal="100" workbookViewId="0"/>
  </sheetViews>
  <sheetFormatPr defaultColWidth="9.1796875" defaultRowHeight="14.5"/>
  <cols>
    <col min="1" max="1" width="3.1796875" style="66" customWidth="1"/>
    <col min="2" max="2" width="40.81640625" style="480" customWidth="1"/>
    <col min="3" max="3" width="7.7265625" style="480" customWidth="1"/>
    <col min="4" max="4" width="8.7265625" style="480" customWidth="1"/>
    <col min="5" max="5" width="7.7265625" style="480" customWidth="1"/>
    <col min="6" max="6" width="8.26953125" style="480" customWidth="1"/>
    <col min="7" max="7" width="13.7265625" style="66" bestFit="1" customWidth="1"/>
    <col min="8" max="9" width="9.1796875" style="482" customWidth="1"/>
    <col min="10" max="10" width="9.1796875" style="483" customWidth="1"/>
    <col min="11" max="11" width="9.1796875" style="482" customWidth="1"/>
    <col min="12" max="12" width="9.1796875" style="66" customWidth="1"/>
    <col min="13" max="13" width="28.54296875" style="66" customWidth="1"/>
    <col min="14" max="16" width="9.1796875" style="66" customWidth="1"/>
    <col min="17" max="17" width="27.81640625" style="66" customWidth="1"/>
    <col min="18" max="18" width="9.1796875" style="66" customWidth="1"/>
    <col min="19" max="19" width="9.1796875" style="67" customWidth="1"/>
    <col min="20" max="20" width="9.1796875" style="66" customWidth="1"/>
    <col min="21" max="16384" width="9.1796875" style="66"/>
  </cols>
  <sheetData>
    <row r="1" spans="1:19">
      <c r="A1" s="479" t="s">
        <v>769</v>
      </c>
      <c r="F1" s="481"/>
    </row>
    <row r="2" spans="1:19" ht="12.75" customHeight="1">
      <c r="B2" s="66"/>
      <c r="C2" s="66"/>
      <c r="D2" s="66"/>
      <c r="E2" s="66"/>
      <c r="F2" s="66"/>
      <c r="G2" s="484"/>
      <c r="H2" s="66"/>
      <c r="I2" s="67"/>
      <c r="K2" s="66"/>
      <c r="S2" s="66"/>
    </row>
    <row r="3" spans="1:19" ht="28.5" customHeight="1">
      <c r="B3" s="610" t="s">
        <v>228</v>
      </c>
      <c r="C3" s="612"/>
      <c r="D3" s="612"/>
      <c r="E3" s="612"/>
      <c r="F3" s="612"/>
      <c r="G3" s="51"/>
      <c r="H3" s="66"/>
      <c r="I3" s="67"/>
      <c r="K3" s="66"/>
      <c r="S3" s="66"/>
    </row>
    <row r="4" spans="1:19" ht="12.75" customHeight="1">
      <c r="B4" s="611"/>
      <c r="C4" s="485">
        <v>2020</v>
      </c>
      <c r="D4" s="485">
        <v>2021</v>
      </c>
      <c r="E4" s="485">
        <v>2022</v>
      </c>
      <c r="F4" s="485">
        <v>2023</v>
      </c>
      <c r="H4" s="66"/>
      <c r="I4" s="66"/>
      <c r="K4" s="66"/>
      <c r="S4" s="66"/>
    </row>
    <row r="5" spans="1:19" ht="12.5">
      <c r="B5" s="486" t="s">
        <v>14</v>
      </c>
      <c r="C5" s="487">
        <v>56.56</v>
      </c>
      <c r="D5" s="487">
        <v>95.64</v>
      </c>
      <c r="E5" s="487">
        <v>89.33</v>
      </c>
      <c r="F5" s="487">
        <v>101.35</v>
      </c>
      <c r="G5" s="488"/>
      <c r="H5" s="66"/>
      <c r="I5" s="66"/>
      <c r="K5" s="66"/>
      <c r="S5" s="66"/>
    </row>
    <row r="6" spans="1:19" ht="12.5">
      <c r="B6" s="489" t="s">
        <v>15</v>
      </c>
      <c r="C6" s="487">
        <v>83.14</v>
      </c>
      <c r="D6" s="487">
        <v>89.4</v>
      </c>
      <c r="E6" s="487">
        <v>86.92</v>
      </c>
      <c r="F6" s="487">
        <v>87.63</v>
      </c>
      <c r="G6" s="488"/>
      <c r="H6" s="66"/>
      <c r="I6" s="66"/>
      <c r="K6" s="66"/>
      <c r="S6" s="66"/>
    </row>
    <row r="7" spans="1:19" ht="12.5">
      <c r="B7" s="489" t="s">
        <v>16</v>
      </c>
      <c r="C7" s="487">
        <v>314.74</v>
      </c>
      <c r="D7" s="487">
        <v>315.95999999999998</v>
      </c>
      <c r="E7" s="487">
        <v>315.79000000000002</v>
      </c>
      <c r="F7" s="487">
        <v>316.91000000000003</v>
      </c>
      <c r="G7" s="488"/>
      <c r="H7" s="66"/>
      <c r="I7" s="66"/>
      <c r="K7" s="66"/>
      <c r="S7" s="66"/>
    </row>
    <row r="8" spans="1:19" ht="12.5">
      <c r="B8" s="489" t="s">
        <v>17</v>
      </c>
      <c r="C8" s="487">
        <v>50.49</v>
      </c>
      <c r="D8" s="487">
        <v>48.83</v>
      </c>
      <c r="E8" s="487">
        <v>48.68</v>
      </c>
      <c r="F8" s="487">
        <v>47.3</v>
      </c>
      <c r="G8" s="488"/>
      <c r="H8" s="66"/>
      <c r="I8" s="66"/>
      <c r="K8" s="66"/>
      <c r="S8" s="66"/>
    </row>
    <row r="9" spans="1:19" ht="12.5">
      <c r="B9" s="489" t="s">
        <v>18</v>
      </c>
      <c r="C9" s="487">
        <v>50.1</v>
      </c>
      <c r="D9" s="487">
        <v>49.98</v>
      </c>
      <c r="E9" s="487">
        <v>37.159999999999997</v>
      </c>
      <c r="F9" s="487">
        <v>36.53</v>
      </c>
      <c r="G9" s="488"/>
      <c r="H9" s="66"/>
      <c r="I9" s="66"/>
      <c r="K9" s="66"/>
      <c r="S9" s="66"/>
    </row>
    <row r="10" spans="1:19" ht="12.5">
      <c r="B10" s="489" t="s">
        <v>19</v>
      </c>
      <c r="C10" s="487">
        <v>769.76</v>
      </c>
      <c r="D10" s="487">
        <v>759.85</v>
      </c>
      <c r="E10" s="487">
        <v>758</v>
      </c>
      <c r="F10" s="487">
        <v>758.87</v>
      </c>
      <c r="G10" s="488"/>
      <c r="H10" s="66"/>
      <c r="I10" s="66"/>
      <c r="K10" s="66"/>
      <c r="S10" s="66"/>
    </row>
    <row r="11" spans="1:19" ht="12.5">
      <c r="B11" s="489" t="s">
        <v>20</v>
      </c>
      <c r="C11" s="487">
        <v>188.01</v>
      </c>
      <c r="D11" s="487">
        <v>188.01</v>
      </c>
      <c r="E11" s="487">
        <v>146.99</v>
      </c>
      <c r="F11" s="487">
        <v>141.19</v>
      </c>
      <c r="G11" s="488"/>
      <c r="H11" s="66"/>
      <c r="I11" s="490"/>
      <c r="K11" s="66"/>
      <c r="S11" s="66"/>
    </row>
    <row r="12" spans="1:19" ht="12.5">
      <c r="B12" s="489" t="s">
        <v>21</v>
      </c>
      <c r="C12" s="487">
        <v>1803</v>
      </c>
      <c r="D12" s="487">
        <v>870.44</v>
      </c>
      <c r="E12" s="487">
        <v>816.14</v>
      </c>
      <c r="F12" s="487">
        <v>807.67</v>
      </c>
      <c r="G12" s="488"/>
      <c r="H12" s="66"/>
      <c r="I12" s="490"/>
      <c r="K12" s="66"/>
      <c r="S12" s="66"/>
    </row>
    <row r="13" spans="1:19" ht="12.5">
      <c r="B13" s="489" t="s">
        <v>22</v>
      </c>
      <c r="C13" s="487">
        <v>62.1</v>
      </c>
      <c r="D13" s="487">
        <v>77.319999999999993</v>
      </c>
      <c r="E13" s="487">
        <v>73.180000000000007</v>
      </c>
      <c r="F13" s="487">
        <v>74.3</v>
      </c>
      <c r="G13" s="488"/>
      <c r="H13" s="66"/>
      <c r="I13" s="490"/>
      <c r="K13" s="66"/>
      <c r="S13" s="66"/>
    </row>
    <row r="14" spans="1:19" ht="12.5">
      <c r="B14" s="489" t="s">
        <v>23</v>
      </c>
      <c r="C14" s="487">
        <v>82.74</v>
      </c>
      <c r="D14" s="487">
        <v>82.74</v>
      </c>
      <c r="E14" s="487">
        <v>79.61</v>
      </c>
      <c r="F14" s="487">
        <v>79.83</v>
      </c>
      <c r="G14" s="488"/>
      <c r="H14" s="66"/>
      <c r="I14" s="490"/>
      <c r="K14" s="66"/>
      <c r="S14" s="66"/>
    </row>
    <row r="15" spans="1:19" ht="12.5">
      <c r="B15" s="489" t="s">
        <v>24</v>
      </c>
      <c r="C15" s="487">
        <v>47.44</v>
      </c>
      <c r="D15" s="487">
        <v>47.28</v>
      </c>
      <c r="E15" s="487">
        <v>47.32</v>
      </c>
      <c r="F15" s="487">
        <v>43.2</v>
      </c>
      <c r="G15" s="488"/>
      <c r="H15" s="66"/>
      <c r="I15" s="490"/>
      <c r="K15" s="66"/>
      <c r="S15" s="66"/>
    </row>
    <row r="16" spans="1:19" ht="12.5">
      <c r="B16" s="489" t="s">
        <v>551</v>
      </c>
      <c r="C16" s="487">
        <v>142.68</v>
      </c>
      <c r="D16" s="487">
        <v>130.53</v>
      </c>
      <c r="E16" s="487">
        <v>128.65</v>
      </c>
      <c r="F16" s="487">
        <v>107.97</v>
      </c>
      <c r="G16" s="488"/>
      <c r="H16" s="66"/>
      <c r="I16" s="490"/>
      <c r="K16" s="66"/>
      <c r="S16" s="66"/>
    </row>
    <row r="17" spans="2:10" s="66" customFormat="1" ht="12.5">
      <c r="B17" s="489" t="s">
        <v>25</v>
      </c>
      <c r="C17" s="487">
        <v>255.1</v>
      </c>
      <c r="D17" s="487">
        <v>257.55</v>
      </c>
      <c r="E17" s="487">
        <v>294.87</v>
      </c>
      <c r="F17" s="487">
        <v>298.64</v>
      </c>
      <c r="G17" s="488"/>
      <c r="I17" s="490"/>
      <c r="J17" s="483"/>
    </row>
    <row r="18" spans="2:10" s="66" customFormat="1" ht="12.5">
      <c r="B18" s="489" t="s">
        <v>26</v>
      </c>
      <c r="C18" s="487">
        <v>752.41</v>
      </c>
      <c r="D18" s="487">
        <v>742.28</v>
      </c>
      <c r="E18" s="487">
        <v>724.14</v>
      </c>
      <c r="F18" s="487">
        <v>708.4</v>
      </c>
      <c r="G18" s="488"/>
      <c r="I18" s="490"/>
      <c r="J18" s="483"/>
    </row>
    <row r="19" spans="2:10" s="66" customFormat="1" ht="12.5">
      <c r="B19" s="489" t="s">
        <v>27</v>
      </c>
      <c r="C19" s="487">
        <v>951.01</v>
      </c>
      <c r="D19" s="487">
        <v>891.05</v>
      </c>
      <c r="E19" s="487">
        <v>859.27</v>
      </c>
      <c r="F19" s="487">
        <v>833.88</v>
      </c>
      <c r="G19" s="488"/>
      <c r="I19" s="490"/>
      <c r="J19" s="483"/>
    </row>
    <row r="20" spans="2:10" s="66" customFormat="1" ht="12.5">
      <c r="B20" s="489" t="s">
        <v>28</v>
      </c>
      <c r="C20" s="487">
        <v>1346.81</v>
      </c>
      <c r="D20" s="487">
        <v>629.01</v>
      </c>
      <c r="E20" s="487">
        <v>597.36</v>
      </c>
      <c r="F20" s="487">
        <v>589.61</v>
      </c>
      <c r="G20" s="488"/>
      <c r="I20" s="490"/>
      <c r="J20" s="483"/>
    </row>
    <row r="21" spans="2:10" s="66" customFormat="1" ht="12.5">
      <c r="B21" s="489" t="s">
        <v>29</v>
      </c>
      <c r="C21" s="487">
        <v>156.01</v>
      </c>
      <c r="D21" s="487">
        <v>152.5</v>
      </c>
      <c r="E21" s="487">
        <v>147.66</v>
      </c>
      <c r="F21" s="487">
        <v>147.44999999999999</v>
      </c>
      <c r="G21" s="491"/>
      <c r="I21" s="490"/>
      <c r="J21" s="483"/>
    </row>
    <row r="22" spans="2:10" s="66" customFormat="1" ht="12.5">
      <c r="B22" s="489" t="s">
        <v>30</v>
      </c>
      <c r="C22" s="487">
        <v>121.62</v>
      </c>
      <c r="D22" s="487">
        <v>101.96</v>
      </c>
      <c r="E22" s="487">
        <v>103.9</v>
      </c>
      <c r="F22" s="487">
        <v>72.290000000000006</v>
      </c>
      <c r="G22" s="488"/>
      <c r="I22" s="490"/>
      <c r="J22" s="483"/>
    </row>
    <row r="23" spans="2:10" s="66" customFormat="1" ht="12.5">
      <c r="B23" s="489" t="s">
        <v>31</v>
      </c>
      <c r="C23" s="487">
        <v>225.08</v>
      </c>
      <c r="D23" s="487">
        <v>224.25</v>
      </c>
      <c r="E23" s="487">
        <v>221.78</v>
      </c>
      <c r="F23" s="487">
        <v>221.67</v>
      </c>
      <c r="G23" s="488"/>
      <c r="I23" s="490"/>
      <c r="J23" s="483"/>
    </row>
    <row r="24" spans="2:10" s="66" customFormat="1" ht="12.5">
      <c r="B24" s="489" t="s">
        <v>32</v>
      </c>
      <c r="C24" s="487">
        <v>7.9</v>
      </c>
      <c r="D24" s="487">
        <v>5.8</v>
      </c>
      <c r="E24" s="487">
        <v>5.8</v>
      </c>
      <c r="F24" s="487">
        <v>5.8</v>
      </c>
      <c r="G24" s="488"/>
      <c r="I24" s="490"/>
      <c r="J24" s="483"/>
    </row>
    <row r="25" spans="2:10" s="66" customFormat="1" ht="12.5">
      <c r="B25" s="489" t="s">
        <v>33</v>
      </c>
      <c r="C25" s="487">
        <v>1199.29</v>
      </c>
      <c r="D25" s="487">
        <v>1192.79</v>
      </c>
      <c r="E25" s="487">
        <v>1118.6300000000001</v>
      </c>
      <c r="F25" s="487">
        <v>941.61</v>
      </c>
      <c r="G25" s="488"/>
      <c r="I25" s="490"/>
      <c r="J25" s="483"/>
    </row>
    <row r="26" spans="2:10" s="66" customFormat="1" ht="12.5">
      <c r="B26" s="489" t="s">
        <v>34</v>
      </c>
      <c r="C26" s="487">
        <v>1372.42</v>
      </c>
      <c r="D26" s="487">
        <v>1356.28</v>
      </c>
      <c r="E26" s="487">
        <v>1302.28</v>
      </c>
      <c r="F26" s="487">
        <v>1283.95</v>
      </c>
      <c r="G26" s="488"/>
      <c r="I26" s="490"/>
      <c r="J26" s="483"/>
    </row>
    <row r="27" spans="2:10" s="66" customFormat="1" ht="12.5">
      <c r="B27" s="489" t="s">
        <v>35</v>
      </c>
      <c r="C27" s="487">
        <v>31.77</v>
      </c>
      <c r="D27" s="487">
        <v>31.77</v>
      </c>
      <c r="E27" s="487">
        <v>31.77</v>
      </c>
      <c r="F27" s="487">
        <v>31.77</v>
      </c>
      <c r="G27" s="488"/>
      <c r="I27" s="490"/>
      <c r="J27" s="483"/>
    </row>
    <row r="28" spans="2:10" s="66" customFormat="1" ht="12.5">
      <c r="B28" s="489" t="s">
        <v>36</v>
      </c>
      <c r="C28" s="487">
        <v>52.75</v>
      </c>
      <c r="D28" s="487">
        <v>50.55</v>
      </c>
      <c r="E28" s="487">
        <v>50.07</v>
      </c>
      <c r="F28" s="487">
        <v>50.07</v>
      </c>
      <c r="G28" s="488"/>
      <c r="I28" s="490"/>
      <c r="J28" s="483"/>
    </row>
    <row r="29" spans="2:10" s="66" customFormat="1" ht="12.5">
      <c r="B29" s="489" t="s">
        <v>37</v>
      </c>
      <c r="C29" s="487">
        <v>246.7</v>
      </c>
      <c r="D29" s="487">
        <v>228.3</v>
      </c>
      <c r="E29" s="487">
        <v>253.82</v>
      </c>
      <c r="F29" s="487">
        <v>244.8</v>
      </c>
      <c r="G29" s="488"/>
      <c r="I29" s="490"/>
      <c r="J29" s="483"/>
    </row>
    <row r="30" spans="2:10" s="66" customFormat="1" ht="12.5">
      <c r="B30" s="489" t="s">
        <v>38</v>
      </c>
      <c r="C30" s="487">
        <v>51.01</v>
      </c>
      <c r="D30" s="487">
        <v>45.12</v>
      </c>
      <c r="E30" s="487">
        <v>41.61</v>
      </c>
      <c r="F30" s="487">
        <v>42.31</v>
      </c>
      <c r="G30" s="488"/>
      <c r="I30" s="490"/>
      <c r="J30" s="483"/>
    </row>
    <row r="31" spans="2:10" s="66" customFormat="1" ht="12.5">
      <c r="B31" s="489" t="s">
        <v>39</v>
      </c>
      <c r="C31" s="487">
        <v>7.02</v>
      </c>
      <c r="D31" s="487">
        <v>7.02</v>
      </c>
      <c r="E31" s="487">
        <v>7.02</v>
      </c>
      <c r="F31" s="487">
        <v>7.02</v>
      </c>
      <c r="G31" s="488"/>
      <c r="I31" s="490"/>
      <c r="J31" s="483"/>
    </row>
    <row r="32" spans="2:10" s="66" customFormat="1" ht="12.5">
      <c r="B32" s="489" t="s">
        <v>40</v>
      </c>
      <c r="C32" s="487">
        <v>128.58000000000001</v>
      </c>
      <c r="D32" s="487">
        <v>107.87</v>
      </c>
      <c r="E32" s="487">
        <v>106.72</v>
      </c>
      <c r="F32" s="487">
        <v>108.35</v>
      </c>
      <c r="G32" s="488"/>
      <c r="I32" s="490"/>
      <c r="J32" s="483"/>
    </row>
    <row r="33" spans="1:10" s="66" customFormat="1" ht="12.5">
      <c r="B33" s="489" t="s">
        <v>41</v>
      </c>
      <c r="C33" s="487">
        <v>368.35</v>
      </c>
      <c r="D33" s="487">
        <v>356.01</v>
      </c>
      <c r="E33" s="487">
        <v>362.82</v>
      </c>
      <c r="F33" s="487">
        <v>313.68</v>
      </c>
      <c r="G33" s="488"/>
      <c r="I33" s="490"/>
      <c r="J33" s="483"/>
    </row>
    <row r="34" spans="1:10" s="66" customFormat="1" ht="12.5">
      <c r="B34" s="489" t="s">
        <v>530</v>
      </c>
      <c r="C34" s="487">
        <f>SUM(C33,C26)</f>
        <v>1740.77</v>
      </c>
      <c r="D34" s="487">
        <f t="shared" ref="D34:F34" si="0">SUM(D33,D26)</f>
        <v>1712.29</v>
      </c>
      <c r="E34" s="487">
        <f t="shared" si="0"/>
        <v>1665.1</v>
      </c>
      <c r="F34" s="487">
        <f t="shared" si="0"/>
        <v>1597.63</v>
      </c>
      <c r="G34" s="488"/>
      <c r="I34" s="490"/>
      <c r="J34" s="483"/>
    </row>
    <row r="35" spans="1:10" s="66" customFormat="1" ht="12.5">
      <c r="B35" s="489" t="s">
        <v>42</v>
      </c>
      <c r="C35" s="487">
        <v>127.12</v>
      </c>
      <c r="D35" s="487">
        <v>125.96</v>
      </c>
      <c r="E35" s="487">
        <v>124.48</v>
      </c>
      <c r="F35" s="487">
        <v>121.86</v>
      </c>
      <c r="G35" s="488"/>
      <c r="I35" s="490"/>
      <c r="J35" s="483"/>
    </row>
    <row r="36" spans="1:10" s="66" customFormat="1" ht="12.5">
      <c r="B36" s="489" t="s">
        <v>43</v>
      </c>
      <c r="C36" s="487">
        <v>162.84</v>
      </c>
      <c r="D36" s="487">
        <v>149.11000000000001</v>
      </c>
      <c r="E36" s="487">
        <v>149.93</v>
      </c>
      <c r="F36" s="487">
        <v>143.94</v>
      </c>
      <c r="G36" s="488"/>
      <c r="I36" s="490"/>
      <c r="J36" s="483"/>
    </row>
    <row r="37" spans="1:10" s="66" customFormat="1" ht="12.5">
      <c r="B37" s="489" t="s">
        <v>44</v>
      </c>
      <c r="C37" s="487">
        <v>338.02</v>
      </c>
      <c r="D37" s="487">
        <v>338.02</v>
      </c>
      <c r="E37" s="487">
        <v>334.91</v>
      </c>
      <c r="F37" s="487">
        <v>334.91</v>
      </c>
      <c r="G37" s="488"/>
      <c r="I37" s="490"/>
      <c r="J37" s="483"/>
    </row>
    <row r="38" spans="1:10" s="66" customFormat="1" ht="12.5">
      <c r="B38" s="489" t="s">
        <v>47</v>
      </c>
      <c r="C38" s="478">
        <f>SUM(C36+C33+C29+C26+C21+C19+C15+C13)</f>
        <v>3366.8700000000008</v>
      </c>
      <c r="D38" s="478">
        <f>SUM(D36+D33+D29+D26+D21+D19+D15+D13)</f>
        <v>3257.8500000000004</v>
      </c>
      <c r="E38" s="478">
        <f>SUM(E36+E33+E29+E26+E21+E19+E15+E13)</f>
        <v>3196.2799999999997</v>
      </c>
      <c r="F38" s="478">
        <f>SUM(F36+F33+F29+F26+F21+F19+F15+F13)</f>
        <v>3085.2000000000003</v>
      </c>
      <c r="G38" s="488"/>
      <c r="I38" s="490"/>
      <c r="J38" s="483"/>
    </row>
    <row r="39" spans="1:10" s="66" customFormat="1" ht="12.5">
      <c r="B39" s="6" t="s">
        <v>543</v>
      </c>
      <c r="C39" s="478">
        <f>AVERAGE(AVERAGEIFS(C$5:C$37,$B$5:$B$37,{"Na h-Eileanan Siar","Argyll and Bute","Shetland Islands","Highland","Orkney Islands","Scottish Borders","Dumfries and Galloway","Aberdeenshire"}))</f>
        <v>293.48750000000001</v>
      </c>
      <c r="D39" s="478">
        <f>AVERAGE(AVERAGEIFS(D$5:D$37,$B$5:$B$37,{"Na h-Eileanan Siar","Argyll and Bute","Shetland Islands","Highland","Orkney Islands","Scottish Borders","Dumfries and Galloway","Aberdeenshire"}))</f>
        <v>202.10000000000002</v>
      </c>
      <c r="E39" s="478">
        <f>AVERAGE(AVERAGEIFS(E$5:E$37,$B$5:$B$37,{"Na h-Eileanan Siar","Argyll and Bute","Shetland Islands","Highland","Orkney Islands","Scottish Borders","Dumfries and Galloway","Aberdeenshire"}))</f>
        <v>197.14500000000001</v>
      </c>
      <c r="F39" s="478">
        <f>AVERAGE(AVERAGEIFS(F$5:F$37,$B$5:$B$37,{"Na h-Eileanan Siar","Argyll and Bute","Shetland Islands","Highland","Orkney Islands","Scottish Borders","Dumfries and Galloway","Aberdeenshire"}))</f>
        <v>196.28874999999999</v>
      </c>
      <c r="G39" s="488"/>
      <c r="I39" s="490"/>
      <c r="J39" s="483"/>
    </row>
    <row r="40" spans="1:10" s="66" customFormat="1" ht="12.5">
      <c r="B40" s="6" t="s">
        <v>544</v>
      </c>
      <c r="C40" s="478">
        <f>AVERAGE(AVERAGEIFS(C$5:C$37,$B$5:$B$37,{"Perth and Kinross","Stirling","Moray","South Ayrshire","East Ayrshire","East Lothian","North Ayrshire","Fife"}))</f>
        <v>546.37125000000003</v>
      </c>
      <c r="D40" s="478">
        <f>AVERAGE(AVERAGEIFS(D$5:D$37,$B$5:$B$37,{"Perth and Kinross","Stirling","Moray","South Ayrshire","East Ayrshire","East Lothian","North Ayrshire","Fife"}))</f>
        <v>424.61</v>
      </c>
      <c r="E40" s="478">
        <f>AVERAGE(AVERAGEIFS(E$5:E$37,$B$5:$B$37,{"Perth and Kinross","Stirling","Moray","South Ayrshire","East Ayrshire","East Lothian","North Ayrshire","Fife"}))</f>
        <v>405.19625000000002</v>
      </c>
      <c r="F40" s="478">
        <f>AVERAGE(AVERAGEIFS(F$5:F$37,$B$5:$B$37,{"Perth and Kinross","Stirling","Moray","South Ayrshire","East Ayrshire","East Lothian","North Ayrshire","Fife"}))</f>
        <v>379.9325</v>
      </c>
      <c r="G40" s="488"/>
      <c r="I40" s="490"/>
      <c r="J40" s="483"/>
    </row>
    <row r="41" spans="1:10" s="66" customFormat="1" ht="12.5">
      <c r="B41" s="6" t="s">
        <v>545</v>
      </c>
      <c r="C41" s="478">
        <f>AVERAGE(AVERAGEIFS(C$5:C$37,$B$5:$B$37,{"Angus","Clackmannanshire","Midlothian","South Lanarkshire","Inverclyde","Renfrewshire","West Lothian","East Renfrewshire"}))</f>
        <v>205.3725</v>
      </c>
      <c r="D41" s="478">
        <f>AVERAGE(AVERAGEIFS(D$5:D$37,$B$5:$B$37,{"Angus","Clackmannanshire","Midlothian","South Lanarkshire","Inverclyde","Renfrewshire","West Lothian","East Renfrewshire"}))</f>
        <v>198.75125</v>
      </c>
      <c r="E41" s="478">
        <f>AVERAGE(AVERAGEIFS(E$5:E$37,$B$5:$B$37,{"Angus","Clackmannanshire","Midlothian","South Lanarkshire","Inverclyde","Renfrewshire","West Lothian","East Renfrewshire"}))</f>
        <v>200.42250000000001</v>
      </c>
      <c r="F41" s="478">
        <f>AVERAGE(AVERAGEIFS(F$5:F$37,$B$5:$B$37,{"Angus","Clackmannanshire","Midlothian","South Lanarkshire","Inverclyde","Renfrewshire","West Lothian","East Renfrewshire"}))</f>
        <v>188.72125000000003</v>
      </c>
      <c r="G41" s="488"/>
      <c r="I41" s="490"/>
      <c r="J41" s="483"/>
    </row>
    <row r="42" spans="1:10" s="66" customFormat="1" ht="12.5">
      <c r="B42" s="6" t="s">
        <v>546</v>
      </c>
      <c r="C42" s="478">
        <f>AVERAGE(C26,C17,C13,C5,C16,C36,C11,C19)</f>
        <v>398.84000000000003</v>
      </c>
      <c r="D42" s="478">
        <f>AVERAGE(D26,D17,D13,D5,D16,D36,D11,D19)</f>
        <v>393.18624999999997</v>
      </c>
      <c r="E42" s="478">
        <f>AVERAGE(E26,E17,E13,E5,E16,E36,E11,E19)</f>
        <v>380.56250000000006</v>
      </c>
      <c r="F42" s="478">
        <f>AVERAGE(F26,F17,F13,F5,F16,F36,F11,F19)</f>
        <v>373.15250000000003</v>
      </c>
      <c r="G42" s="488"/>
      <c r="I42" s="490"/>
      <c r="J42" s="483"/>
    </row>
    <row r="43" spans="1:10" s="66" customFormat="1">
      <c r="B43" s="492" t="s">
        <v>45</v>
      </c>
      <c r="C43" s="478">
        <v>11559.45</v>
      </c>
      <c r="D43" s="478">
        <v>9756.06</v>
      </c>
      <c r="E43" s="478">
        <v>9473.31</v>
      </c>
      <c r="F43" s="478">
        <v>9111.4699999999993</v>
      </c>
      <c r="G43" s="493"/>
      <c r="I43" s="67"/>
      <c r="J43" s="483"/>
    </row>
    <row r="44" spans="1:10" s="66" customFormat="1">
      <c r="C44" s="480"/>
      <c r="D44" s="69"/>
      <c r="E44" s="69"/>
      <c r="F44" s="69"/>
      <c r="G44" s="494"/>
      <c r="I44" s="67"/>
      <c r="J44" s="483"/>
    </row>
    <row r="45" spans="1:10" s="66" customFormat="1">
      <c r="A45" s="495">
        <v>1</v>
      </c>
      <c r="B45" s="496" t="s">
        <v>227</v>
      </c>
      <c r="C45" s="496"/>
      <c r="D45" s="496"/>
      <c r="E45" s="497"/>
      <c r="F45" s="497"/>
      <c r="G45" s="498"/>
      <c r="I45" s="67"/>
      <c r="J45" s="483"/>
    </row>
    <row r="46" spans="1:10" s="66" customFormat="1">
      <c r="A46" s="495">
        <v>2</v>
      </c>
      <c r="B46" s="496" t="s">
        <v>226</v>
      </c>
      <c r="C46" s="496"/>
      <c r="D46" s="496"/>
      <c r="E46" s="496"/>
      <c r="F46" s="496"/>
      <c r="G46" s="498"/>
      <c r="I46" s="67"/>
      <c r="J46" s="483"/>
    </row>
    <row r="47" spans="1:10" s="66" customFormat="1" ht="12.75" customHeight="1">
      <c r="A47" s="495">
        <v>3</v>
      </c>
      <c r="B47" s="609" t="s">
        <v>225</v>
      </c>
      <c r="C47" s="609"/>
      <c r="D47" s="609"/>
      <c r="E47" s="609"/>
      <c r="F47" s="609"/>
      <c r="G47" s="499"/>
      <c r="I47" s="67"/>
      <c r="J47" s="483"/>
    </row>
    <row r="48" spans="1:10" s="66" customFormat="1">
      <c r="A48" s="500" t="s">
        <v>121</v>
      </c>
      <c r="B48" s="609"/>
      <c r="C48" s="609"/>
      <c r="D48" s="609"/>
      <c r="E48" s="609"/>
      <c r="F48" s="609"/>
      <c r="G48" s="499"/>
      <c r="I48" s="67"/>
      <c r="J48" s="483"/>
    </row>
    <row r="49" spans="1:19" ht="27" customHeight="1">
      <c r="A49" s="500"/>
      <c r="B49" s="609"/>
      <c r="C49" s="609"/>
      <c r="D49" s="609"/>
      <c r="E49" s="609"/>
      <c r="F49" s="609"/>
      <c r="G49" s="499"/>
      <c r="H49" s="66"/>
      <c r="I49" s="67"/>
      <c r="K49" s="66"/>
      <c r="S49" s="66"/>
    </row>
    <row r="50" spans="1:19" ht="12.75" customHeight="1">
      <c r="A50" s="495">
        <v>4</v>
      </c>
      <c r="B50" s="609" t="s">
        <v>224</v>
      </c>
      <c r="C50" s="609"/>
      <c r="D50" s="609"/>
      <c r="E50" s="609"/>
      <c r="F50" s="609"/>
      <c r="G50" s="499"/>
      <c r="H50" s="66"/>
      <c r="I50" s="67"/>
      <c r="K50" s="66"/>
      <c r="S50" s="66"/>
    </row>
    <row r="51" spans="1:19">
      <c r="A51" s="500"/>
      <c r="B51" s="609"/>
      <c r="C51" s="609"/>
      <c r="D51" s="609"/>
      <c r="E51" s="609"/>
      <c r="F51" s="609"/>
      <c r="G51" s="499"/>
      <c r="H51" s="66"/>
      <c r="I51" s="67"/>
      <c r="K51" s="66"/>
      <c r="S51" s="66"/>
    </row>
    <row r="52" spans="1:19" ht="27.75" customHeight="1">
      <c r="A52" s="500"/>
      <c r="B52" s="609"/>
      <c r="C52" s="609"/>
      <c r="D52" s="609"/>
      <c r="E52" s="609"/>
      <c r="F52" s="609"/>
      <c r="G52" s="499"/>
      <c r="H52" s="66"/>
      <c r="I52" s="67"/>
      <c r="K52" s="66"/>
      <c r="S52" s="66"/>
    </row>
    <row r="53" spans="1:19" ht="12.75" customHeight="1">
      <c r="A53" s="495">
        <v>5</v>
      </c>
      <c r="B53" s="609" t="s">
        <v>223</v>
      </c>
      <c r="C53" s="609"/>
      <c r="D53" s="609"/>
      <c r="E53" s="609"/>
      <c r="F53" s="609"/>
      <c r="G53" s="499"/>
      <c r="H53" s="66"/>
      <c r="I53" s="67"/>
      <c r="K53" s="66"/>
      <c r="S53" s="66"/>
    </row>
    <row r="54" spans="1:19">
      <c r="A54" s="500"/>
      <c r="B54" s="609"/>
      <c r="C54" s="609"/>
      <c r="D54" s="609"/>
      <c r="E54" s="609"/>
      <c r="F54" s="609"/>
      <c r="G54" s="499"/>
      <c r="H54" s="66"/>
      <c r="I54" s="67"/>
      <c r="K54" s="66"/>
      <c r="S54" s="66"/>
    </row>
    <row r="55" spans="1:19">
      <c r="A55" s="495">
        <v>6</v>
      </c>
      <c r="B55" s="66" t="s">
        <v>222</v>
      </c>
      <c r="C55" s="66"/>
      <c r="D55" s="66"/>
      <c r="E55" s="66"/>
      <c r="F55" s="501"/>
      <c r="H55" s="66"/>
      <c r="I55" s="67"/>
      <c r="K55" s="66"/>
      <c r="S55" s="66"/>
    </row>
    <row r="56" spans="1:19" s="503" customFormat="1" ht="12.5">
      <c r="A56" s="495">
        <v>7</v>
      </c>
      <c r="B56" s="66" t="s">
        <v>221</v>
      </c>
      <c r="C56" s="502"/>
      <c r="D56" s="502"/>
      <c r="E56" s="502"/>
      <c r="F56" s="502"/>
      <c r="S56" s="68"/>
    </row>
    <row r="57" spans="1:19" s="503" customFormat="1" ht="12.5">
      <c r="S57" s="68"/>
    </row>
  </sheetData>
  <mergeCells count="5">
    <mergeCell ref="B53:F54"/>
    <mergeCell ref="B3:B4"/>
    <mergeCell ref="C3:F3"/>
    <mergeCell ref="B47:F49"/>
    <mergeCell ref="B50:F52"/>
  </mergeCells>
  <conditionalFormatting sqref="A1:XFD1048576">
    <cfRule type="expression" dxfId="13" priority="1">
      <formula>_xlfn.ISFORMULA(A1)</formula>
    </cfRule>
  </conditionalFormatting>
  <pageMargins left="0.75" right="0.75" top="1" bottom="1" header="0.5" footer="0.5"/>
  <pageSetup paperSize="9" scale="73" orientation="portrait"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autoPageBreaks="0"/>
  </sheetPr>
  <dimension ref="A1:Q53"/>
  <sheetViews>
    <sheetView workbookViewId="0"/>
  </sheetViews>
  <sheetFormatPr defaultColWidth="8.7265625" defaultRowHeight="14.5"/>
  <cols>
    <col min="1" max="1" width="25" customWidth="1" collapsed="1"/>
    <col min="2" max="17" width="14" customWidth="1" collapsed="1"/>
  </cols>
  <sheetData>
    <row r="1" spans="1:17" ht="15.5">
      <c r="A1" s="1" t="s">
        <v>0</v>
      </c>
    </row>
    <row r="2" spans="1:17">
      <c r="A2" s="2" t="s">
        <v>62</v>
      </c>
    </row>
    <row r="4" spans="1:17">
      <c r="A4" s="6" t="s">
        <v>1</v>
      </c>
      <c r="B4" s="6"/>
    </row>
    <row r="5" spans="1:17">
      <c r="A5" s="6" t="s">
        <v>3</v>
      </c>
      <c r="B5" s="6" t="s">
        <v>557</v>
      </c>
    </row>
    <row r="7" spans="1:17" ht="22" customHeight="1">
      <c r="A7" s="12" t="s">
        <v>5</v>
      </c>
      <c r="B7" s="603">
        <v>2019</v>
      </c>
      <c r="C7" s="603"/>
      <c r="D7" s="603"/>
      <c r="E7" s="603"/>
      <c r="F7" s="603">
        <v>2020</v>
      </c>
      <c r="G7" s="603"/>
      <c r="H7" s="603"/>
      <c r="I7" s="603"/>
      <c r="J7" s="603">
        <v>2021</v>
      </c>
      <c r="K7" s="603"/>
      <c r="L7" s="603"/>
      <c r="M7" s="603"/>
      <c r="N7" s="603">
        <v>2022</v>
      </c>
      <c r="O7" s="603"/>
      <c r="P7" s="603"/>
      <c r="Q7" s="603"/>
    </row>
    <row r="8" spans="1:17"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row>
    <row r="9" spans="1:17">
      <c r="A9" s="6" t="s">
        <v>14</v>
      </c>
      <c r="B9" s="10">
        <v>12.65</v>
      </c>
      <c r="C9" s="10">
        <v>20562.628000000001</v>
      </c>
      <c r="D9" s="9">
        <v>6.1519373885478061E-2</v>
      </c>
      <c r="E9" s="9"/>
      <c r="F9" s="10"/>
      <c r="G9" s="10"/>
      <c r="H9" s="9" t="s">
        <v>455</v>
      </c>
      <c r="I9" s="9"/>
      <c r="J9" s="10">
        <v>12.54</v>
      </c>
      <c r="K9" s="10">
        <v>18572</v>
      </c>
      <c r="L9" s="9">
        <v>6.7520999353866032E-2</v>
      </c>
      <c r="M9" s="9"/>
      <c r="N9" s="10">
        <v>14.71</v>
      </c>
      <c r="O9" s="10">
        <v>18572</v>
      </c>
      <c r="P9" s="9">
        <v>6.7520999353866032E-2</v>
      </c>
      <c r="Q9" s="9"/>
    </row>
    <row r="10" spans="1:17">
      <c r="A10" s="6" t="s">
        <v>15</v>
      </c>
      <c r="B10" s="10">
        <v>42.37</v>
      </c>
      <c r="C10" s="10">
        <v>633873.223</v>
      </c>
      <c r="D10" s="9">
        <v>6.6843019175776086E-3</v>
      </c>
      <c r="E10" s="10"/>
      <c r="F10" s="10"/>
      <c r="G10" s="10"/>
      <c r="H10" s="9" t="s">
        <v>455</v>
      </c>
      <c r="I10" s="9"/>
      <c r="J10" s="10">
        <v>47.51</v>
      </c>
      <c r="K10" s="10">
        <v>631800</v>
      </c>
      <c r="L10" s="9">
        <v>7.5197847420069644E-3</v>
      </c>
      <c r="M10" s="10"/>
      <c r="N10" s="10">
        <v>57.9</v>
      </c>
      <c r="O10" s="10">
        <v>631800</v>
      </c>
      <c r="P10" s="9">
        <v>7.5197847420069644E-3</v>
      </c>
      <c r="Q10" s="10"/>
    </row>
    <row r="11" spans="1:17">
      <c r="A11" s="6" t="s">
        <v>16</v>
      </c>
      <c r="B11" s="10">
        <v>222.76</v>
      </c>
      <c r="C11" s="10">
        <v>220389.27499999999</v>
      </c>
      <c r="D11" s="9">
        <v>0.10107569889687236</v>
      </c>
      <c r="E11" s="9"/>
      <c r="F11" s="10"/>
      <c r="G11" s="10"/>
      <c r="H11" s="9" t="s">
        <v>455</v>
      </c>
      <c r="I11" s="9"/>
      <c r="J11" s="10">
        <v>219.54</v>
      </c>
      <c r="K11" s="10">
        <v>218534</v>
      </c>
      <c r="L11" s="9">
        <v>0.10046034026741835</v>
      </c>
      <c r="M11" s="9"/>
      <c r="N11" s="10">
        <v>219.54</v>
      </c>
      <c r="O11" s="10">
        <v>218534</v>
      </c>
      <c r="P11" s="9">
        <v>0.10046034026741835</v>
      </c>
      <c r="Q11" s="9"/>
    </row>
    <row r="12" spans="1:17">
      <c r="A12" s="6" t="s">
        <v>17</v>
      </c>
      <c r="B12" s="10">
        <v>38.06</v>
      </c>
      <c r="C12" s="10">
        <v>716427.64599999995</v>
      </c>
      <c r="D12" s="9">
        <v>5.3124694744122155E-3</v>
      </c>
      <c r="E12" s="10"/>
      <c r="F12" s="10"/>
      <c r="G12" s="10"/>
      <c r="H12" s="9" t="s">
        <v>455</v>
      </c>
      <c r="I12" s="9"/>
      <c r="J12" s="10">
        <v>35.89</v>
      </c>
      <c r="K12" s="10">
        <v>700642</v>
      </c>
      <c r="L12" s="9">
        <v>5.1224448434435844E-3</v>
      </c>
      <c r="M12" s="10"/>
      <c r="N12" s="10">
        <v>35.89</v>
      </c>
      <c r="O12" s="10">
        <v>700642</v>
      </c>
      <c r="P12" s="9">
        <v>5.1224448434435844E-3</v>
      </c>
      <c r="Q12" s="10"/>
    </row>
    <row r="13" spans="1:17">
      <c r="A13" s="6" t="s">
        <v>189</v>
      </c>
      <c r="B13" s="10">
        <v>87.42</v>
      </c>
      <c r="C13" s="10">
        <v>27300.419000000002</v>
      </c>
      <c r="D13" s="9">
        <v>0.32021486556671525</v>
      </c>
      <c r="E13" s="9"/>
      <c r="F13" s="10"/>
      <c r="G13" s="10"/>
      <c r="H13" s="9" t="s">
        <v>455</v>
      </c>
      <c r="I13" s="9"/>
      <c r="J13" s="10">
        <v>79.760000000000005</v>
      </c>
      <c r="K13" s="10">
        <v>26330</v>
      </c>
      <c r="L13" s="9">
        <v>0.30292442081276116</v>
      </c>
      <c r="M13" s="9"/>
      <c r="N13" s="10">
        <v>79.47</v>
      </c>
      <c r="O13" s="10">
        <v>26330</v>
      </c>
      <c r="P13" s="9">
        <v>0.30292442081276116</v>
      </c>
      <c r="Q13" s="9"/>
    </row>
    <row r="14" spans="1:17">
      <c r="A14" s="6" t="s">
        <v>18</v>
      </c>
      <c r="B14" s="10">
        <v>40.950000000000003</v>
      </c>
      <c r="C14" s="10">
        <v>16391.262999999999</v>
      </c>
      <c r="D14" s="9">
        <v>0.24982821641016928</v>
      </c>
      <c r="E14" s="10"/>
      <c r="F14" s="10"/>
      <c r="G14" s="10"/>
      <c r="H14" s="9" t="s">
        <v>455</v>
      </c>
      <c r="I14" s="10"/>
      <c r="J14" s="10">
        <v>40.950000000000003</v>
      </c>
      <c r="K14" s="10">
        <v>15868</v>
      </c>
      <c r="L14" s="9">
        <v>0.25806654902949333</v>
      </c>
      <c r="M14" s="10"/>
      <c r="N14" s="10">
        <v>29.22</v>
      </c>
      <c r="O14" s="10">
        <v>15868</v>
      </c>
      <c r="P14" s="9">
        <v>0.25806654902949333</v>
      </c>
      <c r="Q14" s="10"/>
    </row>
    <row r="15" spans="1:17">
      <c r="A15" s="6" t="s">
        <v>19</v>
      </c>
      <c r="B15" s="10">
        <v>294.36</v>
      </c>
      <c r="C15" s="10">
        <v>667631.48499999999</v>
      </c>
      <c r="D15" s="9">
        <v>4.4090191462435306E-2</v>
      </c>
      <c r="E15" s="9"/>
      <c r="F15" s="10"/>
      <c r="G15" s="10"/>
      <c r="H15" s="9" t="s">
        <v>455</v>
      </c>
      <c r="I15" s="9"/>
      <c r="J15" s="10">
        <v>730.84</v>
      </c>
      <c r="K15" s="10">
        <v>643806</v>
      </c>
      <c r="L15" s="9">
        <v>0.11351866866726934</v>
      </c>
      <c r="M15" s="9"/>
      <c r="N15" s="10">
        <v>731.43</v>
      </c>
      <c r="O15" s="10">
        <v>643806</v>
      </c>
      <c r="P15" s="9">
        <v>0.11351866866726934</v>
      </c>
      <c r="Q15" s="9"/>
    </row>
    <row r="16" spans="1:17">
      <c r="A16" s="6" t="s">
        <v>20</v>
      </c>
      <c r="B16" s="10">
        <v>13.73</v>
      </c>
      <c r="C16" s="10">
        <v>6222.375</v>
      </c>
      <c r="D16" s="9">
        <v>0.22065529641013279</v>
      </c>
      <c r="E16" s="9"/>
      <c r="F16" s="10"/>
      <c r="G16" s="10"/>
      <c r="H16" s="9" t="s">
        <v>455</v>
      </c>
      <c r="I16" s="9"/>
      <c r="J16" s="10">
        <v>13.73</v>
      </c>
      <c r="K16" s="10">
        <v>5982</v>
      </c>
      <c r="L16" s="9">
        <v>0.22952189903042461</v>
      </c>
      <c r="M16" s="9"/>
      <c r="N16" s="10">
        <v>11.43</v>
      </c>
      <c r="O16" s="10">
        <v>5982</v>
      </c>
      <c r="P16" s="9">
        <v>0.22952189903042461</v>
      </c>
      <c r="Q16" s="9"/>
    </row>
    <row r="17" spans="1:17">
      <c r="A17" s="6" t="s">
        <v>21</v>
      </c>
      <c r="B17" s="10">
        <v>1736.21</v>
      </c>
      <c r="C17" s="10">
        <v>127034.20299999999</v>
      </c>
      <c r="D17" s="9">
        <v>1.366726408320128</v>
      </c>
      <c r="E17" s="9"/>
      <c r="F17" s="10"/>
      <c r="G17" s="10"/>
      <c r="H17" s="9" t="s">
        <v>455</v>
      </c>
      <c r="I17" s="9"/>
      <c r="J17" s="10">
        <v>825.39</v>
      </c>
      <c r="K17" s="10">
        <v>127033</v>
      </c>
      <c r="L17" s="9">
        <v>0.64974455456456204</v>
      </c>
      <c r="M17" s="9"/>
      <c r="N17" s="10">
        <v>779.03</v>
      </c>
      <c r="O17" s="10">
        <v>127033</v>
      </c>
      <c r="P17" s="9">
        <v>0.64974455456456204</v>
      </c>
      <c r="Q17" s="9"/>
    </row>
    <row r="18" spans="1:17">
      <c r="A18" s="6" t="s">
        <v>22</v>
      </c>
      <c r="B18" s="10">
        <v>42.8</v>
      </c>
      <c r="C18" s="10">
        <v>17448.901999999998</v>
      </c>
      <c r="D18" s="9">
        <v>0.24528764044866547</v>
      </c>
      <c r="E18" s="9"/>
      <c r="F18" s="10"/>
      <c r="G18" s="10"/>
      <c r="H18" s="9" t="s">
        <v>455</v>
      </c>
      <c r="I18" s="9"/>
      <c r="J18" s="10">
        <v>42.94</v>
      </c>
      <c r="K18" s="10">
        <v>17461</v>
      </c>
      <c r="L18" s="9">
        <v>0.24591947769314471</v>
      </c>
      <c r="M18" s="9"/>
      <c r="N18" s="10">
        <v>42.94</v>
      </c>
      <c r="O18" s="10">
        <v>17461</v>
      </c>
      <c r="P18" s="9">
        <v>0.24591947769314471</v>
      </c>
      <c r="Q18" s="9"/>
    </row>
    <row r="19" spans="1:17">
      <c r="A19" s="6" t="s">
        <v>23</v>
      </c>
      <c r="B19" s="10">
        <v>78.7</v>
      </c>
      <c r="C19" s="10">
        <v>70093.733999999997</v>
      </c>
      <c r="D19" s="9">
        <v>0.11227822447010742</v>
      </c>
      <c r="E19" s="9"/>
      <c r="F19" s="10"/>
      <c r="G19" s="10"/>
      <c r="H19" s="9" t="s">
        <v>455</v>
      </c>
      <c r="I19" s="10"/>
      <c r="J19" s="10">
        <v>76.45</v>
      </c>
      <c r="K19" s="10">
        <v>67928</v>
      </c>
      <c r="L19" s="9">
        <v>0.11254563655635379</v>
      </c>
      <c r="M19" s="9"/>
      <c r="N19" s="10">
        <v>74.44</v>
      </c>
      <c r="O19" s="10">
        <v>67928</v>
      </c>
      <c r="P19" s="9">
        <v>0.11254563655635379</v>
      </c>
      <c r="Q19" s="9"/>
    </row>
    <row r="20" spans="1:17">
      <c r="A20" s="6" t="s">
        <v>24</v>
      </c>
      <c r="B20" s="10">
        <v>33.79</v>
      </c>
      <c r="C20" s="10">
        <v>17424.949000000001</v>
      </c>
      <c r="D20" s="9">
        <v>0.19391735378967251</v>
      </c>
      <c r="E20" s="9"/>
      <c r="F20" s="10"/>
      <c r="G20" s="10"/>
      <c r="H20" s="9" t="s">
        <v>455</v>
      </c>
      <c r="I20" s="9"/>
      <c r="J20" s="10">
        <v>31.54</v>
      </c>
      <c r="K20" s="10">
        <v>17379</v>
      </c>
      <c r="L20" s="9">
        <v>0.18148339950514988</v>
      </c>
      <c r="M20" s="9"/>
      <c r="N20" s="10">
        <v>31.8</v>
      </c>
      <c r="O20" s="10">
        <v>17379</v>
      </c>
      <c r="P20" s="9">
        <v>0.18148339950514988</v>
      </c>
      <c r="Q20" s="9"/>
    </row>
    <row r="21" spans="1:17">
      <c r="A21" s="6" t="s">
        <v>25</v>
      </c>
      <c r="B21" s="10">
        <v>193.81</v>
      </c>
      <c r="C21" s="10">
        <v>31493.35</v>
      </c>
      <c r="D21" s="9">
        <v>0.6153997589967406</v>
      </c>
      <c r="E21" s="9"/>
      <c r="F21" s="10"/>
      <c r="G21" s="10"/>
      <c r="H21" s="9" t="s">
        <v>455</v>
      </c>
      <c r="I21" s="9"/>
      <c r="J21" s="10">
        <v>190.21</v>
      </c>
      <c r="K21" s="10">
        <v>29744</v>
      </c>
      <c r="L21" s="9">
        <v>0.63949031737493278</v>
      </c>
      <c r="M21" s="9"/>
      <c r="N21" s="10">
        <v>246.11</v>
      </c>
      <c r="O21" s="10">
        <v>29744</v>
      </c>
      <c r="P21" s="9">
        <v>0.63949031737493278</v>
      </c>
      <c r="Q21" s="9"/>
    </row>
    <row r="22" spans="1:17">
      <c r="A22" s="6" t="s">
        <v>26</v>
      </c>
      <c r="B22" s="10">
        <v>600.30999999999995</v>
      </c>
      <c r="C22" s="10">
        <v>137618.77499999999</v>
      </c>
      <c r="D22" s="9">
        <v>0.43621228280806884</v>
      </c>
      <c r="E22" s="9"/>
      <c r="F22" s="10"/>
      <c r="G22" s="10"/>
      <c r="H22" s="9" t="s">
        <v>455</v>
      </c>
      <c r="I22" s="9"/>
      <c r="J22" s="10">
        <v>598.23</v>
      </c>
      <c r="K22" s="10">
        <v>132488</v>
      </c>
      <c r="L22" s="9">
        <v>0.45153523337962687</v>
      </c>
      <c r="M22" s="9"/>
      <c r="N22" s="10">
        <v>608.16</v>
      </c>
      <c r="O22" s="10">
        <v>132488</v>
      </c>
      <c r="P22" s="9">
        <v>0.45153523337962687</v>
      </c>
      <c r="Q22" s="9"/>
    </row>
    <row r="23" spans="1:17">
      <c r="A23" s="6" t="s">
        <v>27</v>
      </c>
      <c r="B23" s="10">
        <v>530.41</v>
      </c>
      <c r="C23" s="10">
        <v>17635.598000000002</v>
      </c>
      <c r="D23" s="9">
        <v>3.0076099489226276</v>
      </c>
      <c r="E23" s="9"/>
      <c r="F23" s="10"/>
      <c r="G23" s="10"/>
      <c r="H23" s="9" t="s">
        <v>455</v>
      </c>
      <c r="I23" s="9"/>
      <c r="J23" s="10">
        <v>515.38</v>
      </c>
      <c r="K23" s="10">
        <v>17560</v>
      </c>
      <c r="L23" s="9">
        <v>2.9349658314350795</v>
      </c>
      <c r="M23" s="9"/>
      <c r="N23" s="10">
        <v>497.18</v>
      </c>
      <c r="O23" s="10">
        <v>17560</v>
      </c>
      <c r="P23" s="9">
        <v>2.9349658314350795</v>
      </c>
      <c r="Q23" s="9"/>
    </row>
    <row r="24" spans="1:17">
      <c r="A24" s="6" t="s">
        <v>28</v>
      </c>
      <c r="B24" s="10">
        <v>1276.27</v>
      </c>
      <c r="C24" s="10">
        <v>2647292.3590000002</v>
      </c>
      <c r="D24" s="9">
        <v>4.8210391106258618E-2</v>
      </c>
      <c r="E24" s="10"/>
      <c r="F24" s="10"/>
      <c r="G24" s="10"/>
      <c r="H24" s="9" t="s">
        <v>455</v>
      </c>
      <c r="I24" s="10"/>
      <c r="J24" s="10">
        <v>587.76</v>
      </c>
      <c r="K24" s="10">
        <v>2616074</v>
      </c>
      <c r="L24" s="9">
        <v>2.2467254366657825E-2</v>
      </c>
      <c r="M24" s="10"/>
      <c r="N24" s="10">
        <v>557.85</v>
      </c>
      <c r="O24" s="10">
        <v>2616074</v>
      </c>
      <c r="P24" s="9">
        <v>2.2467254366657825E-2</v>
      </c>
      <c r="Q24" s="10"/>
    </row>
    <row r="25" spans="1:17">
      <c r="A25" s="6" t="s">
        <v>29</v>
      </c>
      <c r="B25" s="10">
        <v>58.51</v>
      </c>
      <c r="C25" s="10">
        <v>17362.517</v>
      </c>
      <c r="D25" s="9">
        <v>0.33699031079422409</v>
      </c>
      <c r="E25" s="9"/>
      <c r="F25" s="10"/>
      <c r="G25" s="10"/>
      <c r="H25" s="9" t="s">
        <v>455</v>
      </c>
      <c r="I25" s="9"/>
      <c r="J25" s="10">
        <v>54.25</v>
      </c>
      <c r="K25" s="10">
        <v>16197</v>
      </c>
      <c r="L25" s="9">
        <v>0.33493856887077855</v>
      </c>
      <c r="M25" s="9"/>
      <c r="N25" s="10">
        <v>116.41</v>
      </c>
      <c r="O25" s="10">
        <v>16197</v>
      </c>
      <c r="P25" s="9">
        <v>0.33493856887077855</v>
      </c>
      <c r="Q25" s="9"/>
    </row>
    <row r="26" spans="1:17">
      <c r="A26" s="6" t="s">
        <v>30</v>
      </c>
      <c r="B26" s="10">
        <v>99.78</v>
      </c>
      <c r="C26" s="10">
        <v>35527.159</v>
      </c>
      <c r="D26" s="9">
        <v>0.28085555616760688</v>
      </c>
      <c r="E26" s="10"/>
      <c r="F26" s="10"/>
      <c r="G26" s="10"/>
      <c r="H26" s="9" t="s">
        <v>455</v>
      </c>
      <c r="I26" s="9"/>
      <c r="J26" s="10">
        <v>85.82</v>
      </c>
      <c r="K26" s="10">
        <v>35528</v>
      </c>
      <c r="L26" s="9">
        <v>0.24155595586579595</v>
      </c>
      <c r="M26" s="10"/>
      <c r="N26" s="10">
        <v>86.72</v>
      </c>
      <c r="O26" s="10">
        <v>35528</v>
      </c>
      <c r="P26" s="9">
        <v>0.24155595586579595</v>
      </c>
      <c r="Q26" s="10"/>
    </row>
    <row r="27" spans="1:17">
      <c r="A27" s="6" t="s">
        <v>31</v>
      </c>
      <c r="B27" s="10">
        <v>7.28</v>
      </c>
      <c r="C27" s="10">
        <v>225709.03099999999</v>
      </c>
      <c r="D27" s="9">
        <v>3.2253915440361805E-3</v>
      </c>
      <c r="E27" s="9"/>
      <c r="F27" s="10"/>
      <c r="G27" s="10"/>
      <c r="H27" s="9" t="s">
        <v>455</v>
      </c>
      <c r="I27" s="9"/>
      <c r="J27" s="10">
        <v>6.61</v>
      </c>
      <c r="K27" s="10">
        <v>223757</v>
      </c>
      <c r="L27" s="9">
        <v>2.954097525440545E-3</v>
      </c>
      <c r="M27" s="9"/>
      <c r="N27" s="10">
        <v>8.56</v>
      </c>
      <c r="O27" s="10">
        <v>223757</v>
      </c>
      <c r="P27" s="9">
        <v>2.954097525440545E-3</v>
      </c>
      <c r="Q27" s="9"/>
    </row>
    <row r="28" spans="1:17">
      <c r="A28" s="6" t="s">
        <v>32</v>
      </c>
      <c r="B28" s="10">
        <v>0.15</v>
      </c>
      <c r="C28" s="10">
        <v>326847.33299999998</v>
      </c>
      <c r="D28" s="9">
        <v>4.5892985762866849E-5</v>
      </c>
      <c r="E28" s="10"/>
      <c r="F28" s="10"/>
      <c r="G28" s="10"/>
      <c r="H28" s="9" t="s">
        <v>455</v>
      </c>
      <c r="I28" s="10"/>
      <c r="J28" s="10">
        <v>0</v>
      </c>
      <c r="K28" s="10">
        <v>309864</v>
      </c>
      <c r="L28" s="9">
        <v>0</v>
      </c>
      <c r="M28" s="10"/>
      <c r="N28" s="10">
        <v>0</v>
      </c>
      <c r="O28" s="10">
        <v>309864</v>
      </c>
      <c r="P28" s="9">
        <v>0</v>
      </c>
      <c r="Q28" s="10"/>
    </row>
    <row r="29" spans="1:17">
      <c r="A29" s="6" t="s">
        <v>33</v>
      </c>
      <c r="B29" s="10">
        <v>1011.09</v>
      </c>
      <c r="C29" s="10">
        <v>90382.14</v>
      </c>
      <c r="D29" s="9">
        <v>1.1186834036016409</v>
      </c>
      <c r="E29" s="9"/>
      <c r="F29" s="10"/>
      <c r="G29" s="10"/>
      <c r="H29" s="9" t="s">
        <v>455</v>
      </c>
      <c r="I29" s="9"/>
      <c r="J29" s="10">
        <v>1021.21</v>
      </c>
      <c r="K29" s="10">
        <v>88541</v>
      </c>
      <c r="L29" s="9">
        <v>1.1533752724726398</v>
      </c>
      <c r="M29" s="9"/>
      <c r="N29" s="10">
        <v>968.79</v>
      </c>
      <c r="O29" s="10">
        <v>88541</v>
      </c>
      <c r="P29" s="9">
        <v>1.1533752724726398</v>
      </c>
      <c r="Q29" s="9"/>
    </row>
    <row r="30" spans="1:17">
      <c r="A30" s="6" t="s">
        <v>34</v>
      </c>
      <c r="B30" s="10">
        <v>1218.22</v>
      </c>
      <c r="C30" s="10">
        <v>47230.908000000003</v>
      </c>
      <c r="D30" s="9">
        <v>2.5792855813824285</v>
      </c>
      <c r="E30" s="9"/>
      <c r="F30" s="10"/>
      <c r="G30" s="10"/>
      <c r="H30" s="9" t="s">
        <v>455</v>
      </c>
      <c r="I30" s="9"/>
      <c r="J30" s="10">
        <v>1203.9000000000001</v>
      </c>
      <c r="K30" s="10">
        <v>47213</v>
      </c>
      <c r="L30" s="9">
        <v>2.5499332810878359</v>
      </c>
      <c r="M30" s="9"/>
      <c r="N30" s="10">
        <v>1156.69</v>
      </c>
      <c r="O30" s="10">
        <v>47213</v>
      </c>
      <c r="P30" s="9">
        <v>2.5499332810878359</v>
      </c>
      <c r="Q30" s="9"/>
    </row>
    <row r="31" spans="1:17">
      <c r="A31" s="6" t="s">
        <v>35</v>
      </c>
      <c r="B31" s="10">
        <v>31.77</v>
      </c>
      <c r="C31" s="10">
        <v>108621.077</v>
      </c>
      <c r="D31" s="9">
        <v>2.9248467127609128E-2</v>
      </c>
      <c r="E31" s="10"/>
      <c r="F31" s="10"/>
      <c r="G31" s="10"/>
      <c r="H31" s="9" t="s">
        <v>455</v>
      </c>
      <c r="I31" s="10"/>
      <c r="J31" s="10">
        <v>31.77</v>
      </c>
      <c r="K31" s="10">
        <v>101262</v>
      </c>
      <c r="L31" s="9">
        <v>3.1374059370741246E-2</v>
      </c>
      <c r="M31" s="10"/>
      <c r="N31" s="10">
        <v>31.77</v>
      </c>
      <c r="O31" s="10">
        <v>101262</v>
      </c>
      <c r="P31" s="9">
        <v>3.1374059370741246E-2</v>
      </c>
      <c r="Q31" s="10"/>
    </row>
    <row r="32" spans="1:17">
      <c r="A32" s="6" t="s">
        <v>36</v>
      </c>
      <c r="B32" s="10">
        <v>24.17</v>
      </c>
      <c r="C32" s="10">
        <v>541894.43799999997</v>
      </c>
      <c r="D32" s="9">
        <v>4.460278295013614E-3</v>
      </c>
      <c r="E32" s="9"/>
      <c r="F32" s="10"/>
      <c r="G32" s="10"/>
      <c r="H32" s="9" t="s">
        <v>455</v>
      </c>
      <c r="I32" s="9"/>
      <c r="J32" s="10">
        <v>24.4</v>
      </c>
      <c r="K32" s="10">
        <v>538412</v>
      </c>
      <c r="L32" s="9">
        <v>4.5318455012146831E-3</v>
      </c>
      <c r="M32" s="9"/>
      <c r="N32" s="10">
        <v>24.05</v>
      </c>
      <c r="O32" s="10">
        <v>538412</v>
      </c>
      <c r="P32" s="9">
        <v>4.5318455012146831E-3</v>
      </c>
      <c r="Q32" s="9"/>
    </row>
    <row r="33" spans="1:17">
      <c r="A33" s="6" t="s">
        <v>37</v>
      </c>
      <c r="B33" s="10">
        <v>148.68</v>
      </c>
      <c r="C33" s="10">
        <v>26923.96</v>
      </c>
      <c r="D33" s="9">
        <v>0.55222188712210252</v>
      </c>
      <c r="E33" s="9"/>
      <c r="F33" s="10"/>
      <c r="G33" s="10"/>
      <c r="H33" s="9" t="s">
        <v>455</v>
      </c>
      <c r="I33" s="9"/>
      <c r="J33" s="10">
        <v>127.92</v>
      </c>
      <c r="K33" s="10">
        <v>26138</v>
      </c>
      <c r="L33" s="9">
        <v>0.48940240263218304</v>
      </c>
      <c r="M33" s="9"/>
      <c r="N33" s="10">
        <v>110.05</v>
      </c>
      <c r="O33" s="10">
        <v>26138</v>
      </c>
      <c r="P33" s="9">
        <v>0.48940240263218304</v>
      </c>
      <c r="Q33" s="9"/>
    </row>
    <row r="34" spans="1:17">
      <c r="A34" s="6" t="s">
        <v>38</v>
      </c>
      <c r="B34" s="10">
        <v>45.8</v>
      </c>
      <c r="C34" s="10">
        <v>474268.49599999998</v>
      </c>
      <c r="D34" s="9">
        <v>9.6569770891971711E-3</v>
      </c>
      <c r="E34" s="10"/>
      <c r="F34" s="10"/>
      <c r="G34" s="10"/>
      <c r="H34" s="9" t="s">
        <v>455</v>
      </c>
      <c r="I34" s="9"/>
      <c r="J34" s="10">
        <v>31.13</v>
      </c>
      <c r="K34" s="10">
        <v>473907</v>
      </c>
      <c r="L34" s="9">
        <v>6.5687993635882144E-3</v>
      </c>
      <c r="M34" s="10"/>
      <c r="N34" s="10">
        <v>29.13</v>
      </c>
      <c r="O34" s="10">
        <v>473907</v>
      </c>
      <c r="P34" s="9">
        <v>6.5687993635882144E-3</v>
      </c>
      <c r="Q34" s="10"/>
    </row>
    <row r="35" spans="1:17">
      <c r="A35" s="6" t="s">
        <v>39</v>
      </c>
      <c r="B35" s="10">
        <v>6.48</v>
      </c>
      <c r="C35" s="10">
        <v>165661.80100000001</v>
      </c>
      <c r="D35" s="9">
        <v>3.9115836969561861E-3</v>
      </c>
      <c r="E35" s="10"/>
      <c r="F35" s="10"/>
      <c r="G35" s="10"/>
      <c r="H35" s="9" t="s">
        <v>455</v>
      </c>
      <c r="I35" s="10"/>
      <c r="J35" s="10">
        <v>6.48</v>
      </c>
      <c r="K35" s="10">
        <v>146504</v>
      </c>
      <c r="L35" s="9">
        <v>4.4230874242341504E-3</v>
      </c>
      <c r="M35" s="10"/>
      <c r="N35" s="10">
        <v>6.48</v>
      </c>
      <c r="O35" s="10">
        <v>146504</v>
      </c>
      <c r="P35" s="9">
        <v>4.4230874242341504E-3</v>
      </c>
      <c r="Q35" s="10"/>
    </row>
    <row r="36" spans="1:17">
      <c r="A36" s="6" t="s">
        <v>40</v>
      </c>
      <c r="B36" s="10">
        <v>109.74</v>
      </c>
      <c r="C36" s="10">
        <v>123468.518</v>
      </c>
      <c r="D36" s="9">
        <v>8.8880956682415191E-2</v>
      </c>
      <c r="E36" s="9"/>
      <c r="F36" s="10"/>
      <c r="G36" s="10"/>
      <c r="H36" s="9" t="s">
        <v>455</v>
      </c>
      <c r="I36" s="9"/>
      <c r="J36" s="10">
        <v>93.15</v>
      </c>
      <c r="K36" s="10">
        <v>122421</v>
      </c>
      <c r="L36" s="9">
        <v>7.6089886539074184E-2</v>
      </c>
      <c r="M36" s="9"/>
      <c r="N36" s="10">
        <v>93.79</v>
      </c>
      <c r="O36" s="10">
        <v>122421</v>
      </c>
      <c r="P36" s="9">
        <v>7.6089886539074184E-2</v>
      </c>
      <c r="Q36" s="9"/>
    </row>
    <row r="37" spans="1:17">
      <c r="A37" s="6" t="s">
        <v>41</v>
      </c>
      <c r="B37" s="10">
        <v>290.57</v>
      </c>
      <c r="C37" s="10">
        <v>177402.23699999999</v>
      </c>
      <c r="D37" s="9">
        <v>0.16379162118457391</v>
      </c>
      <c r="E37" s="9"/>
      <c r="F37" s="10"/>
      <c r="G37" s="10"/>
      <c r="H37" s="9" t="s">
        <v>455</v>
      </c>
      <c r="I37" s="9"/>
      <c r="J37" s="10">
        <v>273.08999999999997</v>
      </c>
      <c r="K37" s="10">
        <v>177403</v>
      </c>
      <c r="L37" s="9">
        <v>0.1539376447974386</v>
      </c>
      <c r="M37" s="9"/>
      <c r="N37" s="10">
        <v>260</v>
      </c>
      <c r="O37" s="10">
        <v>177403</v>
      </c>
      <c r="P37" s="9">
        <v>0.1539376447974386</v>
      </c>
      <c r="Q37" s="9"/>
    </row>
    <row r="38" spans="1:17">
      <c r="A38" s="6" t="s">
        <v>530</v>
      </c>
      <c r="B38" s="10">
        <v>1508.79</v>
      </c>
      <c r="C38" s="10">
        <v>224633.14499999999</v>
      </c>
      <c r="D38" s="9">
        <v>0.67166846637881505</v>
      </c>
      <c r="E38" s="9"/>
      <c r="F38" s="10"/>
      <c r="G38" s="10"/>
      <c r="H38" s="9" t="s">
        <v>455</v>
      </c>
      <c r="I38" s="9"/>
      <c r="J38" s="10"/>
      <c r="K38" s="10"/>
      <c r="L38" s="9"/>
      <c r="M38" s="9"/>
      <c r="N38" s="10"/>
      <c r="O38" s="10"/>
      <c r="P38" s="9"/>
      <c r="Q38" s="9"/>
    </row>
    <row r="39" spans="1:17">
      <c r="A39" s="6" t="s">
        <v>42</v>
      </c>
      <c r="B39" s="10">
        <v>110.12</v>
      </c>
      <c r="C39" s="10">
        <v>225481.25899999999</v>
      </c>
      <c r="D39" s="9">
        <v>4.883776172280465E-2</v>
      </c>
      <c r="E39" s="9"/>
      <c r="F39" s="10"/>
      <c r="G39" s="10"/>
      <c r="H39" s="9" t="s">
        <v>455</v>
      </c>
      <c r="I39" s="9"/>
      <c r="J39" s="10">
        <v>108.21</v>
      </c>
      <c r="K39" s="10">
        <v>225337</v>
      </c>
      <c r="L39" s="9">
        <v>4.8021407935669683E-2</v>
      </c>
      <c r="M39" s="9"/>
      <c r="N39" s="10">
        <v>109.4</v>
      </c>
      <c r="O39" s="10">
        <v>225337</v>
      </c>
      <c r="P39" s="9">
        <v>4.8021407935669683E-2</v>
      </c>
      <c r="Q39" s="9"/>
    </row>
    <row r="40" spans="1:17">
      <c r="A40" s="6" t="s">
        <v>43</v>
      </c>
      <c r="B40" s="10">
        <v>147.96</v>
      </c>
      <c r="C40" s="10">
        <v>18278.298999999999</v>
      </c>
      <c r="D40" s="9">
        <v>0.80948451494310281</v>
      </c>
      <c r="E40" s="9"/>
      <c r="F40" s="10"/>
      <c r="G40" s="10"/>
      <c r="H40" s="9" t="s">
        <v>455</v>
      </c>
      <c r="I40" s="9"/>
      <c r="J40" s="10">
        <v>133.69999999999999</v>
      </c>
      <c r="K40" s="10">
        <v>17740</v>
      </c>
      <c r="L40" s="9">
        <v>0.75366403607666277</v>
      </c>
      <c r="M40" s="9"/>
      <c r="N40" s="10">
        <v>134.03</v>
      </c>
      <c r="O40" s="10">
        <v>17740</v>
      </c>
      <c r="P40" s="9">
        <v>0.75366403607666277</v>
      </c>
      <c r="Q40" s="9"/>
    </row>
    <row r="41" spans="1:17">
      <c r="A41" s="6" t="s">
        <v>44</v>
      </c>
      <c r="B41" s="10">
        <v>304.27999999999997</v>
      </c>
      <c r="C41" s="10">
        <v>43159.088000000003</v>
      </c>
      <c r="D41" s="9">
        <v>0.70501953145997887</v>
      </c>
      <c r="E41" s="9"/>
      <c r="F41" s="10"/>
      <c r="G41" s="10"/>
      <c r="H41" s="9" t="s">
        <v>455</v>
      </c>
      <c r="I41" s="9"/>
      <c r="J41" s="10">
        <v>304.27999999999997</v>
      </c>
      <c r="K41" s="10">
        <v>42877</v>
      </c>
      <c r="L41" s="9">
        <v>0.70965785852554975</v>
      </c>
      <c r="M41" s="9"/>
      <c r="N41" s="10">
        <v>240.27</v>
      </c>
      <c r="O41" s="10">
        <v>42877</v>
      </c>
      <c r="P41" s="9">
        <v>0.70965785852554975</v>
      </c>
      <c r="Q41" s="9"/>
    </row>
    <row r="42" spans="1:17">
      <c r="A42" s="6"/>
      <c r="B42" s="10"/>
      <c r="C42" s="10"/>
      <c r="D42" s="9"/>
      <c r="E42" s="9"/>
      <c r="F42" s="10"/>
      <c r="G42" s="10"/>
      <c r="H42" s="9" t="s">
        <v>455</v>
      </c>
      <c r="I42" s="9"/>
      <c r="J42" s="10"/>
      <c r="K42" s="10"/>
      <c r="L42" s="9"/>
      <c r="M42" s="9"/>
      <c r="N42" s="10"/>
      <c r="O42" s="10"/>
      <c r="P42" s="9"/>
      <c r="Q42" s="9"/>
    </row>
    <row r="43" spans="1:17">
      <c r="A43" s="6" t="s">
        <v>45</v>
      </c>
      <c r="B43" s="10">
        <v>8865.510000000002</v>
      </c>
      <c r="C43" s="10">
        <v>8208987.2916490007</v>
      </c>
      <c r="D43" s="9">
        <v>0.10799760902320901</v>
      </c>
      <c r="E43" s="9"/>
      <c r="F43" s="10"/>
      <c r="G43" s="10"/>
      <c r="H43" s="9" t="s">
        <v>455</v>
      </c>
      <c r="I43" s="9"/>
      <c r="J43" s="10">
        <v>7560.75</v>
      </c>
      <c r="K43" s="10">
        <v>7880302</v>
      </c>
      <c r="L43" s="9">
        <v>9.5944926983762807E-2</v>
      </c>
      <c r="M43" s="9"/>
      <c r="N43" s="10">
        <v>7399.4</v>
      </c>
      <c r="O43" s="10">
        <v>7880302</v>
      </c>
      <c r="P43" s="9">
        <v>9.5944926983762807E-2</v>
      </c>
      <c r="Q43" s="9"/>
    </row>
    <row r="44" spans="1:17">
      <c r="A44" s="6" t="s">
        <v>46</v>
      </c>
      <c r="B44" s="10"/>
      <c r="C44" s="10"/>
      <c r="D44" s="9"/>
      <c r="E44" s="9"/>
      <c r="F44" s="10"/>
      <c r="G44" s="10"/>
      <c r="H44" s="9" t="s">
        <v>455</v>
      </c>
      <c r="I44" s="9"/>
      <c r="J44" s="10"/>
      <c r="K44" s="10"/>
      <c r="L44" s="9"/>
      <c r="M44" s="9"/>
      <c r="N44" s="10"/>
      <c r="O44" s="10"/>
      <c r="P44" s="9"/>
      <c r="Q44" s="9"/>
    </row>
    <row r="45" spans="1:17">
      <c r="A45" s="6" t="s">
        <v>543</v>
      </c>
      <c r="B45" s="385" cm="1">
        <f t="array" ref="B45">SUM(SUMIFS(B$9:B$41,$A$9:$A$41,{"Na h-Eileanan Siar","Argyll and Bute","Shetland Islands","Highland","Orkney Islands","Scottish Borders","Dumfries and Galloway","Aberdeenshire"}))</f>
        <v>1735.2599999999998</v>
      </c>
      <c r="C45" s="385" cm="1">
        <f t="array" ref="C45">SUM(SUMIFS(C$9:C$41,$A$9:$A$41,{"Na h-Eileanan Siar","Argyll and Bute","Shetland Islands","Highland","Orkney Islands","Scottish Borders","Dumfries and Galloway","Aberdeenshire"}))</f>
        <v>5740623.4200000009</v>
      </c>
      <c r="D45" s="407">
        <f t="shared" ref="D45:D48" si="0">SUM(B45/C45)*100</f>
        <v>3.0227727426858451E-2</v>
      </c>
      <c r="E45" s="4"/>
      <c r="F45" s="98"/>
      <c r="G45" s="98"/>
      <c r="H45" s="9" t="s">
        <v>455</v>
      </c>
      <c r="I45" s="4"/>
      <c r="J45" s="385" cm="1">
        <f t="array" ref="J45">SUM(SUMIFS(J$9:J$41,$A$9:$A$41,{"Na h-Eileanan Siar","Argyll and Bute","Shetland Islands","Highland","Orkney Islands","Scottish Borders","Dumfries and Galloway","Aberdeenshire"}))</f>
        <v>1471.3799999999999</v>
      </c>
      <c r="K45" s="385" cm="1">
        <f t="array" ref="K45">SUM(SUMIFS(K$9:K$41,$A$9:$A$41,{"Na h-Eileanan Siar","Argyll and Bute","Shetland Islands","Highland","Orkney Islands","Scottish Borders","Dumfries and Galloway","Aberdeenshire"}))</f>
        <v>5623859</v>
      </c>
      <c r="L45" s="407">
        <f t="shared" ref="L45:L48" si="1">SUM(J45/K45)*100</f>
        <v>2.6163173721105024E-2</v>
      </c>
      <c r="M45" s="4"/>
      <c r="N45" s="385" cm="1">
        <f t="array" ref="N45">SUM(SUMIFS(N$9:N$41,$A$9:$A$41,{"Na h-Eileanan Siar","Argyll and Bute","Shetland Islands","Highland","Orkney Islands","Scottish Borders","Dumfries and Galloway","Aberdeenshire"}))</f>
        <v>1450.45</v>
      </c>
      <c r="O45" s="385" cm="1">
        <f t="array" ref="O45">SUM(SUMIFS(O$9:O$41,$A$9:$A$41,{"Na h-Eileanan Siar","Argyll and Bute","Shetland Islands","Highland","Orkney Islands","Scottish Borders","Dumfries and Galloway","Aberdeenshire"}))</f>
        <v>5623859</v>
      </c>
      <c r="P45" s="407">
        <f t="shared" ref="P45:P48" si="2">SUM(N45/O45)*100</f>
        <v>2.5791009340739159E-2</v>
      </c>
      <c r="Q45" s="4"/>
    </row>
    <row r="46" spans="1:17">
      <c r="A46" s="6" t="s">
        <v>544</v>
      </c>
      <c r="B46" s="385" cm="1">
        <f t="array" ref="B46">SUM(SUMIFS(B$9:B$41,$A$9:$A$41,{"Perth and Kinross","Stirling","Moray","South Ayrshire","East Ayrshire","East Lothian","North Ayrshire","Fife"}))</f>
        <v>3677.62</v>
      </c>
      <c r="C46" s="385" cm="1">
        <f t="array" ref="C46">SUM(SUMIFS(C$9:C$41,$A$9:$A$41,{"Perth and Kinross","Stirling","Moray","South Ayrshire","East Ayrshire","East Lothian","North Ayrshire","Fife"}))</f>
        <v>1541682.0979999995</v>
      </c>
      <c r="D46" s="407">
        <f t="shared" si="0"/>
        <v>0.23854593659554846</v>
      </c>
      <c r="E46" s="4"/>
      <c r="F46" s="98"/>
      <c r="G46" s="98"/>
      <c r="H46" s="9" t="s">
        <v>455</v>
      </c>
      <c r="I46" s="4"/>
      <c r="J46" s="385" cm="1">
        <f t="array" ref="J46">SUM(SUMIFS(J$9:J$41,$A$9:$A$41,{"Perth and Kinross","Stirling","Moray","South Ayrshire","East Ayrshire","East Lothian","North Ayrshire","Fife"}))</f>
        <v>2753.65</v>
      </c>
      <c r="K46" s="385" cm="1">
        <f t="array" ref="K46">SUM(SUMIFS(K$9:K$41,$A$9:$A$41,{"Perth and Kinross","Stirling","Moray","South Ayrshire","East Ayrshire","East Lothian","North Ayrshire","Fife"}))</f>
        <v>1525917</v>
      </c>
      <c r="L46" s="407">
        <f t="shared" si="1"/>
        <v>0.18045870122686883</v>
      </c>
      <c r="M46" s="4"/>
      <c r="N46" s="385" cm="1">
        <f t="array" ref="N46">SUM(SUMIFS(N$9:N$41,$A$9:$A$41,{"Perth and Kinross","Stirling","Moray","South Ayrshire","East Ayrshire","East Lothian","North Ayrshire","Fife"}))</f>
        <v>2666.22</v>
      </c>
      <c r="O46" s="385" cm="1">
        <f t="array" ref="O46">SUM(SUMIFS(O$9:O$41,$A$9:$A$41,{"Perth and Kinross","Stirling","Moray","South Ayrshire","East Ayrshire","East Lothian","North Ayrshire","Fife"}))</f>
        <v>1525917</v>
      </c>
      <c r="P46" s="407">
        <f t="shared" si="2"/>
        <v>0.1747290317887539</v>
      </c>
      <c r="Q46" s="4"/>
    </row>
    <row r="47" spans="1:17">
      <c r="A47" s="6" t="s">
        <v>545</v>
      </c>
      <c r="B47" s="385" cm="1">
        <f t="array" ref="B47">SUM(SUMIFS(B$9:B$41,$A$9:$A$41,{"Angus","Clackmannanshire","Midlothian","South Lanarkshire","Inverclyde","Renfrewshire","West Lothian","East Renfrewshire"}))</f>
        <v>1199.32</v>
      </c>
      <c r="C47" s="385" cm="1">
        <f t="array" ref="C47">SUM(SUMIFS(C$9:C$41,$A$9:$A$41,{"Angus","Clackmannanshire","Midlothian","South Lanarkshire","Inverclyde","Renfrewshire","West Lothian","East Renfrewshire"}))</f>
        <v>554580.44800000009</v>
      </c>
      <c r="D47" s="407">
        <f t="shared" si="0"/>
        <v>0.21625717320636587</v>
      </c>
      <c r="E47" s="4"/>
      <c r="F47" s="98"/>
      <c r="G47" s="98"/>
      <c r="H47" s="9" t="s">
        <v>455</v>
      </c>
      <c r="I47" s="4"/>
      <c r="J47" s="385" cm="1">
        <f t="array" ref="J47">SUM(SUMIFS(J$9:J$41,$A$9:$A$41,{"Angus","Clackmannanshire","Midlothian","South Lanarkshire","Inverclyde","Renfrewshire","West Lothian","East Renfrewshire"}))</f>
        <v>1137.3899999999999</v>
      </c>
      <c r="K47" s="385" cm="1">
        <f t="array" ref="K47">SUM(SUMIFS(K$9:K$41,$A$9:$A$41,{"Angus","Clackmannanshire","Midlothian","South Lanarkshire","Inverclyde","Renfrewshire","West Lothian","East Renfrewshire"}))</f>
        <v>549924</v>
      </c>
      <c r="L47" s="407">
        <f t="shared" si="1"/>
        <v>0.20682676151613674</v>
      </c>
      <c r="M47" s="4"/>
      <c r="N47" s="385" cm="1">
        <f t="array" ref="N47">SUM(SUMIFS(N$9:N$41,$A$9:$A$41,{"Angus","Clackmannanshire","Midlothian","South Lanarkshire","Inverclyde","Renfrewshire","West Lothian","East Renfrewshire"}))</f>
        <v>1094.01</v>
      </c>
      <c r="O47" s="385" cm="1">
        <f t="array" ref="O47">SUM(SUMIFS(O$9:O$41,$A$9:$A$41,{"Angus","Clackmannanshire","Midlothian","South Lanarkshire","Inverclyde","Renfrewshire","West Lothian","East Renfrewshire"}))</f>
        <v>549924</v>
      </c>
      <c r="P47" s="407">
        <f t="shared" si="2"/>
        <v>0.19893839876055602</v>
      </c>
      <c r="Q47" s="4"/>
    </row>
    <row r="48" spans="1:17">
      <c r="A48" s="6" t="s">
        <v>546</v>
      </c>
      <c r="B48" s="385" cm="1">
        <f t="array" ref="B48">SUM(SUMIFS(B$9:B$41,$A$9:$A$41,{"North Lanarkshire","Falkirk","East Dunbartonshire","Aberdeen City","Edinburgh, City of","West Dunbartonshire","Dundee City","Glasgow City"}))</f>
        <v>2247</v>
      </c>
      <c r="C48" s="385" cm="1">
        <f t="array" ref="C48">SUM(SUMIFS(C$9:C$41,$A$9:$A$41,{"North Lanarkshire","Falkirk","East Dunbartonshire","Aberdeen City","Edinburgh, City of","West Dunbartonshire","Dundee City","Glasgow City"}))</f>
        <v>186172.47899999999</v>
      </c>
      <c r="D48" s="407">
        <f t="shared" si="0"/>
        <v>1.2069453079582186</v>
      </c>
      <c r="E48" s="4"/>
      <c r="F48" s="98"/>
      <c r="G48" s="98"/>
      <c r="H48" s="9" t="s">
        <v>455</v>
      </c>
      <c r="I48" s="4"/>
      <c r="J48" s="385" cm="1">
        <f t="array" ref="J48">SUM(SUMIFS(J$9:J$41,$A$9:$A$41,{"North Lanarkshire","Falkirk","East Dunbartonshire","Aberdeen City","Edinburgh, City of","West Dunbartonshire","Dundee City","Glasgow City"}))</f>
        <v>2192.1600000000003</v>
      </c>
      <c r="K48" s="385" cm="1">
        <f t="array" ref="K48">SUM(SUMIFS(K$9:K$41,$A$9:$A$41,{"North Lanarkshire","Falkirk","East Dunbartonshire","Aberdeen City","Edinburgh, City of","West Dunbartonshire","Dundee City","Glasgow City"}))</f>
        <v>180602</v>
      </c>
      <c r="L48" s="407">
        <f t="shared" si="1"/>
        <v>1.2138071560669319</v>
      </c>
      <c r="M48" s="4"/>
      <c r="N48" s="385" cm="1">
        <f t="array" ref="N48">SUM(SUMIFS(N$9:N$41,$A$9:$A$41,{"North Lanarkshire","Falkirk","East Dunbartonshire","Aberdeen City","Edinburgh, City of","West Dunbartonshire","Dundee City","Glasgow City"}))</f>
        <v>2182.5600000000004</v>
      </c>
      <c r="O48" s="385" cm="1">
        <f t="array" ref="O48">SUM(SUMIFS(O$9:O$41,$A$9:$A$41,{"North Lanarkshire","Falkirk","East Dunbartonshire","Aberdeen City","Edinburgh, City of","West Dunbartonshire","Dundee City","Glasgow City"}))</f>
        <v>180602</v>
      </c>
      <c r="P48" s="407">
        <f t="shared" si="2"/>
        <v>1.2084916003145039</v>
      </c>
      <c r="Q48" s="4"/>
    </row>
    <row r="49" spans="1:17">
      <c r="A49" s="6" t="s">
        <v>47</v>
      </c>
      <c r="B49" s="10">
        <f>SUM(B40+B37+B33+B30+B25+B23+B20+B18)</f>
        <v>2470.94</v>
      </c>
      <c r="C49" s="10">
        <v>339707.37</v>
      </c>
      <c r="D49" s="9">
        <v>0.72737309172891951</v>
      </c>
      <c r="E49" s="9"/>
      <c r="F49" s="10"/>
      <c r="G49" s="10"/>
      <c r="H49" s="9" t="s">
        <v>455</v>
      </c>
      <c r="I49" s="9"/>
      <c r="J49" s="10">
        <f>SUM(J40+J37+J33+J30+J25+J23+J20+J18)</f>
        <v>2382.7200000000003</v>
      </c>
      <c r="K49" s="10">
        <v>339707.37</v>
      </c>
      <c r="L49" s="9">
        <v>0.72737309172891951</v>
      </c>
      <c r="M49" s="9"/>
      <c r="N49" s="10">
        <f>SUM(N40+N37+N33+N30+N25+N23+N20+N18)</f>
        <v>2349.1000000000004</v>
      </c>
      <c r="O49" s="10">
        <v>339707.37</v>
      </c>
      <c r="P49" s="9">
        <v>0.72737309172891951</v>
      </c>
      <c r="Q49" s="9"/>
    </row>
    <row r="51" spans="1:17">
      <c r="A51" s="2" t="s">
        <v>11</v>
      </c>
    </row>
    <row r="52" spans="1:17">
      <c r="A52" s="2" t="s">
        <v>12</v>
      </c>
    </row>
    <row r="53" spans="1:17">
      <c r="A53" s="2" t="s">
        <v>13</v>
      </c>
    </row>
  </sheetData>
  <mergeCells count="4">
    <mergeCell ref="B7:E7"/>
    <mergeCell ref="F7:I7"/>
    <mergeCell ref="J7:M7"/>
    <mergeCell ref="N7:Q7"/>
  </mergeCell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autoPageBreaks="0" fitToPage="1"/>
  </sheetPr>
  <dimension ref="A1:H53"/>
  <sheetViews>
    <sheetView showGridLines="0" zoomScaleNormal="100" workbookViewId="0"/>
  </sheetViews>
  <sheetFormatPr defaultColWidth="9.1796875" defaultRowHeight="12.5"/>
  <cols>
    <col min="1" max="1" width="2" style="66" bestFit="1" customWidth="1"/>
    <col min="2" max="2" width="22.7265625" style="66" customWidth="1"/>
    <col min="3" max="6" width="12.7265625" style="66" customWidth="1"/>
    <col min="7" max="7" width="13.7265625" style="66" bestFit="1" customWidth="1"/>
    <col min="8" max="16384" width="9.1796875" style="66"/>
  </cols>
  <sheetData>
    <row r="1" spans="1:8" ht="13">
      <c r="A1" s="479" t="s">
        <v>770</v>
      </c>
    </row>
    <row r="2" spans="1:8">
      <c r="B2" s="504"/>
    </row>
    <row r="3" spans="1:8" ht="13">
      <c r="B3" s="614" t="s">
        <v>234</v>
      </c>
      <c r="C3" s="505">
        <v>2020</v>
      </c>
      <c r="D3" s="505">
        <v>2021</v>
      </c>
      <c r="E3" s="506">
        <v>2022</v>
      </c>
      <c r="F3" s="506">
        <v>2023</v>
      </c>
      <c r="G3" s="51"/>
    </row>
    <row r="4" spans="1:8" ht="76.5" customHeight="1">
      <c r="B4" s="615"/>
      <c r="C4" s="507" t="s">
        <v>233</v>
      </c>
      <c r="D4" s="507" t="s">
        <v>233</v>
      </c>
      <c r="E4" s="507" t="s">
        <v>233</v>
      </c>
      <c r="F4" s="507" t="s">
        <v>233</v>
      </c>
    </row>
    <row r="5" spans="1:8">
      <c r="B5" s="486" t="s">
        <v>14</v>
      </c>
      <c r="C5" s="508">
        <v>2.11</v>
      </c>
      <c r="D5" s="508">
        <v>4.8099999999999996</v>
      </c>
      <c r="E5" s="508">
        <v>3.36</v>
      </c>
      <c r="F5" s="508">
        <v>3.36</v>
      </c>
      <c r="H5" s="489"/>
    </row>
    <row r="6" spans="1:8">
      <c r="B6" s="489" t="s">
        <v>15</v>
      </c>
      <c r="C6" s="508">
        <v>3.99</v>
      </c>
      <c r="D6" s="508">
        <v>3.99</v>
      </c>
      <c r="E6" s="508">
        <v>3.99</v>
      </c>
      <c r="F6" s="508">
        <v>3.99</v>
      </c>
      <c r="H6" s="489"/>
    </row>
    <row r="7" spans="1:8">
      <c r="B7" s="489" t="s">
        <v>16</v>
      </c>
      <c r="C7" s="508">
        <v>0.83</v>
      </c>
      <c r="D7" s="508">
        <v>0.83</v>
      </c>
      <c r="E7" s="508">
        <v>0.83</v>
      </c>
      <c r="F7" s="508">
        <v>0.83</v>
      </c>
      <c r="H7" s="489"/>
    </row>
    <row r="8" spans="1:8">
      <c r="B8" s="489" t="s">
        <v>17</v>
      </c>
      <c r="C8" s="508">
        <v>2.5299999999999998</v>
      </c>
      <c r="D8" s="508">
        <v>2.2000000000000002</v>
      </c>
      <c r="E8" s="508">
        <v>2.2000000000000002</v>
      </c>
      <c r="F8" s="508">
        <v>2.2000000000000002</v>
      </c>
      <c r="H8" s="489"/>
    </row>
    <row r="9" spans="1:8">
      <c r="B9" s="489" t="s">
        <v>18</v>
      </c>
      <c r="C9" s="508">
        <v>4.21</v>
      </c>
      <c r="D9" s="508">
        <v>4.21</v>
      </c>
      <c r="E9" s="508">
        <v>4.0199999999999996</v>
      </c>
      <c r="F9" s="508">
        <v>3.39</v>
      </c>
      <c r="H9" s="489"/>
    </row>
    <row r="10" spans="1:8">
      <c r="B10" s="489" t="s">
        <v>19</v>
      </c>
      <c r="C10" s="508">
        <v>9.0500000000000007</v>
      </c>
      <c r="D10" s="508">
        <v>9.0500000000000007</v>
      </c>
      <c r="E10" s="508">
        <v>9.0500000000000007</v>
      </c>
      <c r="F10" s="508">
        <v>9.0500000000000007</v>
      </c>
      <c r="H10" s="489"/>
    </row>
    <row r="11" spans="1:8">
      <c r="B11" s="489" t="s">
        <v>20</v>
      </c>
      <c r="C11" s="508">
        <v>79.489999999999995</v>
      </c>
      <c r="D11" s="508">
        <v>79.489999999999995</v>
      </c>
      <c r="E11" s="508">
        <v>57.2</v>
      </c>
      <c r="F11" s="508">
        <v>52.86</v>
      </c>
      <c r="H11" s="489"/>
    </row>
    <row r="12" spans="1:8">
      <c r="B12" s="489" t="s">
        <v>21</v>
      </c>
      <c r="C12" s="508">
        <v>25.52</v>
      </c>
      <c r="D12" s="508">
        <v>12.9</v>
      </c>
      <c r="E12" s="508">
        <v>9.59</v>
      </c>
      <c r="F12" s="508">
        <v>6.78</v>
      </c>
      <c r="H12" s="489"/>
    </row>
    <row r="13" spans="1:8">
      <c r="B13" s="489" t="s">
        <v>22</v>
      </c>
      <c r="C13" s="508">
        <v>0.79</v>
      </c>
      <c r="D13" s="508">
        <v>0.79</v>
      </c>
      <c r="E13" s="508">
        <v>0.79</v>
      </c>
      <c r="F13" s="508">
        <v>0</v>
      </c>
      <c r="H13" s="489"/>
    </row>
    <row r="14" spans="1:8">
      <c r="B14" s="489" t="s">
        <v>23</v>
      </c>
      <c r="C14" s="508">
        <v>1.2</v>
      </c>
      <c r="D14" s="508">
        <v>1.2</v>
      </c>
      <c r="E14" s="508">
        <v>1.2</v>
      </c>
      <c r="F14" s="508">
        <v>1.2</v>
      </c>
      <c r="H14" s="489"/>
    </row>
    <row r="15" spans="1:8">
      <c r="B15" s="489" t="s">
        <v>24</v>
      </c>
      <c r="C15" s="508">
        <v>0.54</v>
      </c>
      <c r="D15" s="508">
        <v>0.54</v>
      </c>
      <c r="E15" s="508">
        <v>0.54</v>
      </c>
      <c r="F15" s="508">
        <v>0.54</v>
      </c>
      <c r="H15" s="489"/>
    </row>
    <row r="16" spans="1:8">
      <c r="B16" s="489" t="s">
        <v>189</v>
      </c>
      <c r="C16" s="508">
        <v>4.7699999999999996</v>
      </c>
      <c r="D16" s="508">
        <v>1.44</v>
      </c>
      <c r="E16" s="508">
        <v>1.44</v>
      </c>
      <c r="F16" s="508">
        <v>1.44</v>
      </c>
      <c r="H16" s="489"/>
    </row>
    <row r="17" spans="2:8">
      <c r="B17" s="489" t="s">
        <v>25</v>
      </c>
      <c r="C17" s="508">
        <v>4.55</v>
      </c>
      <c r="D17" s="508">
        <v>4.4000000000000004</v>
      </c>
      <c r="E17" s="508">
        <v>0.6</v>
      </c>
      <c r="F17" s="508">
        <v>1.35</v>
      </c>
      <c r="H17" s="489"/>
    </row>
    <row r="18" spans="2:8">
      <c r="B18" s="489" t="s">
        <v>26</v>
      </c>
      <c r="C18" s="508">
        <v>62.21</v>
      </c>
      <c r="D18" s="508">
        <v>59</v>
      </c>
      <c r="E18" s="508">
        <v>59</v>
      </c>
      <c r="F18" s="508">
        <v>58.7</v>
      </c>
      <c r="H18" s="489"/>
    </row>
    <row r="19" spans="2:8">
      <c r="B19" s="489" t="s">
        <v>27</v>
      </c>
      <c r="C19" s="508">
        <v>566.52</v>
      </c>
      <c r="D19" s="508">
        <v>527.39</v>
      </c>
      <c r="E19" s="508">
        <v>511.09</v>
      </c>
      <c r="F19" s="508">
        <v>497.32</v>
      </c>
      <c r="H19" s="489"/>
    </row>
    <row r="20" spans="2:8">
      <c r="B20" s="489" t="s">
        <v>28</v>
      </c>
      <c r="C20" s="508">
        <v>5.25</v>
      </c>
      <c r="D20" s="508">
        <v>2.0099999999999998</v>
      </c>
      <c r="E20" s="508">
        <v>1.69</v>
      </c>
      <c r="F20" s="508">
        <v>1.4</v>
      </c>
      <c r="H20" s="489"/>
    </row>
    <row r="21" spans="2:8">
      <c r="B21" s="489" t="s">
        <v>29</v>
      </c>
      <c r="C21" s="508">
        <v>39.03</v>
      </c>
      <c r="D21" s="508">
        <v>36.909999999999997</v>
      </c>
      <c r="E21" s="508">
        <v>33.200000000000003</v>
      </c>
      <c r="F21" s="508">
        <v>33.200000000000003</v>
      </c>
      <c r="H21" s="489"/>
    </row>
    <row r="22" spans="2:8">
      <c r="B22" s="489" t="s">
        <v>30</v>
      </c>
      <c r="C22" s="508">
        <v>3.21</v>
      </c>
      <c r="D22" s="508">
        <v>0</v>
      </c>
      <c r="E22" s="508">
        <v>0</v>
      </c>
      <c r="F22" s="508">
        <v>0</v>
      </c>
      <c r="H22" s="489"/>
    </row>
    <row r="23" spans="2:8">
      <c r="B23" s="489" t="s">
        <v>31</v>
      </c>
      <c r="C23" s="508">
        <v>0</v>
      </c>
      <c r="D23" s="508">
        <v>0</v>
      </c>
      <c r="E23" s="508">
        <v>0</v>
      </c>
      <c r="F23" s="508">
        <v>0</v>
      </c>
      <c r="H23" s="489"/>
    </row>
    <row r="24" spans="2:8">
      <c r="B24" s="489" t="s">
        <v>32</v>
      </c>
      <c r="C24" s="508">
        <v>0</v>
      </c>
      <c r="D24" s="508">
        <v>0</v>
      </c>
      <c r="E24" s="508">
        <v>0</v>
      </c>
      <c r="F24" s="508">
        <v>0</v>
      </c>
      <c r="H24" s="489"/>
    </row>
    <row r="25" spans="2:8">
      <c r="B25" s="489" t="s">
        <v>33</v>
      </c>
      <c r="C25" s="508">
        <v>91</v>
      </c>
      <c r="D25" s="508">
        <v>91.45</v>
      </c>
      <c r="E25" s="508">
        <v>62.92</v>
      </c>
      <c r="F25" s="508">
        <v>63.76</v>
      </c>
      <c r="H25" s="489"/>
    </row>
    <row r="26" spans="2:8">
      <c r="B26" s="489" t="s">
        <v>34</v>
      </c>
      <c r="C26" s="508">
        <v>49.86</v>
      </c>
      <c r="D26" s="508">
        <v>51.73</v>
      </c>
      <c r="E26" s="508">
        <v>47.74</v>
      </c>
      <c r="F26" s="508">
        <v>56.54</v>
      </c>
      <c r="H26" s="489"/>
    </row>
    <row r="27" spans="2:8">
      <c r="B27" s="489" t="s">
        <v>35</v>
      </c>
      <c r="C27" s="508">
        <v>0</v>
      </c>
      <c r="D27" s="508">
        <v>0</v>
      </c>
      <c r="E27" s="508">
        <v>0</v>
      </c>
      <c r="F27" s="508">
        <v>0</v>
      </c>
      <c r="H27" s="489"/>
    </row>
    <row r="28" spans="2:8">
      <c r="B28" s="489" t="s">
        <v>36</v>
      </c>
      <c r="C28" s="508">
        <v>0.33</v>
      </c>
      <c r="D28" s="508">
        <v>0.33</v>
      </c>
      <c r="E28" s="508">
        <v>0.2</v>
      </c>
      <c r="F28" s="508">
        <v>0.2</v>
      </c>
      <c r="H28" s="489"/>
    </row>
    <row r="29" spans="2:8">
      <c r="B29" s="489" t="s">
        <v>37</v>
      </c>
      <c r="C29" s="508">
        <v>43.15</v>
      </c>
      <c r="D29" s="508">
        <v>42.2</v>
      </c>
      <c r="E29" s="508">
        <v>48.97</v>
      </c>
      <c r="F29" s="508">
        <v>48.88</v>
      </c>
      <c r="H29" s="489"/>
    </row>
    <row r="30" spans="2:8">
      <c r="B30" s="489" t="s">
        <v>38</v>
      </c>
      <c r="C30" s="508">
        <v>3.74</v>
      </c>
      <c r="D30" s="508">
        <v>3.74</v>
      </c>
      <c r="E30" s="508">
        <v>3.74</v>
      </c>
      <c r="F30" s="508">
        <v>3.74</v>
      </c>
      <c r="H30" s="489"/>
    </row>
    <row r="31" spans="2:8">
      <c r="B31" s="489" t="s">
        <v>39</v>
      </c>
      <c r="C31" s="508">
        <v>0</v>
      </c>
      <c r="D31" s="508">
        <v>0</v>
      </c>
      <c r="E31" s="508">
        <v>0</v>
      </c>
      <c r="F31" s="508">
        <v>0</v>
      </c>
      <c r="H31" s="489"/>
    </row>
    <row r="32" spans="2:8">
      <c r="B32" s="489" t="s">
        <v>40</v>
      </c>
      <c r="C32" s="508">
        <v>5.88</v>
      </c>
      <c r="D32" s="508">
        <v>5.88</v>
      </c>
      <c r="E32" s="508">
        <v>5.56</v>
      </c>
      <c r="F32" s="508">
        <v>5.56</v>
      </c>
      <c r="H32" s="489"/>
    </row>
    <row r="33" spans="1:8">
      <c r="B33" s="489" t="s">
        <v>41</v>
      </c>
      <c r="C33" s="508">
        <v>74.69</v>
      </c>
      <c r="D33" s="508">
        <v>72.930000000000007</v>
      </c>
      <c r="E33" s="508">
        <v>67.69</v>
      </c>
      <c r="F33" s="508">
        <v>47.56</v>
      </c>
      <c r="H33" s="489"/>
    </row>
    <row r="34" spans="1:8">
      <c r="B34" s="489" t="s">
        <v>530</v>
      </c>
      <c r="C34" s="508">
        <f>AVERAGE(C33,C26)</f>
        <v>62.274999999999999</v>
      </c>
      <c r="D34" s="508">
        <f t="shared" ref="D34:F34" si="0">AVERAGE(D33,D26)</f>
        <v>62.33</v>
      </c>
      <c r="E34" s="508">
        <f t="shared" si="0"/>
        <v>57.715000000000003</v>
      </c>
      <c r="F34" s="508">
        <f t="shared" si="0"/>
        <v>52.05</v>
      </c>
      <c r="H34" s="489"/>
    </row>
    <row r="35" spans="1:8">
      <c r="B35" s="489" t="s">
        <v>42</v>
      </c>
      <c r="C35" s="508">
        <v>6.69</v>
      </c>
      <c r="D35" s="508">
        <v>6.2</v>
      </c>
      <c r="E35" s="508">
        <v>6.2</v>
      </c>
      <c r="F35" s="508">
        <v>5.61</v>
      </c>
      <c r="H35" s="489"/>
    </row>
    <row r="36" spans="1:8">
      <c r="B36" s="489" t="s">
        <v>43</v>
      </c>
      <c r="C36" s="508">
        <v>58.58</v>
      </c>
      <c r="D36" s="508">
        <v>52.04</v>
      </c>
      <c r="E36" s="508">
        <v>52.86</v>
      </c>
      <c r="F36" s="508">
        <v>46.87</v>
      </c>
      <c r="H36" s="489"/>
    </row>
    <row r="37" spans="1:8">
      <c r="B37" s="509" t="s">
        <v>44</v>
      </c>
      <c r="C37" s="508">
        <v>0.19</v>
      </c>
      <c r="D37" s="508">
        <v>0.19</v>
      </c>
      <c r="E37" s="508">
        <v>0.38</v>
      </c>
      <c r="F37" s="508">
        <v>0.38</v>
      </c>
      <c r="H37" s="489"/>
    </row>
    <row r="38" spans="1:8">
      <c r="B38" s="489" t="s">
        <v>47</v>
      </c>
      <c r="C38" s="478">
        <f>SUM(C36+C33+C29+C26+C20+C18+C14+C12)</f>
        <v>320.45999999999992</v>
      </c>
      <c r="D38" s="478">
        <f>SUM(D36+D33+D29+D26+D20+D18+D14+D12)</f>
        <v>294.00999999999993</v>
      </c>
      <c r="E38" s="478">
        <f>SUM(E36+E33+E29+E26+E20+E18+E14+E12)</f>
        <v>288.73999999999995</v>
      </c>
      <c r="F38" s="478">
        <f>SUM(F36+F33+F29+F26+F20+F18+F14+F12)</f>
        <v>267.92999999999995</v>
      </c>
    </row>
    <row r="39" spans="1:8">
      <c r="B39" s="6" t="s">
        <v>543</v>
      </c>
      <c r="C39" s="98" cm="1">
        <f t="array" ref="C39">AVERAGE(AVERAGEIFS(C$5:C$37,$B$5:$B$37,{"Na h-Eileanan Siar","Argyll and Bute","Shetland Islands","Highland","Orkney Islands","Scottish Borders","Dumfries and Galloway","Aberdeenshire"}))</f>
        <v>3.0700000000000003</v>
      </c>
      <c r="D39" s="98">
        <f>AVERAGE(AVERAGEIFS(D$5:D$37,$B$5:$B$37,{"Na h-Eileanan Siar","Argyll and Bute","Shetland Islands","Highland","Orkney Islands","Scottish Borders","Dumfries and Galloway","Aberdeenshire"}))</f>
        <v>2.6237500000000002</v>
      </c>
      <c r="E39" s="98">
        <f>AVERAGE(AVERAGEIFS(E$5:E$37,$B$5:$B$37,{"Na h-Eileanan Siar","Argyll and Bute","Shetland Islands","Highland","Orkney Islands","Scottish Borders","Dumfries and Galloway","Aberdeenshire"}))</f>
        <v>2.5837500000000002</v>
      </c>
      <c r="F39" s="98">
        <f>AVERAGE(AVERAGEIFS(F$5:F$37,$B$5:$B$37,{"Na h-Eileanan Siar","Argyll and Bute","Shetland Islands","Highland","Orkney Islands","Scottish Borders","Dumfries and Galloway","Aberdeenshire"}))</f>
        <v>2.5475000000000003</v>
      </c>
    </row>
    <row r="40" spans="1:8">
      <c r="B40" s="6" t="s">
        <v>544</v>
      </c>
      <c r="C40" s="98">
        <f>AVERAGE(AVERAGEIFS(C$5:C$37,$B$5:$B$37,{"Perth and Kinross","Stirling","Moray","South Ayrshire","East Ayrshire","East Lothian","North Ayrshire","Fife"}))</f>
        <v>24.103750000000002</v>
      </c>
      <c r="D40" s="98">
        <f>AVERAGE(AVERAGEIFS(D$5:D$37,$B$5:$B$37,{"Perth and Kinross","Stirling","Moray","South Ayrshire","East Ayrshire","East Lothian","North Ayrshire","Fife"}))</f>
        <v>22.12</v>
      </c>
      <c r="E40" s="98">
        <f>AVERAGE(AVERAGEIFS(E$5:E$37,$B$5:$B$37,{"Perth and Kinross","Stirling","Moray","South Ayrshire","East Ayrshire","East Lothian","North Ayrshire","Fife"}))</f>
        <v>18.083750000000002</v>
      </c>
      <c r="F40" s="98">
        <f>AVERAGE(AVERAGEIFS(F$5:F$37,$B$5:$B$37,{"Perth and Kinross","Stirling","Moray","South Ayrshire","East Ayrshire","East Lothian","North Ayrshire","Fife"}))</f>
        <v>17.72625</v>
      </c>
    </row>
    <row r="41" spans="1:8">
      <c r="B41" s="6" t="s">
        <v>545</v>
      </c>
      <c r="C41" s="98">
        <f>AVERAGE(AVERAGEIFS(C$5:C$37,$B$5:$B$37,{"Angus","Clackmannanshire","Midlothian","South Lanarkshire","Inverclyde","Renfrewshire","West Lothian","East Renfrewshire"}))</f>
        <v>20.731249999999999</v>
      </c>
      <c r="D41" s="98">
        <f>AVERAGE(AVERAGEIFS(D$5:D$37,$B$5:$B$37,{"Angus","Clackmannanshire","Midlothian","South Lanarkshire","Inverclyde","Renfrewshire","West Lothian","East Renfrewshire"}))</f>
        <v>19.72625</v>
      </c>
      <c r="E41" s="98">
        <f>AVERAGE(AVERAGEIFS(E$5:E$37,$B$5:$B$37,{"Angus","Clackmannanshire","Midlothian","South Lanarkshire","Inverclyde","Renfrewshire","West Lothian","East Renfrewshire"}))</f>
        <v>19.453749999999996</v>
      </c>
      <c r="F41" s="98">
        <f>AVERAGE(AVERAGEIFS(F$5:F$37,$B$5:$B$37,{"Angus","Clackmannanshire","Midlothian","South Lanarkshire","Inverclyde","Renfrewshire","West Lothian","East Renfrewshire"}))</f>
        <v>16.8475</v>
      </c>
    </row>
    <row r="42" spans="1:8">
      <c r="B42" s="6" t="s">
        <v>546</v>
      </c>
      <c r="C42" s="98">
        <f>AVERAGE(AVERAGEIFS(C$5:C$37,$B$5:$B$37,{"North Lanarkshire","Falkirk","East Dunbartonshire","Aberdeen City","Edinburgh, City of","West Dunbartonshire","Dundee City","Glasgow City"}))</f>
        <v>95.833749999999995</v>
      </c>
      <c r="D42" s="98">
        <f>AVERAGE(AVERAGEIFS(D$5:D$37,$B$5:$B$37,{"North Lanarkshire","Falkirk","East Dunbartonshire","Aberdeen City","Edinburgh, City of","West Dunbartonshire","Dundee City","Glasgow City"}))</f>
        <v>90.26124999999999</v>
      </c>
      <c r="E42" s="98">
        <f>AVERAGE(AVERAGEIFS(E$5:E$37,$B$5:$B$37,{"North Lanarkshire","Falkirk","East Dunbartonshire","Aberdeen City","Edinburgh, City of","West Dunbartonshire","Dundee City","Glasgow City"}))</f>
        <v>84.384999999999991</v>
      </c>
      <c r="F42" s="98">
        <f>AVERAGE(AVERAGEIFS(F$5:F$37,$B$5:$B$37,{"North Lanarkshire","Falkirk","East Dunbartonshire","Aberdeen City","Edinburgh, City of","West Dunbartonshire","Dundee City","Glasgow City"}))</f>
        <v>82.467500000000001</v>
      </c>
    </row>
    <row r="43" spans="1:8" ht="13">
      <c r="B43" s="492" t="s">
        <v>45</v>
      </c>
      <c r="C43" s="508">
        <v>1150.72</v>
      </c>
      <c r="D43" s="508">
        <v>1078.6600000000001</v>
      </c>
      <c r="E43" s="508">
        <v>996.86</v>
      </c>
      <c r="F43" s="508">
        <v>957.52</v>
      </c>
    </row>
    <row r="44" spans="1:8">
      <c r="F44" s="510"/>
    </row>
    <row r="45" spans="1:8" ht="13">
      <c r="A45" s="511">
        <v>1</v>
      </c>
      <c r="B45" s="512" t="s">
        <v>227</v>
      </c>
      <c r="C45" s="513"/>
      <c r="D45" s="513"/>
      <c r="F45" s="514"/>
    </row>
    <row r="46" spans="1:8" ht="12.75" customHeight="1">
      <c r="A46" s="511">
        <v>2</v>
      </c>
      <c r="B46" s="613" t="s">
        <v>232</v>
      </c>
      <c r="C46" s="613"/>
      <c r="D46" s="613"/>
    </row>
    <row r="47" spans="1:8" ht="14.5">
      <c r="A47" s="511">
        <v>3</v>
      </c>
      <c r="B47" s="512" t="s">
        <v>231</v>
      </c>
      <c r="C47" s="513"/>
      <c r="D47" s="513"/>
      <c r="F47" s="71"/>
    </row>
    <row r="48" spans="1:8" ht="12.75" customHeight="1">
      <c r="A48" s="511">
        <v>4</v>
      </c>
      <c r="B48" s="613" t="s">
        <v>230</v>
      </c>
      <c r="C48" s="613"/>
      <c r="D48" s="613"/>
    </row>
    <row r="49" spans="1:4">
      <c r="B49" s="613"/>
      <c r="C49" s="613"/>
      <c r="D49" s="613"/>
    </row>
    <row r="50" spans="1:4">
      <c r="B50" s="613"/>
      <c r="C50" s="613"/>
      <c r="D50" s="613"/>
    </row>
    <row r="51" spans="1:4">
      <c r="A51" s="511">
        <v>5</v>
      </c>
      <c r="B51" s="512" t="s">
        <v>222</v>
      </c>
      <c r="C51" s="513"/>
      <c r="D51" s="515"/>
    </row>
    <row r="52" spans="1:4">
      <c r="A52" s="511">
        <v>6</v>
      </c>
      <c r="B52" s="512" t="s">
        <v>229</v>
      </c>
      <c r="D52" s="70"/>
    </row>
    <row r="53" spans="1:4">
      <c r="A53" s="511">
        <v>7</v>
      </c>
      <c r="B53" s="516" t="s">
        <v>221</v>
      </c>
      <c r="C53" s="517"/>
    </row>
  </sheetData>
  <mergeCells count="3">
    <mergeCell ref="B48:D50"/>
    <mergeCell ref="B3:B4"/>
    <mergeCell ref="B46:D46"/>
  </mergeCells>
  <conditionalFormatting sqref="A1:XFD1048576">
    <cfRule type="expression" dxfId="12" priority="1">
      <formula>_xlfn.ISFORMULA(A1)</formula>
    </cfRule>
  </conditionalFormatting>
  <pageMargins left="0.74803149606299213" right="0.74803149606299213" top="0.98425196850393704" bottom="0.98425196850393704" header="0.51181102362204722" footer="0.51181102362204722"/>
  <pageSetup paperSize="9" scale="60"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autoPageBreaks="0"/>
  </sheetPr>
  <dimension ref="A1:BK50"/>
  <sheetViews>
    <sheetView zoomScale="55" zoomScaleNormal="55" workbookViewId="0">
      <selection activeCell="G2" sqref="G2:H2"/>
    </sheetView>
  </sheetViews>
  <sheetFormatPr defaultColWidth="9.1796875" defaultRowHeight="15.5"/>
  <cols>
    <col min="1" max="1" width="11.26953125" style="172" customWidth="1"/>
    <col min="2" max="2" width="20.7265625" style="172" customWidth="1"/>
    <col min="3" max="16384" width="9.1796875" style="172"/>
  </cols>
  <sheetData>
    <row r="1" spans="1:63" ht="18" customHeight="1">
      <c r="A1" s="187" t="s">
        <v>499</v>
      </c>
      <c r="B1" s="187"/>
    </row>
    <row r="2" spans="1:63" ht="15" customHeight="1">
      <c r="B2" s="186"/>
    </row>
    <row r="3" spans="1:63" ht="18" customHeight="1">
      <c r="A3" s="622" t="s">
        <v>5</v>
      </c>
      <c r="B3" s="623"/>
      <c r="C3" s="188"/>
      <c r="D3" s="616" t="s">
        <v>616</v>
      </c>
      <c r="E3" s="617"/>
      <c r="F3" s="617"/>
      <c r="G3" s="617"/>
      <c r="H3" s="618"/>
      <c r="I3" s="616" t="s">
        <v>498</v>
      </c>
      <c r="J3" s="617"/>
      <c r="K3" s="617"/>
      <c r="L3" s="617"/>
      <c r="M3" s="618"/>
      <c r="N3" s="616" t="s">
        <v>497</v>
      </c>
      <c r="O3" s="617"/>
      <c r="P3" s="617"/>
      <c r="Q3" s="617"/>
      <c r="R3" s="618"/>
      <c r="S3" s="616" t="s">
        <v>496</v>
      </c>
      <c r="T3" s="617"/>
      <c r="U3" s="617"/>
      <c r="V3" s="617"/>
      <c r="W3" s="618"/>
      <c r="X3" s="616" t="s">
        <v>495</v>
      </c>
      <c r="Y3" s="617"/>
      <c r="Z3" s="617"/>
      <c r="AA3" s="617"/>
      <c r="AB3" s="618"/>
      <c r="AC3" s="616" t="s">
        <v>494</v>
      </c>
      <c r="AD3" s="617"/>
      <c r="AE3" s="617"/>
      <c r="AF3" s="617"/>
      <c r="AG3" s="618"/>
      <c r="AH3" s="616" t="s">
        <v>306</v>
      </c>
      <c r="AI3" s="617"/>
      <c r="AJ3" s="617"/>
      <c r="AK3" s="617"/>
      <c r="AL3" s="618"/>
      <c r="AM3" s="616" t="s">
        <v>305</v>
      </c>
      <c r="AN3" s="617"/>
      <c r="AO3" s="617"/>
      <c r="AP3" s="617"/>
      <c r="AQ3" s="618"/>
      <c r="AR3" s="616" t="s">
        <v>304</v>
      </c>
      <c r="AS3" s="617"/>
      <c r="AT3" s="617"/>
      <c r="AU3" s="617"/>
      <c r="AV3" s="618"/>
      <c r="AW3" s="616" t="s">
        <v>303</v>
      </c>
      <c r="AX3" s="617"/>
      <c r="AY3" s="617"/>
      <c r="AZ3" s="617"/>
      <c r="BA3" s="618"/>
      <c r="BB3" s="616" t="s">
        <v>593</v>
      </c>
      <c r="BC3" s="617"/>
      <c r="BD3" s="617"/>
      <c r="BE3" s="617"/>
      <c r="BF3" s="618"/>
      <c r="BG3" s="616" t="s">
        <v>617</v>
      </c>
      <c r="BH3" s="617"/>
      <c r="BI3" s="617"/>
      <c r="BJ3" s="617"/>
      <c r="BK3" s="618"/>
    </row>
    <row r="4" spans="1:63" s="173" customFormat="1" ht="18" customHeight="1">
      <c r="A4" s="624"/>
      <c r="B4" s="625"/>
      <c r="C4" s="182"/>
      <c r="D4" s="619"/>
      <c r="E4" s="620"/>
      <c r="F4" s="620"/>
      <c r="G4" s="620"/>
      <c r="H4" s="621"/>
      <c r="I4" s="619"/>
      <c r="J4" s="620"/>
      <c r="K4" s="620"/>
      <c r="L4" s="620"/>
      <c r="M4" s="621"/>
      <c r="N4" s="619"/>
      <c r="O4" s="620"/>
      <c r="P4" s="620"/>
      <c r="Q4" s="620"/>
      <c r="R4" s="621"/>
      <c r="S4" s="619"/>
      <c r="T4" s="620"/>
      <c r="U4" s="620"/>
      <c r="V4" s="620"/>
      <c r="W4" s="621"/>
      <c r="X4" s="619"/>
      <c r="Y4" s="620"/>
      <c r="Z4" s="620"/>
      <c r="AA4" s="620"/>
      <c r="AB4" s="621"/>
      <c r="AC4" s="619"/>
      <c r="AD4" s="620"/>
      <c r="AE4" s="620"/>
      <c r="AF4" s="620"/>
      <c r="AG4" s="621"/>
      <c r="AH4" s="619"/>
      <c r="AI4" s="620"/>
      <c r="AJ4" s="620"/>
      <c r="AK4" s="620"/>
      <c r="AL4" s="621"/>
      <c r="AM4" s="619"/>
      <c r="AN4" s="620"/>
      <c r="AO4" s="620"/>
      <c r="AP4" s="620"/>
      <c r="AQ4" s="621"/>
      <c r="AR4" s="619"/>
      <c r="AS4" s="620"/>
      <c r="AT4" s="620"/>
      <c r="AU4" s="620"/>
      <c r="AV4" s="621"/>
      <c r="AW4" s="619"/>
      <c r="AX4" s="620"/>
      <c r="AY4" s="620"/>
      <c r="AZ4" s="620"/>
      <c r="BA4" s="621"/>
      <c r="BB4" s="619"/>
      <c r="BC4" s="620"/>
      <c r="BD4" s="620"/>
      <c r="BE4" s="620"/>
      <c r="BF4" s="621"/>
      <c r="BG4" s="619"/>
      <c r="BH4" s="620"/>
      <c r="BI4" s="620"/>
      <c r="BJ4" s="620"/>
      <c r="BK4" s="621"/>
    </row>
    <row r="5" spans="1:63" s="173" customFormat="1" ht="18" customHeight="1">
      <c r="A5" s="185"/>
      <c r="B5" s="184"/>
      <c r="C5" s="183" t="s">
        <v>82</v>
      </c>
      <c r="D5" s="183" t="s">
        <v>493</v>
      </c>
      <c r="E5" s="183" t="s">
        <v>492</v>
      </c>
      <c r="F5" s="183" t="s">
        <v>491</v>
      </c>
      <c r="G5" s="183" t="s">
        <v>490</v>
      </c>
      <c r="H5" s="183" t="s">
        <v>489</v>
      </c>
      <c r="I5" s="183" t="s">
        <v>493</v>
      </c>
      <c r="J5" s="183" t="s">
        <v>492</v>
      </c>
      <c r="K5" s="183" t="s">
        <v>491</v>
      </c>
      <c r="L5" s="183" t="s">
        <v>490</v>
      </c>
      <c r="M5" s="183" t="s">
        <v>489</v>
      </c>
      <c r="N5" s="183" t="s">
        <v>493</v>
      </c>
      <c r="O5" s="183" t="s">
        <v>492</v>
      </c>
      <c r="P5" s="183" t="s">
        <v>491</v>
      </c>
      <c r="Q5" s="183" t="s">
        <v>490</v>
      </c>
      <c r="R5" s="183" t="s">
        <v>489</v>
      </c>
      <c r="S5" s="183" t="s">
        <v>493</v>
      </c>
      <c r="T5" s="183" t="s">
        <v>492</v>
      </c>
      <c r="U5" s="183" t="s">
        <v>491</v>
      </c>
      <c r="V5" s="183" t="s">
        <v>490</v>
      </c>
      <c r="W5" s="183" t="s">
        <v>489</v>
      </c>
      <c r="X5" s="183" t="s">
        <v>493</v>
      </c>
      <c r="Y5" s="183" t="s">
        <v>492</v>
      </c>
      <c r="Z5" s="183" t="s">
        <v>491</v>
      </c>
      <c r="AA5" s="183" t="s">
        <v>490</v>
      </c>
      <c r="AB5" s="183" t="s">
        <v>489</v>
      </c>
      <c r="AC5" s="183" t="s">
        <v>493</v>
      </c>
      <c r="AD5" s="183" t="s">
        <v>492</v>
      </c>
      <c r="AE5" s="183" t="s">
        <v>491</v>
      </c>
      <c r="AF5" s="183" t="s">
        <v>490</v>
      </c>
      <c r="AG5" s="183" t="s">
        <v>489</v>
      </c>
      <c r="AH5" s="183" t="s">
        <v>493</v>
      </c>
      <c r="AI5" s="183" t="s">
        <v>492</v>
      </c>
      <c r="AJ5" s="183" t="s">
        <v>491</v>
      </c>
      <c r="AK5" s="183" t="s">
        <v>490</v>
      </c>
      <c r="AL5" s="183" t="s">
        <v>489</v>
      </c>
      <c r="AM5" s="183" t="s">
        <v>493</v>
      </c>
      <c r="AN5" s="183" t="s">
        <v>492</v>
      </c>
      <c r="AO5" s="183" t="s">
        <v>491</v>
      </c>
      <c r="AP5" s="183" t="s">
        <v>490</v>
      </c>
      <c r="AQ5" s="183" t="s">
        <v>489</v>
      </c>
      <c r="AR5" s="183" t="s">
        <v>493</v>
      </c>
      <c r="AS5" s="183" t="s">
        <v>492</v>
      </c>
      <c r="AT5" s="183" t="s">
        <v>491</v>
      </c>
      <c r="AU5" s="183" t="s">
        <v>490</v>
      </c>
      <c r="AV5" s="183" t="s">
        <v>489</v>
      </c>
      <c r="AW5" s="183" t="s">
        <v>493</v>
      </c>
      <c r="AX5" s="183" t="s">
        <v>492</v>
      </c>
      <c r="AY5" s="183" t="s">
        <v>491</v>
      </c>
      <c r="AZ5" s="183" t="s">
        <v>490</v>
      </c>
      <c r="BA5" s="183" t="s">
        <v>489</v>
      </c>
      <c r="BB5" s="183" t="s">
        <v>493</v>
      </c>
      <c r="BC5" s="183" t="s">
        <v>492</v>
      </c>
      <c r="BD5" s="183" t="s">
        <v>491</v>
      </c>
      <c r="BE5" s="183" t="s">
        <v>490</v>
      </c>
      <c r="BF5" s="183" t="s">
        <v>489</v>
      </c>
      <c r="BG5" s="183" t="s">
        <v>493</v>
      </c>
      <c r="BH5" s="183" t="s">
        <v>492</v>
      </c>
      <c r="BI5" s="183" t="s">
        <v>491</v>
      </c>
      <c r="BJ5" s="183" t="s">
        <v>490</v>
      </c>
      <c r="BK5" s="183" t="s">
        <v>489</v>
      </c>
    </row>
    <row r="6" spans="1:63" s="173" customFormat="1" ht="18" customHeight="1">
      <c r="A6" s="182"/>
      <c r="B6" s="181" t="s">
        <v>22</v>
      </c>
      <c r="C6" s="183">
        <f>SUM(D6:H6)</f>
        <v>4987</v>
      </c>
      <c r="D6" s="183">
        <f>SUM(I6+N6+S6+X6+AC6+AH6+AM6+AR6+AW6+BB6+BG6)</f>
        <v>4583</v>
      </c>
      <c r="E6" s="183">
        <f>SUM(J6+O6+T6+Y6+AD6+AI6+AN6+AS6+AX6+BC6+BH6)</f>
        <v>-4181</v>
      </c>
      <c r="F6" s="183">
        <f>SUM(K6+P6+U6+Z6+AE6+AJ6+AO6+AT6+AY6+BD6+BI6)</f>
        <v>5124</v>
      </c>
      <c r="G6" s="183">
        <f>SUM(L6+Q6+V6+AA6+AF6+AK6+AP6+AU6+AZ6+BE6+BJ6)</f>
        <v>-498</v>
      </c>
      <c r="H6" s="183">
        <f>SUM(M6+R6+W6+AB6+AG6+AL6+AQ6+AV6+BA6+BF6+BK6)</f>
        <v>-41</v>
      </c>
      <c r="I6" s="174">
        <v>238</v>
      </c>
      <c r="J6" s="174">
        <v>-389</v>
      </c>
      <c r="K6" s="174">
        <v>170</v>
      </c>
      <c r="L6" s="174">
        <v>-97</v>
      </c>
      <c r="M6" s="174">
        <v>-27</v>
      </c>
      <c r="N6" s="174">
        <v>414</v>
      </c>
      <c r="O6" s="174">
        <v>-398</v>
      </c>
      <c r="P6" s="174">
        <v>284</v>
      </c>
      <c r="Q6" s="174">
        <v>-50</v>
      </c>
      <c r="R6" s="174">
        <v>10</v>
      </c>
      <c r="S6" s="174">
        <v>261</v>
      </c>
      <c r="T6" s="174">
        <v>-517</v>
      </c>
      <c r="U6" s="174">
        <v>361</v>
      </c>
      <c r="V6" s="174">
        <v>-31</v>
      </c>
      <c r="W6" s="174">
        <v>18</v>
      </c>
      <c r="X6" s="174">
        <v>507</v>
      </c>
      <c r="Y6" s="174">
        <v>-272</v>
      </c>
      <c r="Z6" s="174">
        <v>642</v>
      </c>
      <c r="AA6" s="174">
        <v>-42</v>
      </c>
      <c r="AB6" s="174">
        <v>74</v>
      </c>
      <c r="AC6" s="174">
        <v>518</v>
      </c>
      <c r="AD6" s="174">
        <v>-439</v>
      </c>
      <c r="AE6" s="174">
        <v>592</v>
      </c>
      <c r="AF6" s="174">
        <v>-98</v>
      </c>
      <c r="AG6" s="174">
        <v>-24</v>
      </c>
      <c r="AH6" s="174">
        <v>530</v>
      </c>
      <c r="AI6" s="174">
        <v>-401</v>
      </c>
      <c r="AJ6" s="174">
        <v>580</v>
      </c>
      <c r="AK6" s="174">
        <v>-1</v>
      </c>
      <c r="AL6" s="174">
        <v>-2</v>
      </c>
      <c r="AM6" s="174">
        <v>494</v>
      </c>
      <c r="AN6" s="174">
        <v>-319</v>
      </c>
      <c r="AO6" s="174">
        <v>594</v>
      </c>
      <c r="AP6" s="174">
        <v>-69</v>
      </c>
      <c r="AQ6" s="174">
        <v>-12</v>
      </c>
      <c r="AR6" s="174">
        <v>375</v>
      </c>
      <c r="AS6" s="174">
        <v>-385</v>
      </c>
      <c r="AT6" s="174">
        <v>410</v>
      </c>
      <c r="AU6" s="174">
        <v>-15</v>
      </c>
      <c r="AV6" s="174">
        <v>-15</v>
      </c>
      <c r="AW6" s="174">
        <v>413</v>
      </c>
      <c r="AX6" s="174">
        <v>-421</v>
      </c>
      <c r="AY6" s="174">
        <v>462</v>
      </c>
      <c r="AZ6" s="174">
        <v>-19</v>
      </c>
      <c r="BA6" s="174">
        <v>-11</v>
      </c>
      <c r="BB6" s="174">
        <v>409</v>
      </c>
      <c r="BC6" s="174">
        <v>-291</v>
      </c>
      <c r="BD6" s="174">
        <v>499</v>
      </c>
      <c r="BE6" s="174">
        <v>19</v>
      </c>
      <c r="BF6" s="174">
        <v>-28</v>
      </c>
      <c r="BG6" s="174">
        <v>424</v>
      </c>
      <c r="BH6" s="174">
        <v>-349</v>
      </c>
      <c r="BI6" s="174">
        <v>530</v>
      </c>
      <c r="BJ6" s="174">
        <v>-95</v>
      </c>
      <c r="BK6" s="174">
        <v>-24</v>
      </c>
    </row>
    <row r="7" spans="1:63" s="173" customFormat="1" ht="18" customHeight="1">
      <c r="A7" s="182"/>
      <c r="B7" s="181" t="s">
        <v>24</v>
      </c>
      <c r="C7" s="183">
        <f t="shared" ref="C7:C16" si="0">SUM(D7:H7)</f>
        <v>6602</v>
      </c>
      <c r="D7" s="183">
        <f t="shared" ref="D7:D14" si="1">SUM(I7+N7+S7+X7+AC7+AH7+AM7+AR7+AW7+BB7+BG7)</f>
        <v>6074</v>
      </c>
      <c r="E7" s="183">
        <f t="shared" ref="E7:E14" si="2">SUM(J7+O7+T7+Y7+AD7+AI7+AN7+AS7+AX7+BC7+BH7)</f>
        <v>-4251</v>
      </c>
      <c r="F7" s="183">
        <f t="shared" ref="F7:F14" si="3">SUM(K7+P7+U7+Z7+AE7+AJ7+AO7+AT7+AY7+BD7+BI7)</f>
        <v>5896</v>
      </c>
      <c r="G7" s="183">
        <f t="shared" ref="G7:G14" si="4">SUM(L7+Q7+V7+AA7+AF7+AK7+AP7+AU7+AZ7+BE7+BJ7)</f>
        <v>-1185</v>
      </c>
      <c r="H7" s="183">
        <f t="shared" ref="H7:H14" si="5">SUM(M7+R7+W7+AB7+AG7+AL7+AQ7+AV7+BA7+BF7+BK7)</f>
        <v>68</v>
      </c>
      <c r="I7" s="174">
        <v>413</v>
      </c>
      <c r="J7" s="174">
        <v>-323</v>
      </c>
      <c r="K7" s="174">
        <v>293</v>
      </c>
      <c r="L7" s="174">
        <v>-82</v>
      </c>
      <c r="M7" s="174">
        <v>-31</v>
      </c>
      <c r="N7" s="174">
        <v>316</v>
      </c>
      <c r="O7" s="174">
        <v>-357</v>
      </c>
      <c r="P7" s="174">
        <v>381</v>
      </c>
      <c r="Q7" s="174">
        <v>-125</v>
      </c>
      <c r="R7" s="174">
        <v>-26</v>
      </c>
      <c r="S7" s="174">
        <v>586</v>
      </c>
      <c r="T7" s="174">
        <v>-414</v>
      </c>
      <c r="U7" s="174">
        <v>499</v>
      </c>
      <c r="V7" s="174">
        <v>-111</v>
      </c>
      <c r="W7" s="174">
        <v>-21</v>
      </c>
      <c r="X7" s="174">
        <v>630</v>
      </c>
      <c r="Y7" s="174">
        <v>-246</v>
      </c>
      <c r="Z7" s="174">
        <v>619</v>
      </c>
      <c r="AA7" s="174">
        <v>-138</v>
      </c>
      <c r="AB7" s="174">
        <v>25</v>
      </c>
      <c r="AC7" s="174">
        <v>575</v>
      </c>
      <c r="AD7" s="174">
        <v>-474</v>
      </c>
      <c r="AE7" s="174">
        <v>607</v>
      </c>
      <c r="AF7" s="174">
        <v>-215</v>
      </c>
      <c r="AG7" s="174">
        <v>134</v>
      </c>
      <c r="AH7" s="174">
        <v>623</v>
      </c>
      <c r="AI7" s="174">
        <v>-359</v>
      </c>
      <c r="AJ7" s="174">
        <v>709</v>
      </c>
      <c r="AK7" s="174">
        <v>-188</v>
      </c>
      <c r="AL7" s="174">
        <v>34</v>
      </c>
      <c r="AM7" s="174">
        <v>667</v>
      </c>
      <c r="AN7" s="174">
        <v>-537</v>
      </c>
      <c r="AO7" s="174">
        <v>772</v>
      </c>
      <c r="AP7" s="174">
        <v>-2</v>
      </c>
      <c r="AQ7" s="174">
        <v>58</v>
      </c>
      <c r="AR7" s="174">
        <v>613</v>
      </c>
      <c r="AS7" s="174">
        <v>-379</v>
      </c>
      <c r="AT7" s="174">
        <v>483</v>
      </c>
      <c r="AU7" s="174">
        <v>-152</v>
      </c>
      <c r="AV7" s="174">
        <v>-44</v>
      </c>
      <c r="AW7" s="174">
        <v>497</v>
      </c>
      <c r="AX7" s="174">
        <v>-425</v>
      </c>
      <c r="AY7" s="174">
        <v>363</v>
      </c>
      <c r="AZ7" s="174">
        <v>-21</v>
      </c>
      <c r="BA7" s="174">
        <v>-43</v>
      </c>
      <c r="BB7" s="174">
        <v>573</v>
      </c>
      <c r="BC7" s="174">
        <v>-365</v>
      </c>
      <c r="BD7" s="174">
        <v>541</v>
      </c>
      <c r="BE7" s="174">
        <v>-35</v>
      </c>
      <c r="BF7" s="174">
        <v>18</v>
      </c>
      <c r="BG7" s="174">
        <v>581</v>
      </c>
      <c r="BH7" s="174">
        <v>-372</v>
      </c>
      <c r="BI7" s="174">
        <v>629</v>
      </c>
      <c r="BJ7" s="174">
        <v>-116</v>
      </c>
      <c r="BK7" s="174">
        <v>-36</v>
      </c>
    </row>
    <row r="8" spans="1:63" s="173" customFormat="1" ht="18" customHeight="1">
      <c r="A8" s="182"/>
      <c r="B8" s="181" t="s">
        <v>27</v>
      </c>
      <c r="C8" s="183">
        <f t="shared" si="0"/>
        <v>43467</v>
      </c>
      <c r="D8" s="183">
        <f t="shared" si="1"/>
        <v>-8652</v>
      </c>
      <c r="E8" s="183">
        <f t="shared" si="2"/>
        <v>71672</v>
      </c>
      <c r="F8" s="183">
        <f t="shared" si="3"/>
        <v>-13795</v>
      </c>
      <c r="G8" s="183">
        <f t="shared" si="4"/>
        <v>-3271</v>
      </c>
      <c r="H8" s="183">
        <f t="shared" si="5"/>
        <v>-2487</v>
      </c>
      <c r="I8" s="174">
        <v>-492</v>
      </c>
      <c r="J8" s="174">
        <v>6739</v>
      </c>
      <c r="K8" s="174">
        <v>-477</v>
      </c>
      <c r="L8" s="174">
        <v>-131</v>
      </c>
      <c r="M8" s="174">
        <v>-269</v>
      </c>
      <c r="N8" s="174">
        <v>-1106</v>
      </c>
      <c r="O8" s="174">
        <v>4692</v>
      </c>
      <c r="P8" s="174">
        <v>-1700</v>
      </c>
      <c r="Q8" s="174">
        <v>-419</v>
      </c>
      <c r="R8" s="174">
        <v>-321</v>
      </c>
      <c r="S8" s="174">
        <v>-944</v>
      </c>
      <c r="T8" s="174">
        <v>3661</v>
      </c>
      <c r="U8" s="174">
        <v>-1620</v>
      </c>
      <c r="V8" s="174">
        <v>-341</v>
      </c>
      <c r="W8" s="174">
        <v>-317</v>
      </c>
      <c r="X8" s="174">
        <v>-1016</v>
      </c>
      <c r="Y8" s="174">
        <v>4940</v>
      </c>
      <c r="Z8" s="174">
        <v>-1536</v>
      </c>
      <c r="AA8" s="174">
        <v>-86</v>
      </c>
      <c r="AB8" s="174">
        <v>-255</v>
      </c>
      <c r="AC8" s="174">
        <v>-762</v>
      </c>
      <c r="AD8" s="174">
        <v>7970</v>
      </c>
      <c r="AE8" s="174">
        <v>-1103</v>
      </c>
      <c r="AF8" s="174">
        <v>-13</v>
      </c>
      <c r="AG8" s="174">
        <v>-252</v>
      </c>
      <c r="AH8" s="174">
        <v>-428</v>
      </c>
      <c r="AI8" s="174">
        <v>9275</v>
      </c>
      <c r="AJ8" s="174">
        <v>-671</v>
      </c>
      <c r="AK8" s="174">
        <v>-12</v>
      </c>
      <c r="AL8" s="174">
        <v>-201</v>
      </c>
      <c r="AM8" s="174">
        <v>-602</v>
      </c>
      <c r="AN8" s="174">
        <v>7447</v>
      </c>
      <c r="AO8" s="174">
        <v>-1121</v>
      </c>
      <c r="AP8" s="174">
        <v>-171</v>
      </c>
      <c r="AQ8" s="174">
        <v>-163</v>
      </c>
      <c r="AR8" s="174">
        <v>-612</v>
      </c>
      <c r="AS8" s="174">
        <v>7506</v>
      </c>
      <c r="AT8" s="174">
        <v>-1030</v>
      </c>
      <c r="AU8" s="174">
        <v>-363</v>
      </c>
      <c r="AV8" s="174">
        <v>-145</v>
      </c>
      <c r="AW8" s="174">
        <v>-616</v>
      </c>
      <c r="AX8" s="174">
        <v>8048</v>
      </c>
      <c r="AY8" s="174">
        <v>-662</v>
      </c>
      <c r="AZ8" s="174">
        <v>-426</v>
      </c>
      <c r="BA8" s="174">
        <v>-77</v>
      </c>
      <c r="BB8" s="174">
        <v>-1028</v>
      </c>
      <c r="BC8" s="174">
        <v>6342</v>
      </c>
      <c r="BD8" s="174">
        <v>-1466</v>
      </c>
      <c r="BE8" s="174">
        <v>-436</v>
      </c>
      <c r="BF8" s="174">
        <v>-152</v>
      </c>
      <c r="BG8" s="174">
        <v>-1046</v>
      </c>
      <c r="BH8" s="174">
        <v>5052</v>
      </c>
      <c r="BI8" s="174">
        <v>-2409</v>
      </c>
      <c r="BJ8" s="174">
        <v>-873</v>
      </c>
      <c r="BK8" s="174">
        <v>-335</v>
      </c>
    </row>
    <row r="9" spans="1:63" s="173" customFormat="1" ht="18" customHeight="1">
      <c r="A9" s="182"/>
      <c r="B9" s="181" t="s">
        <v>29</v>
      </c>
      <c r="C9" s="183">
        <f t="shared" si="0"/>
        <v>-1307</v>
      </c>
      <c r="D9" s="183">
        <f t="shared" si="1"/>
        <v>224</v>
      </c>
      <c r="E9" s="183">
        <f t="shared" si="2"/>
        <v>-1539</v>
      </c>
      <c r="F9" s="183">
        <f t="shared" si="3"/>
        <v>-235</v>
      </c>
      <c r="G9" s="183">
        <f t="shared" si="4"/>
        <v>61</v>
      </c>
      <c r="H9" s="183">
        <f t="shared" si="5"/>
        <v>182</v>
      </c>
      <c r="I9" s="174">
        <v>-26</v>
      </c>
      <c r="J9" s="174">
        <v>-124</v>
      </c>
      <c r="K9" s="174">
        <v>-103</v>
      </c>
      <c r="L9" s="174">
        <v>-46</v>
      </c>
      <c r="M9" s="174">
        <v>10</v>
      </c>
      <c r="N9" s="174">
        <v>-27</v>
      </c>
      <c r="O9" s="174">
        <v>-166</v>
      </c>
      <c r="P9" s="174">
        <v>-82</v>
      </c>
      <c r="Q9" s="174">
        <v>-54</v>
      </c>
      <c r="R9" s="174">
        <v>24</v>
      </c>
      <c r="S9" s="174">
        <v>39</v>
      </c>
      <c r="T9" s="174">
        <v>-178</v>
      </c>
      <c r="U9" s="174">
        <v>-5</v>
      </c>
      <c r="V9" s="174">
        <v>-15</v>
      </c>
      <c r="W9" s="174">
        <v>-1</v>
      </c>
      <c r="X9" s="174">
        <v>-6</v>
      </c>
      <c r="Y9" s="174">
        <v>-174</v>
      </c>
      <c r="Z9" s="174">
        <v>-42</v>
      </c>
      <c r="AA9" s="174">
        <v>-17</v>
      </c>
      <c r="AB9" s="174">
        <v>-31</v>
      </c>
      <c r="AC9" s="174">
        <v>0</v>
      </c>
      <c r="AD9" s="174">
        <v>-126</v>
      </c>
      <c r="AE9" s="174">
        <v>-69</v>
      </c>
      <c r="AF9" s="174">
        <v>53</v>
      </c>
      <c r="AG9" s="174">
        <v>6</v>
      </c>
      <c r="AH9" s="174">
        <v>48</v>
      </c>
      <c r="AI9" s="174">
        <v>-134</v>
      </c>
      <c r="AJ9" s="174">
        <v>-14</v>
      </c>
      <c r="AK9" s="174">
        <v>0</v>
      </c>
      <c r="AL9" s="174">
        <v>44</v>
      </c>
      <c r="AM9" s="174">
        <v>3</v>
      </c>
      <c r="AN9" s="174">
        <v>-98</v>
      </c>
      <c r="AO9" s="174">
        <v>-3</v>
      </c>
      <c r="AP9" s="174">
        <v>59</v>
      </c>
      <c r="AQ9" s="174">
        <v>49</v>
      </c>
      <c r="AR9" s="174">
        <v>10</v>
      </c>
      <c r="AS9" s="174">
        <v>-200</v>
      </c>
      <c r="AT9" s="174">
        <v>10</v>
      </c>
      <c r="AU9" s="174">
        <v>-20</v>
      </c>
      <c r="AV9" s="174">
        <v>22</v>
      </c>
      <c r="AW9" s="174">
        <v>91</v>
      </c>
      <c r="AX9" s="174">
        <v>-101</v>
      </c>
      <c r="AY9" s="174">
        <v>7</v>
      </c>
      <c r="AZ9" s="174">
        <v>51</v>
      </c>
      <c r="BA9" s="174">
        <v>34</v>
      </c>
      <c r="BB9" s="174">
        <v>34</v>
      </c>
      <c r="BC9" s="174">
        <v>-148</v>
      </c>
      <c r="BD9" s="174">
        <v>-1</v>
      </c>
      <c r="BE9" s="174">
        <v>18</v>
      </c>
      <c r="BF9" s="174">
        <v>1</v>
      </c>
      <c r="BG9" s="174">
        <v>58</v>
      </c>
      <c r="BH9" s="174">
        <v>-90</v>
      </c>
      <c r="BI9" s="174">
        <v>67</v>
      </c>
      <c r="BJ9" s="174">
        <v>32</v>
      </c>
      <c r="BK9" s="174">
        <v>24</v>
      </c>
    </row>
    <row r="10" spans="1:63" s="173" customFormat="1" ht="18" customHeight="1">
      <c r="A10" s="182"/>
      <c r="B10" s="181" t="s">
        <v>34</v>
      </c>
      <c r="C10" s="183">
        <f t="shared" si="0"/>
        <v>4339</v>
      </c>
      <c r="D10" s="183">
        <f t="shared" si="1"/>
        <v>1973</v>
      </c>
      <c r="E10" s="183">
        <f t="shared" si="2"/>
        <v>-242</v>
      </c>
      <c r="F10" s="183">
        <f t="shared" si="3"/>
        <v>2457</v>
      </c>
      <c r="G10" s="183">
        <f t="shared" si="4"/>
        <v>644</v>
      </c>
      <c r="H10" s="183">
        <f t="shared" si="5"/>
        <v>-493</v>
      </c>
      <c r="I10" s="174">
        <v>44</v>
      </c>
      <c r="J10" s="174">
        <v>-170</v>
      </c>
      <c r="K10" s="174">
        <v>55</v>
      </c>
      <c r="L10" s="174">
        <v>29</v>
      </c>
      <c r="M10" s="174">
        <v>-16</v>
      </c>
      <c r="N10" s="174">
        <v>105</v>
      </c>
      <c r="O10" s="174">
        <v>-117</v>
      </c>
      <c r="P10" s="174">
        <v>-166</v>
      </c>
      <c r="Q10" s="174">
        <v>-22</v>
      </c>
      <c r="R10" s="174">
        <v>-71</v>
      </c>
      <c r="S10" s="174">
        <v>105</v>
      </c>
      <c r="T10" s="174">
        <v>-261</v>
      </c>
      <c r="U10" s="174">
        <v>-82</v>
      </c>
      <c r="V10" s="174">
        <v>-60</v>
      </c>
      <c r="W10" s="174">
        <v>-87</v>
      </c>
      <c r="X10" s="174">
        <v>76</v>
      </c>
      <c r="Y10" s="174">
        <v>-160</v>
      </c>
      <c r="Z10" s="174">
        <v>38</v>
      </c>
      <c r="AA10" s="174">
        <v>-11</v>
      </c>
      <c r="AB10" s="174">
        <v>-29</v>
      </c>
      <c r="AC10" s="174">
        <v>104</v>
      </c>
      <c r="AD10" s="174">
        <v>-195</v>
      </c>
      <c r="AE10" s="174">
        <v>66</v>
      </c>
      <c r="AF10" s="174">
        <v>103</v>
      </c>
      <c r="AG10" s="174">
        <v>62</v>
      </c>
      <c r="AH10" s="174">
        <v>360</v>
      </c>
      <c r="AI10" s="174">
        <v>149</v>
      </c>
      <c r="AJ10" s="174">
        <v>378</v>
      </c>
      <c r="AK10" s="174">
        <v>206</v>
      </c>
      <c r="AL10" s="174">
        <v>-111</v>
      </c>
      <c r="AM10" s="174">
        <v>156</v>
      </c>
      <c r="AN10" s="174">
        <v>61</v>
      </c>
      <c r="AO10" s="174">
        <v>437</v>
      </c>
      <c r="AP10" s="174">
        <v>89</v>
      </c>
      <c r="AQ10" s="174">
        <v>-9</v>
      </c>
      <c r="AR10" s="174">
        <v>244</v>
      </c>
      <c r="AS10" s="174">
        <v>-90</v>
      </c>
      <c r="AT10" s="174">
        <v>402</v>
      </c>
      <c r="AU10" s="174">
        <v>26</v>
      </c>
      <c r="AV10" s="174">
        <v>-33</v>
      </c>
      <c r="AW10" s="174">
        <v>335</v>
      </c>
      <c r="AX10" s="174">
        <v>129</v>
      </c>
      <c r="AY10" s="174">
        <v>660</v>
      </c>
      <c r="AZ10" s="174">
        <v>189</v>
      </c>
      <c r="BA10" s="174">
        <v>-94</v>
      </c>
      <c r="BB10" s="174">
        <v>256</v>
      </c>
      <c r="BC10" s="174">
        <v>61</v>
      </c>
      <c r="BD10" s="174">
        <v>129</v>
      </c>
      <c r="BE10" s="174">
        <v>50</v>
      </c>
      <c r="BF10" s="174">
        <v>-60</v>
      </c>
      <c r="BG10" s="174">
        <v>188</v>
      </c>
      <c r="BH10" s="174">
        <v>351</v>
      </c>
      <c r="BI10" s="174">
        <v>540</v>
      </c>
      <c r="BJ10" s="174">
        <v>45</v>
      </c>
      <c r="BK10" s="174">
        <v>-45</v>
      </c>
    </row>
    <row r="11" spans="1:63" s="173" customFormat="1" ht="18" customHeight="1">
      <c r="A11" s="182"/>
      <c r="B11" s="181" t="s">
        <v>37</v>
      </c>
      <c r="C11" s="183">
        <f t="shared" si="0"/>
        <v>8519</v>
      </c>
      <c r="D11" s="183">
        <f t="shared" si="1"/>
        <v>1086</v>
      </c>
      <c r="E11" s="183">
        <f t="shared" si="2"/>
        <v>2948</v>
      </c>
      <c r="F11" s="183">
        <f t="shared" si="3"/>
        <v>3233</v>
      </c>
      <c r="G11" s="183">
        <f t="shared" si="4"/>
        <v>632</v>
      </c>
      <c r="H11" s="183">
        <f t="shared" si="5"/>
        <v>620</v>
      </c>
      <c r="I11" s="174">
        <v>99</v>
      </c>
      <c r="J11" s="174">
        <v>261</v>
      </c>
      <c r="K11" s="174">
        <v>169</v>
      </c>
      <c r="L11" s="174">
        <v>-13</v>
      </c>
      <c r="M11" s="174">
        <v>73</v>
      </c>
      <c r="N11" s="174">
        <v>-76</v>
      </c>
      <c r="O11" s="174">
        <v>-39</v>
      </c>
      <c r="P11" s="174">
        <v>-158</v>
      </c>
      <c r="Q11" s="174">
        <v>-116</v>
      </c>
      <c r="R11" s="174">
        <v>-6</v>
      </c>
      <c r="S11" s="174">
        <v>-38</v>
      </c>
      <c r="T11" s="174">
        <v>-156</v>
      </c>
      <c r="U11" s="174">
        <v>-90</v>
      </c>
      <c r="V11" s="174">
        <v>-62</v>
      </c>
      <c r="W11" s="174">
        <v>3</v>
      </c>
      <c r="X11" s="174">
        <v>25</v>
      </c>
      <c r="Y11" s="174">
        <v>218</v>
      </c>
      <c r="Z11" s="174">
        <v>58</v>
      </c>
      <c r="AA11" s="174">
        <v>5</v>
      </c>
      <c r="AB11" s="174">
        <v>66</v>
      </c>
      <c r="AC11" s="174">
        <v>96</v>
      </c>
      <c r="AD11" s="174">
        <v>117</v>
      </c>
      <c r="AE11" s="174">
        <v>275</v>
      </c>
      <c r="AF11" s="174">
        <v>69</v>
      </c>
      <c r="AG11" s="174">
        <v>34</v>
      </c>
      <c r="AH11" s="174">
        <v>286</v>
      </c>
      <c r="AI11" s="174">
        <v>520</v>
      </c>
      <c r="AJ11" s="174">
        <v>550</v>
      </c>
      <c r="AK11" s="174">
        <v>171</v>
      </c>
      <c r="AL11" s="174">
        <v>87</v>
      </c>
      <c r="AM11" s="174">
        <v>218</v>
      </c>
      <c r="AN11" s="174">
        <v>413</v>
      </c>
      <c r="AO11" s="174">
        <v>442</v>
      </c>
      <c r="AP11" s="174">
        <v>66</v>
      </c>
      <c r="AQ11" s="174">
        <v>23</v>
      </c>
      <c r="AR11" s="174">
        <v>211</v>
      </c>
      <c r="AS11" s="174">
        <v>307</v>
      </c>
      <c r="AT11" s="174">
        <v>567</v>
      </c>
      <c r="AU11" s="174">
        <v>146</v>
      </c>
      <c r="AV11" s="174">
        <v>110</v>
      </c>
      <c r="AW11" s="174">
        <v>172</v>
      </c>
      <c r="AX11" s="174">
        <v>642</v>
      </c>
      <c r="AY11" s="174">
        <v>499</v>
      </c>
      <c r="AZ11" s="174">
        <v>126</v>
      </c>
      <c r="BA11" s="174">
        <v>78</v>
      </c>
      <c r="BB11" s="174">
        <v>113</v>
      </c>
      <c r="BC11" s="174">
        <v>195</v>
      </c>
      <c r="BD11" s="174">
        <v>423</v>
      </c>
      <c r="BE11" s="174">
        <v>40</v>
      </c>
      <c r="BF11" s="174">
        <v>75</v>
      </c>
      <c r="BG11" s="174">
        <v>-20</v>
      </c>
      <c r="BH11" s="174">
        <v>470</v>
      </c>
      <c r="BI11" s="174">
        <v>498</v>
      </c>
      <c r="BJ11" s="174">
        <v>200</v>
      </c>
      <c r="BK11" s="174">
        <v>77</v>
      </c>
    </row>
    <row r="12" spans="1:63" s="173" customFormat="1" ht="18" customHeight="1">
      <c r="A12" s="182"/>
      <c r="B12" s="181" t="s">
        <v>41</v>
      </c>
      <c r="C12" s="183">
        <f t="shared" si="0"/>
        <v>12466</v>
      </c>
      <c r="D12" s="183">
        <f t="shared" si="1"/>
        <v>2984</v>
      </c>
      <c r="E12" s="183">
        <f t="shared" si="2"/>
        <v>-168</v>
      </c>
      <c r="F12" s="183">
        <f t="shared" si="3"/>
        <v>6443</v>
      </c>
      <c r="G12" s="183">
        <f t="shared" si="4"/>
        <v>2350</v>
      </c>
      <c r="H12" s="183">
        <f t="shared" si="5"/>
        <v>857</v>
      </c>
      <c r="I12" s="174">
        <v>91</v>
      </c>
      <c r="J12" s="174">
        <v>-24</v>
      </c>
      <c r="K12" s="174">
        <v>242</v>
      </c>
      <c r="L12" s="174">
        <v>117</v>
      </c>
      <c r="M12" s="174">
        <v>161</v>
      </c>
      <c r="N12" s="174">
        <v>251</v>
      </c>
      <c r="O12" s="174">
        <v>-318</v>
      </c>
      <c r="P12" s="174">
        <v>311</v>
      </c>
      <c r="Q12" s="174">
        <v>55</v>
      </c>
      <c r="R12" s="174">
        <v>109</v>
      </c>
      <c r="S12" s="174">
        <v>92</v>
      </c>
      <c r="T12" s="174">
        <v>-114</v>
      </c>
      <c r="U12" s="174">
        <v>260</v>
      </c>
      <c r="V12" s="174">
        <v>163</v>
      </c>
      <c r="W12" s="174">
        <v>178</v>
      </c>
      <c r="X12" s="174">
        <v>131</v>
      </c>
      <c r="Y12" s="174">
        <v>-147</v>
      </c>
      <c r="Z12" s="174">
        <v>307</v>
      </c>
      <c r="AA12" s="174">
        <v>173</v>
      </c>
      <c r="AB12" s="174">
        <v>47</v>
      </c>
      <c r="AC12" s="174">
        <v>354</v>
      </c>
      <c r="AD12" s="174">
        <v>-32</v>
      </c>
      <c r="AE12" s="174">
        <v>510</v>
      </c>
      <c r="AF12" s="174">
        <v>172</v>
      </c>
      <c r="AG12" s="174">
        <v>30</v>
      </c>
      <c r="AH12" s="174">
        <v>259</v>
      </c>
      <c r="AI12" s="174">
        <v>-67</v>
      </c>
      <c r="AJ12" s="174">
        <v>615</v>
      </c>
      <c r="AK12" s="174">
        <v>180</v>
      </c>
      <c r="AL12" s="174">
        <v>110</v>
      </c>
      <c r="AM12" s="174">
        <v>380</v>
      </c>
      <c r="AN12" s="174">
        <v>-86</v>
      </c>
      <c r="AO12" s="174">
        <v>705</v>
      </c>
      <c r="AP12" s="174">
        <v>288</v>
      </c>
      <c r="AQ12" s="174">
        <v>-9</v>
      </c>
      <c r="AR12" s="174">
        <v>228</v>
      </c>
      <c r="AS12" s="174">
        <v>-115</v>
      </c>
      <c r="AT12" s="174">
        <v>657</v>
      </c>
      <c r="AU12" s="174">
        <v>407</v>
      </c>
      <c r="AV12" s="174">
        <v>122</v>
      </c>
      <c r="AW12" s="174">
        <v>440</v>
      </c>
      <c r="AX12" s="174">
        <v>253</v>
      </c>
      <c r="AY12" s="174">
        <v>712</v>
      </c>
      <c r="AZ12" s="174">
        <v>322</v>
      </c>
      <c r="BA12" s="174">
        <v>109</v>
      </c>
      <c r="BB12" s="174">
        <v>249</v>
      </c>
      <c r="BC12" s="174">
        <v>4</v>
      </c>
      <c r="BD12" s="174">
        <v>668</v>
      </c>
      <c r="BE12" s="174">
        <v>215</v>
      </c>
      <c r="BF12" s="174">
        <v>38</v>
      </c>
      <c r="BG12" s="174">
        <v>509</v>
      </c>
      <c r="BH12" s="174">
        <v>478</v>
      </c>
      <c r="BI12" s="174">
        <v>1456</v>
      </c>
      <c r="BJ12" s="174">
        <v>258</v>
      </c>
      <c r="BK12" s="174">
        <v>-38</v>
      </c>
    </row>
    <row r="13" spans="1:63" s="173" customFormat="1" ht="18" customHeight="1">
      <c r="A13" s="182"/>
      <c r="B13" s="181" t="s">
        <v>43</v>
      </c>
      <c r="C13" s="183">
        <f t="shared" si="0"/>
        <v>-1316</v>
      </c>
      <c r="D13" s="183">
        <f t="shared" si="1"/>
        <v>-245</v>
      </c>
      <c r="E13" s="183">
        <f t="shared" si="2"/>
        <v>-466</v>
      </c>
      <c r="F13" s="183">
        <f t="shared" si="3"/>
        <v>-387</v>
      </c>
      <c r="G13" s="183">
        <f t="shared" si="4"/>
        <v>48</v>
      </c>
      <c r="H13" s="183">
        <f t="shared" si="5"/>
        <v>-266</v>
      </c>
      <c r="I13" s="174">
        <v>-68</v>
      </c>
      <c r="J13" s="174">
        <v>-69</v>
      </c>
      <c r="K13" s="174">
        <v>-69</v>
      </c>
      <c r="L13" s="174">
        <v>20</v>
      </c>
      <c r="M13" s="174">
        <v>13</v>
      </c>
      <c r="N13" s="174">
        <v>-31</v>
      </c>
      <c r="O13" s="174">
        <v>-122</v>
      </c>
      <c r="P13" s="174">
        <v>-75</v>
      </c>
      <c r="Q13" s="174">
        <v>25</v>
      </c>
      <c r="R13" s="174">
        <v>-77</v>
      </c>
      <c r="S13" s="174">
        <v>-118</v>
      </c>
      <c r="T13" s="174">
        <v>-93</v>
      </c>
      <c r="U13" s="174">
        <v>-150</v>
      </c>
      <c r="V13" s="174">
        <v>-14</v>
      </c>
      <c r="W13" s="174">
        <v>-49</v>
      </c>
      <c r="X13" s="174">
        <v>-29</v>
      </c>
      <c r="Y13" s="174">
        <v>-40</v>
      </c>
      <c r="Z13" s="174">
        <v>0</v>
      </c>
      <c r="AA13" s="174">
        <v>-9</v>
      </c>
      <c r="AB13" s="174">
        <v>-20</v>
      </c>
      <c r="AC13" s="174">
        <v>68</v>
      </c>
      <c r="AD13" s="174">
        <v>-29</v>
      </c>
      <c r="AE13" s="174">
        <v>42</v>
      </c>
      <c r="AF13" s="174">
        <v>9</v>
      </c>
      <c r="AG13" s="174">
        <v>-11</v>
      </c>
      <c r="AH13" s="174">
        <v>55</v>
      </c>
      <c r="AI13" s="174">
        <v>94</v>
      </c>
      <c r="AJ13" s="174">
        <v>59</v>
      </c>
      <c r="AK13" s="174">
        <v>68</v>
      </c>
      <c r="AL13" s="174">
        <v>12</v>
      </c>
      <c r="AM13" s="174">
        <v>6</v>
      </c>
      <c r="AN13" s="174">
        <v>-91</v>
      </c>
      <c r="AO13" s="174">
        <v>37</v>
      </c>
      <c r="AP13" s="174">
        <v>-23</v>
      </c>
      <c r="AQ13" s="174">
        <v>-25</v>
      </c>
      <c r="AR13" s="174">
        <v>-57</v>
      </c>
      <c r="AS13" s="174">
        <v>-14</v>
      </c>
      <c r="AT13" s="174">
        <v>-99</v>
      </c>
      <c r="AU13" s="174">
        <v>-4</v>
      </c>
      <c r="AV13" s="174">
        <v>-38</v>
      </c>
      <c r="AW13" s="174">
        <v>-20</v>
      </c>
      <c r="AX13" s="174">
        <v>-24</v>
      </c>
      <c r="AY13" s="174">
        <v>-44</v>
      </c>
      <c r="AZ13" s="174">
        <v>14</v>
      </c>
      <c r="BA13" s="174">
        <v>13</v>
      </c>
      <c r="BB13" s="174">
        <v>-37</v>
      </c>
      <c r="BC13" s="174">
        <v>-54</v>
      </c>
      <c r="BD13" s="174">
        <v>-38</v>
      </c>
      <c r="BE13" s="174">
        <v>-33</v>
      </c>
      <c r="BF13" s="174">
        <v>-43</v>
      </c>
      <c r="BG13" s="174">
        <v>-14</v>
      </c>
      <c r="BH13" s="174">
        <v>-24</v>
      </c>
      <c r="BI13" s="174">
        <v>-50</v>
      </c>
      <c r="BJ13" s="174">
        <v>-5</v>
      </c>
      <c r="BK13" s="174">
        <v>-41</v>
      </c>
    </row>
    <row r="14" spans="1:63" s="173" customFormat="1" ht="18" customHeight="1">
      <c r="A14" s="182"/>
      <c r="B14" s="181" t="s">
        <v>47</v>
      </c>
      <c r="C14" s="183">
        <f t="shared" si="0"/>
        <v>77757</v>
      </c>
      <c r="D14" s="183">
        <f t="shared" si="1"/>
        <v>8027</v>
      </c>
      <c r="E14" s="183">
        <f t="shared" si="2"/>
        <v>63773</v>
      </c>
      <c r="F14" s="183">
        <f t="shared" si="3"/>
        <v>8736</v>
      </c>
      <c r="G14" s="183">
        <f t="shared" si="4"/>
        <v>-1219</v>
      </c>
      <c r="H14" s="183">
        <f t="shared" si="5"/>
        <v>-1560</v>
      </c>
      <c r="I14" s="174">
        <v>299</v>
      </c>
      <c r="J14" s="174">
        <v>5901</v>
      </c>
      <c r="K14" s="174">
        <v>280</v>
      </c>
      <c r="L14" s="174">
        <v>-203</v>
      </c>
      <c r="M14" s="174">
        <v>-86</v>
      </c>
      <c r="N14" s="174">
        <v>-154</v>
      </c>
      <c r="O14" s="174">
        <v>3175</v>
      </c>
      <c r="P14" s="174">
        <v>-1205</v>
      </c>
      <c r="Q14" s="174">
        <v>-706</v>
      </c>
      <c r="R14" s="174">
        <v>-358</v>
      </c>
      <c r="S14" s="174">
        <v>-17</v>
      </c>
      <c r="T14" s="174">
        <v>1928</v>
      </c>
      <c r="U14" s="174">
        <v>-827</v>
      </c>
      <c r="V14" s="174">
        <v>-471</v>
      </c>
      <c r="W14" s="174">
        <v>-276</v>
      </c>
      <c r="X14" s="174">
        <v>318</v>
      </c>
      <c r="Y14" s="174">
        <v>4119</v>
      </c>
      <c r="Z14" s="174">
        <v>86</v>
      </c>
      <c r="AA14" s="174">
        <v>-125</v>
      </c>
      <c r="AB14" s="174">
        <v>-123</v>
      </c>
      <c r="AC14" s="174">
        <v>953</v>
      </c>
      <c r="AD14" s="174">
        <v>6792</v>
      </c>
      <c r="AE14" s="174">
        <v>920</v>
      </c>
      <c r="AF14" s="174">
        <v>80</v>
      </c>
      <c r="AG14" s="174">
        <v>-21</v>
      </c>
      <c r="AH14" s="174">
        <v>1733</v>
      </c>
      <c r="AI14" s="174">
        <v>9077</v>
      </c>
      <c r="AJ14" s="174">
        <v>2206</v>
      </c>
      <c r="AK14" s="174">
        <v>424</v>
      </c>
      <c r="AL14" s="174">
        <v>-27</v>
      </c>
      <c r="AM14" s="174">
        <v>1322</v>
      </c>
      <c r="AN14" s="174">
        <v>6790</v>
      </c>
      <c r="AO14" s="174">
        <v>1863</v>
      </c>
      <c r="AP14" s="174">
        <v>237</v>
      </c>
      <c r="AQ14" s="174">
        <v>-88</v>
      </c>
      <c r="AR14" s="174">
        <v>1012</v>
      </c>
      <c r="AS14" s="174">
        <v>6630</v>
      </c>
      <c r="AT14" s="174">
        <v>1400</v>
      </c>
      <c r="AU14" s="174">
        <v>25</v>
      </c>
      <c r="AV14" s="174">
        <v>-21</v>
      </c>
      <c r="AW14" s="174">
        <v>1312</v>
      </c>
      <c r="AX14" s="174">
        <v>8101</v>
      </c>
      <c r="AY14" s="174">
        <v>1997</v>
      </c>
      <c r="AZ14" s="174">
        <v>236</v>
      </c>
      <c r="BA14" s="174">
        <v>9</v>
      </c>
      <c r="BB14" s="174">
        <v>569</v>
      </c>
      <c r="BC14" s="174">
        <v>5744</v>
      </c>
      <c r="BD14" s="174">
        <v>755</v>
      </c>
      <c r="BE14" s="174">
        <v>-162</v>
      </c>
      <c r="BF14" s="174">
        <v>-151</v>
      </c>
      <c r="BG14" s="174">
        <v>680</v>
      </c>
      <c r="BH14" s="174">
        <v>5516</v>
      </c>
      <c r="BI14" s="174">
        <v>1261</v>
      </c>
      <c r="BJ14" s="174">
        <v>-554</v>
      </c>
      <c r="BK14" s="174">
        <v>-418</v>
      </c>
    </row>
    <row r="15" spans="1:63" s="173" customFormat="1" ht="18" customHeight="1">
      <c r="A15" s="182"/>
      <c r="B15" s="18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row>
    <row r="16" spans="1:63" ht="15.75" customHeight="1">
      <c r="A16" s="180" t="s">
        <v>488</v>
      </c>
      <c r="B16" s="179" t="s">
        <v>45</v>
      </c>
      <c r="C16" s="183">
        <f t="shared" si="0"/>
        <v>249812</v>
      </c>
      <c r="D16" s="183">
        <f>SUM(I16+N16+S16+X16+AC16+AH16+AM16+AR16+AW16+BB16+BG16)</f>
        <v>37335</v>
      </c>
      <c r="E16" s="183">
        <f>SUM(J16+O16+T16+Y16+AD16+AI16+AN16+AS16+AX16+BC16+BH16)</f>
        <v>128792</v>
      </c>
      <c r="F16" s="183">
        <f>SUM(K16+P16+U16+Z16+AE16+AJ16+AO16+AT16+AY16+BD16+BI16)</f>
        <v>48774</v>
      </c>
      <c r="G16" s="183">
        <f>SUM(L16+Q16+V16+AA16+AF16+AK16+AP16+AU16+AZ16+BE16+BJ16)</f>
        <v>31642</v>
      </c>
      <c r="H16" s="183">
        <f>SUM(M16+R16+W16+AB16+AG16+AL16+AQ16+AV16+BA16+BF16+BK16)</f>
        <v>3269</v>
      </c>
      <c r="I16" s="174">
        <v>3326</v>
      </c>
      <c r="J16" s="174">
        <v>19011</v>
      </c>
      <c r="K16" s="174">
        <v>4761</v>
      </c>
      <c r="L16" s="174">
        <v>2616</v>
      </c>
      <c r="M16" s="174">
        <v>495</v>
      </c>
      <c r="N16" s="174">
        <v>1592</v>
      </c>
      <c r="O16" s="174">
        <v>8887</v>
      </c>
      <c r="P16" s="174">
        <v>1440</v>
      </c>
      <c r="Q16" s="174">
        <v>1180</v>
      </c>
      <c r="R16" s="174">
        <v>-361</v>
      </c>
      <c r="S16" s="174">
        <v>1787</v>
      </c>
      <c r="T16" s="174">
        <v>6357</v>
      </c>
      <c r="U16" s="174">
        <v>686</v>
      </c>
      <c r="V16" s="174">
        <v>1314</v>
      </c>
      <c r="W16" s="174">
        <v>-182</v>
      </c>
      <c r="X16" s="174">
        <v>2939</v>
      </c>
      <c r="Y16" s="174">
        <v>9037</v>
      </c>
      <c r="Z16" s="174">
        <v>3371</v>
      </c>
      <c r="AA16" s="174">
        <v>2215</v>
      </c>
      <c r="AB16" s="174">
        <v>23</v>
      </c>
      <c r="AC16" s="174">
        <v>3883</v>
      </c>
      <c r="AD16" s="174">
        <v>15713</v>
      </c>
      <c r="AE16" s="174">
        <v>5628</v>
      </c>
      <c r="AF16" s="174">
        <v>2727</v>
      </c>
      <c r="AG16" s="174">
        <v>17</v>
      </c>
      <c r="AH16" s="174">
        <v>4949</v>
      </c>
      <c r="AI16" s="174">
        <v>17147</v>
      </c>
      <c r="AJ16" s="174">
        <v>6389</v>
      </c>
      <c r="AK16" s="174">
        <v>3191</v>
      </c>
      <c r="AL16" s="174">
        <v>17</v>
      </c>
      <c r="AM16" s="174">
        <v>3600</v>
      </c>
      <c r="AN16" s="174">
        <v>11745</v>
      </c>
      <c r="AO16" s="174">
        <v>4931</v>
      </c>
      <c r="AP16" s="174">
        <v>3287</v>
      </c>
      <c r="AQ16" s="174">
        <v>292</v>
      </c>
      <c r="AR16" s="174">
        <v>3133</v>
      </c>
      <c r="AS16" s="174">
        <v>10375</v>
      </c>
      <c r="AT16" s="174">
        <v>3952</v>
      </c>
      <c r="AU16" s="174">
        <v>2886</v>
      </c>
      <c r="AV16" s="174">
        <v>554</v>
      </c>
      <c r="AW16" s="174">
        <v>4842</v>
      </c>
      <c r="AX16" s="174">
        <v>14227</v>
      </c>
      <c r="AY16" s="174">
        <v>6589</v>
      </c>
      <c r="AZ16" s="174">
        <v>3886</v>
      </c>
      <c r="BA16" s="174">
        <v>702</v>
      </c>
      <c r="BB16" s="174">
        <v>2427</v>
      </c>
      <c r="BC16" s="174">
        <v>9122</v>
      </c>
      <c r="BD16" s="174">
        <v>2764</v>
      </c>
      <c r="BE16" s="174">
        <v>2229</v>
      </c>
      <c r="BF16" s="174">
        <v>340</v>
      </c>
      <c r="BG16" s="174">
        <v>4857</v>
      </c>
      <c r="BH16" s="174">
        <v>7171</v>
      </c>
      <c r="BI16" s="174">
        <v>8263</v>
      </c>
      <c r="BJ16" s="174">
        <v>6111</v>
      </c>
      <c r="BK16" s="174">
        <v>1372</v>
      </c>
    </row>
    <row r="17" spans="1:63" ht="15.75" customHeight="1">
      <c r="A17" s="178"/>
      <c r="B17" s="179" t="s">
        <v>487</v>
      </c>
    </row>
    <row r="18" spans="1:63" ht="15.75" customHeight="1">
      <c r="A18" s="178" t="s">
        <v>114</v>
      </c>
      <c r="B18" s="177" t="s">
        <v>14</v>
      </c>
      <c r="C18" s="183">
        <f>SUM(D18:H18)</f>
        <v>5188</v>
      </c>
      <c r="D18" s="183">
        <f>SUM(I18+N18+S18+X18+AC18+AH18+AM18+AR18+AW18+BB18+BG18)</f>
        <v>-1651</v>
      </c>
      <c r="E18" s="183">
        <f>SUM(J18+O18+T18+Y18+AD18+AI18+AN18+AS18+AX18+BC18+BH18)</f>
        <v>17000</v>
      </c>
      <c r="F18" s="183">
        <f>SUM(K18+P18+U18+Z18+AE18+AJ18+AO18+AT18+AY18+BD18+BI18)</f>
        <v>-6422</v>
      </c>
      <c r="G18" s="183">
        <f>SUM(L18+Q18+V18+AA18+AF18+AK18+AP18+AU18+AZ18+BE18+BJ18)</f>
        <v>-2667</v>
      </c>
      <c r="H18" s="183">
        <f>SUM(M18+R18+W18+AB18+AG18+AL18+AQ18+AV18+BA18+BF18+BK18)</f>
        <v>-1072</v>
      </c>
      <c r="I18" s="174">
        <v>269</v>
      </c>
      <c r="J18" s="174">
        <v>3186</v>
      </c>
      <c r="K18" s="174">
        <v>-113</v>
      </c>
      <c r="L18" s="174">
        <v>-176</v>
      </c>
      <c r="M18" s="174">
        <v>-88</v>
      </c>
      <c r="N18" s="174">
        <v>18</v>
      </c>
      <c r="O18" s="174">
        <v>2446</v>
      </c>
      <c r="P18" s="174">
        <v>-247</v>
      </c>
      <c r="Q18" s="174">
        <v>-190</v>
      </c>
      <c r="R18" s="174">
        <v>-180</v>
      </c>
      <c r="S18" s="174">
        <v>-315</v>
      </c>
      <c r="T18" s="174">
        <v>2631</v>
      </c>
      <c r="U18" s="174">
        <v>-394</v>
      </c>
      <c r="V18" s="174">
        <v>-139</v>
      </c>
      <c r="W18" s="174">
        <v>-119</v>
      </c>
      <c r="X18" s="174">
        <v>-310</v>
      </c>
      <c r="Y18" s="174">
        <v>2714</v>
      </c>
      <c r="Z18" s="174">
        <v>-460</v>
      </c>
      <c r="AA18" s="174">
        <v>-319</v>
      </c>
      <c r="AB18" s="174">
        <v>-213</v>
      </c>
      <c r="AC18" s="174">
        <v>-345</v>
      </c>
      <c r="AD18" s="174">
        <v>2627</v>
      </c>
      <c r="AE18" s="174">
        <v>-592</v>
      </c>
      <c r="AF18" s="174">
        <v>-402</v>
      </c>
      <c r="AG18" s="174">
        <v>-203</v>
      </c>
      <c r="AH18" s="174">
        <v>-331</v>
      </c>
      <c r="AI18" s="174">
        <v>982</v>
      </c>
      <c r="AJ18" s="174">
        <v>-1013</v>
      </c>
      <c r="AK18" s="174">
        <v>-487</v>
      </c>
      <c r="AL18" s="174">
        <v>-120</v>
      </c>
      <c r="AM18" s="174">
        <v>-354</v>
      </c>
      <c r="AN18" s="174">
        <v>346</v>
      </c>
      <c r="AO18" s="174">
        <v>-1055</v>
      </c>
      <c r="AP18" s="174">
        <v>-323</v>
      </c>
      <c r="AQ18" s="174">
        <v>-30</v>
      </c>
      <c r="AR18" s="174">
        <v>-271</v>
      </c>
      <c r="AS18" s="174">
        <v>327</v>
      </c>
      <c r="AT18" s="174">
        <v>-912</v>
      </c>
      <c r="AU18" s="174">
        <v>-360</v>
      </c>
      <c r="AV18" s="174">
        <v>-102</v>
      </c>
      <c r="AW18" s="174">
        <v>-15</v>
      </c>
      <c r="AX18" s="174">
        <v>1197</v>
      </c>
      <c r="AY18" s="174">
        <v>-305</v>
      </c>
      <c r="AZ18" s="174">
        <v>-33</v>
      </c>
      <c r="BA18" s="174">
        <v>-34</v>
      </c>
      <c r="BB18" s="174">
        <v>20</v>
      </c>
      <c r="BC18" s="174">
        <v>1073</v>
      </c>
      <c r="BD18" s="174">
        <v>-488</v>
      </c>
      <c r="BE18" s="174">
        <v>-108</v>
      </c>
      <c r="BF18" s="174">
        <v>5</v>
      </c>
      <c r="BG18" s="174">
        <v>-17</v>
      </c>
      <c r="BH18" s="174">
        <v>-529</v>
      </c>
      <c r="BI18" s="174">
        <v>-843</v>
      </c>
      <c r="BJ18" s="174">
        <v>-130</v>
      </c>
      <c r="BK18" s="174">
        <v>12</v>
      </c>
    </row>
    <row r="19" spans="1:63" ht="15.75" customHeight="1">
      <c r="A19" s="178" t="s">
        <v>113</v>
      </c>
      <c r="B19" s="177" t="s">
        <v>15</v>
      </c>
      <c r="C19" s="183">
        <f t="shared" ref="C19:C49" si="6">SUM(D19:H19)</f>
        <v>7545</v>
      </c>
      <c r="D19" s="183">
        <f t="shared" ref="D19:D49" si="7">SUM(I19+N19+S19+X19+AC19+AH19+AM19+AR19+AW19+BB19+BG19)</f>
        <v>4797</v>
      </c>
      <c r="E19" s="183">
        <f t="shared" ref="E19:E49" si="8">SUM(J19+O19+T19+Y19+AD19+AI19+AN19+AS19+AX19+BC19+BH19)</f>
        <v>-4716</v>
      </c>
      <c r="F19" s="183">
        <f t="shared" ref="F19:F49" si="9">SUM(K19+P19+U19+Z19+AE19+AJ19+AO19+AT19+AY19+BD19+BI19)</f>
        <v>8453</v>
      </c>
      <c r="G19" s="183">
        <f t="shared" ref="G19:G49" si="10">SUM(L19+Q19+V19+AA19+AF19+AK19+AP19+AU19+AZ19+BE19+BJ19)</f>
        <v>-490</v>
      </c>
      <c r="H19" s="183">
        <f t="shared" ref="H19:H49" si="11">SUM(M19+R19+W19+AB19+AG19+AL19+AQ19+AV19+BA19+BF19+BK19)</f>
        <v>-499</v>
      </c>
      <c r="I19" s="174">
        <v>484</v>
      </c>
      <c r="J19" s="174">
        <v>-16</v>
      </c>
      <c r="K19" s="174">
        <v>902</v>
      </c>
      <c r="L19" s="174">
        <v>58</v>
      </c>
      <c r="M19" s="174">
        <v>-44</v>
      </c>
      <c r="N19" s="174">
        <v>559</v>
      </c>
      <c r="O19" s="174">
        <v>-92</v>
      </c>
      <c r="P19" s="174">
        <v>1010</v>
      </c>
      <c r="Q19" s="174">
        <v>4</v>
      </c>
      <c r="R19" s="174">
        <v>-95</v>
      </c>
      <c r="S19" s="174">
        <v>748</v>
      </c>
      <c r="T19" s="174">
        <v>-30</v>
      </c>
      <c r="U19" s="174">
        <v>1195</v>
      </c>
      <c r="V19" s="174">
        <v>-129</v>
      </c>
      <c r="W19" s="174">
        <v>-120</v>
      </c>
      <c r="X19" s="174">
        <v>852</v>
      </c>
      <c r="Y19" s="174">
        <v>-186</v>
      </c>
      <c r="Z19" s="174">
        <v>1553</v>
      </c>
      <c r="AA19" s="174">
        <v>-10</v>
      </c>
      <c r="AB19" s="174">
        <v>-168</v>
      </c>
      <c r="AC19" s="174">
        <v>467</v>
      </c>
      <c r="AD19" s="174">
        <v>-241</v>
      </c>
      <c r="AE19" s="174">
        <v>1068</v>
      </c>
      <c r="AF19" s="174">
        <v>-112</v>
      </c>
      <c r="AG19" s="174">
        <v>-196</v>
      </c>
      <c r="AH19" s="174">
        <v>128</v>
      </c>
      <c r="AI19" s="174">
        <v>-587</v>
      </c>
      <c r="AJ19" s="174">
        <v>457</v>
      </c>
      <c r="AK19" s="174">
        <v>-236</v>
      </c>
      <c r="AL19" s="174">
        <v>-116</v>
      </c>
      <c r="AM19" s="174">
        <v>177</v>
      </c>
      <c r="AN19" s="174">
        <v>-821</v>
      </c>
      <c r="AO19" s="174">
        <v>205</v>
      </c>
      <c r="AP19" s="174">
        <v>-236</v>
      </c>
      <c r="AQ19" s="174">
        <v>-13</v>
      </c>
      <c r="AR19" s="174">
        <v>210</v>
      </c>
      <c r="AS19" s="174">
        <v>-1016</v>
      </c>
      <c r="AT19" s="174">
        <v>276</v>
      </c>
      <c r="AU19" s="174">
        <v>-78</v>
      </c>
      <c r="AV19" s="174">
        <v>8</v>
      </c>
      <c r="AW19" s="174">
        <v>310</v>
      </c>
      <c r="AX19" s="174">
        <v>-919</v>
      </c>
      <c r="AY19" s="174">
        <v>395</v>
      </c>
      <c r="AZ19" s="174">
        <v>-187</v>
      </c>
      <c r="BA19" s="174">
        <v>18</v>
      </c>
      <c r="BB19" s="174">
        <v>244</v>
      </c>
      <c r="BC19" s="174">
        <v>-735</v>
      </c>
      <c r="BD19" s="174">
        <v>373</v>
      </c>
      <c r="BE19" s="174">
        <v>12</v>
      </c>
      <c r="BF19" s="174">
        <v>-21</v>
      </c>
      <c r="BG19" s="174">
        <v>618</v>
      </c>
      <c r="BH19" s="174">
        <v>-73</v>
      </c>
      <c r="BI19" s="174">
        <v>1019</v>
      </c>
      <c r="BJ19" s="174">
        <v>424</v>
      </c>
      <c r="BK19" s="174">
        <v>248</v>
      </c>
    </row>
    <row r="20" spans="1:63" ht="15.75" customHeight="1">
      <c r="A20" s="178" t="s">
        <v>112</v>
      </c>
      <c r="B20" s="177" t="s">
        <v>16</v>
      </c>
      <c r="C20" s="183">
        <f t="shared" si="6"/>
        <v>3791</v>
      </c>
      <c r="D20" s="183">
        <f t="shared" si="7"/>
        <v>1265</v>
      </c>
      <c r="E20" s="183">
        <f t="shared" si="8"/>
        <v>-2081</v>
      </c>
      <c r="F20" s="183">
        <f t="shared" si="9"/>
        <v>1921</v>
      </c>
      <c r="G20" s="183">
        <f t="shared" si="10"/>
        <v>1923</v>
      </c>
      <c r="H20" s="183">
        <f t="shared" si="11"/>
        <v>763</v>
      </c>
      <c r="I20" s="174">
        <v>87</v>
      </c>
      <c r="J20" s="174">
        <v>-275</v>
      </c>
      <c r="K20" s="174">
        <v>87</v>
      </c>
      <c r="L20" s="174">
        <v>159</v>
      </c>
      <c r="M20" s="174">
        <v>57</v>
      </c>
      <c r="N20" s="174">
        <v>31</v>
      </c>
      <c r="O20" s="174">
        <v>-155</v>
      </c>
      <c r="P20" s="174">
        <v>93</v>
      </c>
      <c r="Q20" s="174">
        <v>201</v>
      </c>
      <c r="R20" s="174">
        <v>88</v>
      </c>
      <c r="S20" s="174">
        <v>79</v>
      </c>
      <c r="T20" s="174">
        <v>-210</v>
      </c>
      <c r="U20" s="174">
        <v>86</v>
      </c>
      <c r="V20" s="174">
        <v>76</v>
      </c>
      <c r="W20" s="174">
        <v>82</v>
      </c>
      <c r="X20" s="174">
        <v>170</v>
      </c>
      <c r="Y20" s="174">
        <v>-121</v>
      </c>
      <c r="Z20" s="174">
        <v>328</v>
      </c>
      <c r="AA20" s="174">
        <v>198</v>
      </c>
      <c r="AB20" s="174">
        <v>70</v>
      </c>
      <c r="AC20" s="174">
        <v>193</v>
      </c>
      <c r="AD20" s="174">
        <v>-184</v>
      </c>
      <c r="AE20" s="174">
        <v>263</v>
      </c>
      <c r="AF20" s="174">
        <v>229</v>
      </c>
      <c r="AG20" s="174">
        <v>36</v>
      </c>
      <c r="AH20" s="174">
        <v>63</v>
      </c>
      <c r="AI20" s="174">
        <v>-225</v>
      </c>
      <c r="AJ20" s="174">
        <v>164</v>
      </c>
      <c r="AK20" s="174">
        <v>75</v>
      </c>
      <c r="AL20" s="174">
        <v>-9</v>
      </c>
      <c r="AM20" s="174">
        <v>124</v>
      </c>
      <c r="AN20" s="174">
        <v>-236</v>
      </c>
      <c r="AO20" s="174">
        <v>99</v>
      </c>
      <c r="AP20" s="174">
        <v>94</v>
      </c>
      <c r="AQ20" s="174">
        <v>63</v>
      </c>
      <c r="AR20" s="174">
        <v>135</v>
      </c>
      <c r="AS20" s="174">
        <v>-289</v>
      </c>
      <c r="AT20" s="174">
        <v>116</v>
      </c>
      <c r="AU20" s="174">
        <v>169</v>
      </c>
      <c r="AV20" s="174">
        <v>67</v>
      </c>
      <c r="AW20" s="174">
        <v>151</v>
      </c>
      <c r="AX20" s="174">
        <v>-268</v>
      </c>
      <c r="AY20" s="174">
        <v>214</v>
      </c>
      <c r="AZ20" s="174">
        <v>260</v>
      </c>
      <c r="BA20" s="174">
        <v>136</v>
      </c>
      <c r="BB20" s="174">
        <v>108</v>
      </c>
      <c r="BC20" s="174">
        <v>-196</v>
      </c>
      <c r="BD20" s="174">
        <v>151</v>
      </c>
      <c r="BE20" s="174">
        <v>143</v>
      </c>
      <c r="BF20" s="174">
        <v>71</v>
      </c>
      <c r="BG20" s="174">
        <v>124</v>
      </c>
      <c r="BH20" s="174">
        <v>78</v>
      </c>
      <c r="BI20" s="174">
        <v>320</v>
      </c>
      <c r="BJ20" s="174">
        <v>319</v>
      </c>
      <c r="BK20" s="174">
        <v>102</v>
      </c>
    </row>
    <row r="21" spans="1:63" ht="15.75" customHeight="1">
      <c r="A21" s="178" t="s">
        <v>111</v>
      </c>
      <c r="B21" s="177" t="s">
        <v>17</v>
      </c>
      <c r="C21" s="183">
        <f t="shared" si="6"/>
        <v>886</v>
      </c>
      <c r="D21" s="183">
        <f t="shared" si="7"/>
        <v>786</v>
      </c>
      <c r="E21" s="183">
        <f t="shared" si="8"/>
        <v>-3063</v>
      </c>
      <c r="F21" s="183">
        <f t="shared" si="9"/>
        <v>1336</v>
      </c>
      <c r="G21" s="183">
        <f t="shared" si="10"/>
        <v>2590</v>
      </c>
      <c r="H21" s="183">
        <f t="shared" si="11"/>
        <v>-763</v>
      </c>
      <c r="I21" s="174">
        <v>144</v>
      </c>
      <c r="J21" s="174">
        <v>-154</v>
      </c>
      <c r="K21" s="174">
        <v>120</v>
      </c>
      <c r="L21" s="174">
        <v>206</v>
      </c>
      <c r="M21" s="174">
        <v>-12</v>
      </c>
      <c r="N21" s="174">
        <v>-20</v>
      </c>
      <c r="O21" s="174">
        <v>-326</v>
      </c>
      <c r="P21" s="174">
        <v>83</v>
      </c>
      <c r="Q21" s="174">
        <v>98</v>
      </c>
      <c r="R21" s="174">
        <v>-68</v>
      </c>
      <c r="S21" s="174">
        <v>100</v>
      </c>
      <c r="T21" s="174">
        <v>-271</v>
      </c>
      <c r="U21" s="174">
        <v>70</v>
      </c>
      <c r="V21" s="174">
        <v>124</v>
      </c>
      <c r="W21" s="174">
        <v>-46</v>
      </c>
      <c r="X21" s="174">
        <v>55</v>
      </c>
      <c r="Y21" s="174">
        <v>-440</v>
      </c>
      <c r="Z21" s="174">
        <v>-25</v>
      </c>
      <c r="AA21" s="174">
        <v>196</v>
      </c>
      <c r="AB21" s="174">
        <v>-61</v>
      </c>
      <c r="AC21" s="174">
        <v>37</v>
      </c>
      <c r="AD21" s="174">
        <v>-418</v>
      </c>
      <c r="AE21" s="174">
        <v>61</v>
      </c>
      <c r="AF21" s="174">
        <v>148</v>
      </c>
      <c r="AG21" s="174">
        <v>-61</v>
      </c>
      <c r="AH21" s="174">
        <v>127</v>
      </c>
      <c r="AI21" s="174">
        <v>-162</v>
      </c>
      <c r="AJ21" s="174">
        <v>228</v>
      </c>
      <c r="AK21" s="174">
        <v>216</v>
      </c>
      <c r="AL21" s="174">
        <v>-175</v>
      </c>
      <c r="AM21" s="174">
        <v>115</v>
      </c>
      <c r="AN21" s="174">
        <v>-321</v>
      </c>
      <c r="AO21" s="174">
        <v>158</v>
      </c>
      <c r="AP21" s="174">
        <v>268</v>
      </c>
      <c r="AQ21" s="174">
        <v>-83</v>
      </c>
      <c r="AR21" s="174">
        <v>43</v>
      </c>
      <c r="AS21" s="174">
        <v>-346</v>
      </c>
      <c r="AT21" s="174">
        <v>72</v>
      </c>
      <c r="AU21" s="174">
        <v>281</v>
      </c>
      <c r="AV21" s="174">
        <v>-131</v>
      </c>
      <c r="AW21" s="174">
        <v>50</v>
      </c>
      <c r="AX21" s="174">
        <v>-344</v>
      </c>
      <c r="AY21" s="174">
        <v>99</v>
      </c>
      <c r="AZ21" s="174">
        <v>206</v>
      </c>
      <c r="BA21" s="174">
        <v>-77</v>
      </c>
      <c r="BB21" s="174">
        <v>-45</v>
      </c>
      <c r="BC21" s="174">
        <v>-223</v>
      </c>
      <c r="BD21" s="174">
        <v>52</v>
      </c>
      <c r="BE21" s="174">
        <v>216</v>
      </c>
      <c r="BF21" s="174">
        <v>-93</v>
      </c>
      <c r="BG21" s="174">
        <v>180</v>
      </c>
      <c r="BH21" s="174">
        <v>-58</v>
      </c>
      <c r="BI21" s="174">
        <v>418</v>
      </c>
      <c r="BJ21" s="174">
        <v>631</v>
      </c>
      <c r="BK21" s="174">
        <v>44</v>
      </c>
    </row>
    <row r="22" spans="1:63" ht="15.75" customHeight="1">
      <c r="A22" s="178" t="s">
        <v>110</v>
      </c>
      <c r="B22" s="177" t="s">
        <v>189</v>
      </c>
      <c r="C22" s="183">
        <f t="shared" si="6"/>
        <v>49350</v>
      </c>
      <c r="D22" s="183">
        <f t="shared" si="7"/>
        <v>-2390</v>
      </c>
      <c r="E22" s="183">
        <f t="shared" si="8"/>
        <v>61200</v>
      </c>
      <c r="F22" s="183">
        <f t="shared" si="9"/>
        <v>-6360</v>
      </c>
      <c r="G22" s="183">
        <f t="shared" si="10"/>
        <v>-2886</v>
      </c>
      <c r="H22" s="183">
        <f t="shared" si="11"/>
        <v>-214</v>
      </c>
      <c r="I22" s="174">
        <v>193</v>
      </c>
      <c r="J22" s="174">
        <v>7279</v>
      </c>
      <c r="K22" s="174">
        <v>443</v>
      </c>
      <c r="L22" s="174">
        <v>149</v>
      </c>
      <c r="M22" s="174">
        <v>-20</v>
      </c>
      <c r="N22" s="174">
        <v>-97</v>
      </c>
      <c r="O22" s="174">
        <v>4605</v>
      </c>
      <c r="P22" s="174">
        <v>-444</v>
      </c>
      <c r="Q22" s="174">
        <v>-109</v>
      </c>
      <c r="R22" s="174">
        <v>11</v>
      </c>
      <c r="S22" s="174">
        <v>-177</v>
      </c>
      <c r="T22" s="174">
        <v>4131</v>
      </c>
      <c r="U22" s="174">
        <v>-869</v>
      </c>
      <c r="V22" s="174">
        <v>-87</v>
      </c>
      <c r="W22" s="174">
        <v>0</v>
      </c>
      <c r="X22" s="174">
        <v>-384</v>
      </c>
      <c r="Y22" s="174">
        <v>4606</v>
      </c>
      <c r="Z22" s="174">
        <v>-864</v>
      </c>
      <c r="AA22" s="174">
        <v>-101</v>
      </c>
      <c r="AB22" s="174">
        <v>39</v>
      </c>
      <c r="AC22" s="174">
        <v>-294</v>
      </c>
      <c r="AD22" s="174">
        <v>6904</v>
      </c>
      <c r="AE22" s="174">
        <v>-123</v>
      </c>
      <c r="AF22" s="174">
        <v>-152</v>
      </c>
      <c r="AG22" s="174">
        <v>-74</v>
      </c>
      <c r="AH22" s="174">
        <v>186</v>
      </c>
      <c r="AI22" s="174">
        <v>7864</v>
      </c>
      <c r="AJ22" s="174">
        <v>-179</v>
      </c>
      <c r="AK22" s="174">
        <v>-280</v>
      </c>
      <c r="AL22" s="174">
        <v>68</v>
      </c>
      <c r="AM22" s="174">
        <v>-377</v>
      </c>
      <c r="AN22" s="174">
        <v>6509</v>
      </c>
      <c r="AO22" s="174">
        <v>-757</v>
      </c>
      <c r="AP22" s="174">
        <v>-247</v>
      </c>
      <c r="AQ22" s="174">
        <v>-40</v>
      </c>
      <c r="AR22" s="174">
        <v>-395</v>
      </c>
      <c r="AS22" s="174">
        <v>6011</v>
      </c>
      <c r="AT22" s="174">
        <v>-648</v>
      </c>
      <c r="AU22" s="174">
        <v>-370</v>
      </c>
      <c r="AV22" s="174">
        <v>23</v>
      </c>
      <c r="AW22" s="174">
        <v>-124</v>
      </c>
      <c r="AX22" s="174">
        <v>6509</v>
      </c>
      <c r="AY22" s="174">
        <v>-149</v>
      </c>
      <c r="AZ22" s="174">
        <v>-260</v>
      </c>
      <c r="BA22" s="174">
        <v>-70</v>
      </c>
      <c r="BB22" s="174">
        <v>-359</v>
      </c>
      <c r="BC22" s="174">
        <v>4813</v>
      </c>
      <c r="BD22" s="174">
        <v>-997</v>
      </c>
      <c r="BE22" s="174">
        <v>-499</v>
      </c>
      <c r="BF22" s="174">
        <v>-68</v>
      </c>
      <c r="BG22" s="174">
        <v>-562</v>
      </c>
      <c r="BH22" s="174">
        <v>1969</v>
      </c>
      <c r="BI22" s="174">
        <v>-1773</v>
      </c>
      <c r="BJ22" s="174">
        <v>-930</v>
      </c>
      <c r="BK22" s="174">
        <v>-83</v>
      </c>
    </row>
    <row r="23" spans="1:63" ht="15.75" customHeight="1">
      <c r="A23" s="178" t="s">
        <v>109</v>
      </c>
      <c r="B23" s="177" t="s">
        <v>18</v>
      </c>
      <c r="C23" s="183">
        <f t="shared" si="6"/>
        <v>395</v>
      </c>
      <c r="D23" s="183">
        <f t="shared" si="7"/>
        <v>245</v>
      </c>
      <c r="E23" s="183">
        <f t="shared" si="8"/>
        <v>-626</v>
      </c>
      <c r="F23" s="183">
        <f t="shared" si="9"/>
        <v>246</v>
      </c>
      <c r="G23" s="183">
        <f t="shared" si="10"/>
        <v>358</v>
      </c>
      <c r="H23" s="183">
        <f t="shared" si="11"/>
        <v>172</v>
      </c>
      <c r="I23" s="174">
        <v>-1</v>
      </c>
      <c r="J23" s="174">
        <v>-39</v>
      </c>
      <c r="K23" s="174">
        <v>-14</v>
      </c>
      <c r="L23" s="174">
        <v>37</v>
      </c>
      <c r="M23" s="174">
        <v>9</v>
      </c>
      <c r="N23" s="174">
        <v>-94</v>
      </c>
      <c r="O23" s="174">
        <v>-167</v>
      </c>
      <c r="P23" s="174">
        <v>-28</v>
      </c>
      <c r="Q23" s="174">
        <v>-11</v>
      </c>
      <c r="R23" s="174">
        <v>44</v>
      </c>
      <c r="S23" s="174">
        <v>49</v>
      </c>
      <c r="T23" s="174">
        <v>-118</v>
      </c>
      <c r="U23" s="174">
        <v>-20</v>
      </c>
      <c r="V23" s="174">
        <v>15</v>
      </c>
      <c r="W23" s="174">
        <v>15</v>
      </c>
      <c r="X23" s="174">
        <v>-28</v>
      </c>
      <c r="Y23" s="174">
        <v>-78</v>
      </c>
      <c r="Z23" s="174">
        <v>-12</v>
      </c>
      <c r="AA23" s="174">
        <v>21</v>
      </c>
      <c r="AB23" s="174">
        <v>15</v>
      </c>
      <c r="AC23" s="174">
        <v>6</v>
      </c>
      <c r="AD23" s="174">
        <v>-24</v>
      </c>
      <c r="AE23" s="174">
        <v>33</v>
      </c>
      <c r="AF23" s="174">
        <v>44</v>
      </c>
      <c r="AG23" s="174">
        <v>83</v>
      </c>
      <c r="AH23" s="174">
        <v>67</v>
      </c>
      <c r="AI23" s="174">
        <v>-59</v>
      </c>
      <c r="AJ23" s="174">
        <v>-9</v>
      </c>
      <c r="AK23" s="174">
        <v>18</v>
      </c>
      <c r="AL23" s="174">
        <v>-5</v>
      </c>
      <c r="AM23" s="174">
        <v>58</v>
      </c>
      <c r="AN23" s="174">
        <v>-39</v>
      </c>
      <c r="AO23" s="174">
        <v>117</v>
      </c>
      <c r="AP23" s="174">
        <v>-1</v>
      </c>
      <c r="AQ23" s="174">
        <v>-14</v>
      </c>
      <c r="AR23" s="174">
        <v>-14</v>
      </c>
      <c r="AS23" s="174">
        <v>-88</v>
      </c>
      <c r="AT23" s="174">
        <v>33</v>
      </c>
      <c r="AU23" s="174">
        <v>16</v>
      </c>
      <c r="AV23" s="174">
        <v>22</v>
      </c>
      <c r="AW23" s="174">
        <v>56</v>
      </c>
      <c r="AX23" s="174">
        <v>12</v>
      </c>
      <c r="AY23" s="174">
        <v>31</v>
      </c>
      <c r="AZ23" s="174">
        <v>53</v>
      </c>
      <c r="BA23" s="174">
        <v>0</v>
      </c>
      <c r="BB23" s="174">
        <v>78</v>
      </c>
      <c r="BC23" s="174">
        <v>-52</v>
      </c>
      <c r="BD23" s="174">
        <v>22</v>
      </c>
      <c r="BE23" s="174">
        <v>60</v>
      </c>
      <c r="BF23" s="174">
        <v>-4</v>
      </c>
      <c r="BG23" s="174">
        <v>68</v>
      </c>
      <c r="BH23" s="174">
        <v>26</v>
      </c>
      <c r="BI23" s="174">
        <v>93</v>
      </c>
      <c r="BJ23" s="174">
        <v>106</v>
      </c>
      <c r="BK23" s="174">
        <v>7</v>
      </c>
    </row>
    <row r="24" spans="1:63" ht="15.75" customHeight="1">
      <c r="A24" s="178" t="s">
        <v>108</v>
      </c>
      <c r="B24" s="177" t="s">
        <v>19</v>
      </c>
      <c r="C24" s="183">
        <f t="shared" si="6"/>
        <v>4570</v>
      </c>
      <c r="D24" s="183">
        <f t="shared" si="7"/>
        <v>1377</v>
      </c>
      <c r="E24" s="183">
        <f t="shared" si="8"/>
        <v>-2549</v>
      </c>
      <c r="F24" s="183">
        <f t="shared" si="9"/>
        <v>1514</v>
      </c>
      <c r="G24" s="183">
        <f t="shared" si="10"/>
        <v>3837</v>
      </c>
      <c r="H24" s="183">
        <f t="shared" si="11"/>
        <v>391</v>
      </c>
      <c r="I24" s="174">
        <v>119</v>
      </c>
      <c r="J24" s="174">
        <v>-102</v>
      </c>
      <c r="K24" s="174">
        <v>158</v>
      </c>
      <c r="L24" s="174">
        <v>168</v>
      </c>
      <c r="M24" s="174">
        <v>34</v>
      </c>
      <c r="N24" s="174">
        <v>-9</v>
      </c>
      <c r="O24" s="174">
        <v>-314</v>
      </c>
      <c r="P24" s="174">
        <v>53</v>
      </c>
      <c r="Q24" s="174">
        <v>178</v>
      </c>
      <c r="R24" s="174">
        <v>-36</v>
      </c>
      <c r="S24" s="174">
        <v>17</v>
      </c>
      <c r="T24" s="174">
        <v>-287</v>
      </c>
      <c r="U24" s="174">
        <v>37</v>
      </c>
      <c r="V24" s="174">
        <v>261</v>
      </c>
      <c r="W24" s="174">
        <v>-34</v>
      </c>
      <c r="X24" s="174">
        <v>153</v>
      </c>
      <c r="Y24" s="174">
        <v>-330</v>
      </c>
      <c r="Z24" s="174">
        <v>141</v>
      </c>
      <c r="AA24" s="174">
        <v>310</v>
      </c>
      <c r="AB24" s="174">
        <v>60</v>
      </c>
      <c r="AC24" s="174">
        <v>78</v>
      </c>
      <c r="AD24" s="174">
        <v>-264</v>
      </c>
      <c r="AE24" s="174">
        <v>129</v>
      </c>
      <c r="AF24" s="174">
        <v>337</v>
      </c>
      <c r="AG24" s="174">
        <v>50</v>
      </c>
      <c r="AH24" s="174">
        <v>153</v>
      </c>
      <c r="AI24" s="174">
        <v>-214</v>
      </c>
      <c r="AJ24" s="174">
        <v>86</v>
      </c>
      <c r="AK24" s="174">
        <v>368</v>
      </c>
      <c r="AL24" s="174">
        <v>1</v>
      </c>
      <c r="AM24" s="174">
        <v>115</v>
      </c>
      <c r="AN24" s="174">
        <v>-336</v>
      </c>
      <c r="AO24" s="174">
        <v>196</v>
      </c>
      <c r="AP24" s="174">
        <v>341</v>
      </c>
      <c r="AQ24" s="174">
        <v>6</v>
      </c>
      <c r="AR24" s="174">
        <v>97</v>
      </c>
      <c r="AS24" s="174">
        <v>-310</v>
      </c>
      <c r="AT24" s="174">
        <v>129</v>
      </c>
      <c r="AU24" s="174">
        <v>379</v>
      </c>
      <c r="AV24" s="174">
        <v>88</v>
      </c>
      <c r="AW24" s="174">
        <v>197</v>
      </c>
      <c r="AX24" s="174">
        <v>-190</v>
      </c>
      <c r="AY24" s="174">
        <v>174</v>
      </c>
      <c r="AZ24" s="174">
        <v>471</v>
      </c>
      <c r="BA24" s="174">
        <v>76</v>
      </c>
      <c r="BB24" s="174">
        <v>144</v>
      </c>
      <c r="BC24" s="174">
        <v>-235</v>
      </c>
      <c r="BD24" s="174">
        <v>107</v>
      </c>
      <c r="BE24" s="174">
        <v>258</v>
      </c>
      <c r="BF24" s="174">
        <v>61</v>
      </c>
      <c r="BG24" s="174">
        <v>313</v>
      </c>
      <c r="BH24" s="174">
        <v>33</v>
      </c>
      <c r="BI24" s="174">
        <v>304</v>
      </c>
      <c r="BJ24" s="174">
        <v>766</v>
      </c>
      <c r="BK24" s="174">
        <v>85</v>
      </c>
    </row>
    <row r="25" spans="1:63" ht="15.75" customHeight="1">
      <c r="A25" s="178" t="s">
        <v>107</v>
      </c>
      <c r="B25" s="177" t="s">
        <v>20</v>
      </c>
      <c r="C25" s="183">
        <f t="shared" si="6"/>
        <v>3670</v>
      </c>
      <c r="D25" s="183">
        <f t="shared" si="7"/>
        <v>-1067</v>
      </c>
      <c r="E25" s="183">
        <f t="shared" si="8"/>
        <v>8269</v>
      </c>
      <c r="F25" s="183">
        <f t="shared" si="9"/>
        <v>-2776</v>
      </c>
      <c r="G25" s="183">
        <f t="shared" si="10"/>
        <v>-198</v>
      </c>
      <c r="H25" s="183">
        <f t="shared" si="11"/>
        <v>-558</v>
      </c>
      <c r="I25" s="174">
        <v>-90</v>
      </c>
      <c r="J25" s="174">
        <v>1750</v>
      </c>
      <c r="K25" s="174">
        <v>-133</v>
      </c>
      <c r="L25" s="174">
        <v>-15</v>
      </c>
      <c r="M25" s="174">
        <v>-85</v>
      </c>
      <c r="N25" s="174">
        <v>-134</v>
      </c>
      <c r="O25" s="174">
        <v>896</v>
      </c>
      <c r="P25" s="174">
        <v>-86</v>
      </c>
      <c r="Q25" s="174">
        <v>-77</v>
      </c>
      <c r="R25" s="174">
        <v>-107</v>
      </c>
      <c r="S25" s="174">
        <v>-56</v>
      </c>
      <c r="T25" s="174">
        <v>708</v>
      </c>
      <c r="U25" s="174">
        <v>-332</v>
      </c>
      <c r="V25" s="174">
        <v>38</v>
      </c>
      <c r="W25" s="174">
        <v>-49</v>
      </c>
      <c r="X25" s="174">
        <v>-96</v>
      </c>
      <c r="Y25" s="174">
        <v>480</v>
      </c>
      <c r="Z25" s="174">
        <v>-307</v>
      </c>
      <c r="AA25" s="174">
        <v>-2</v>
      </c>
      <c r="AB25" s="174">
        <v>-87</v>
      </c>
      <c r="AC25" s="174">
        <v>-159</v>
      </c>
      <c r="AD25" s="174">
        <v>711</v>
      </c>
      <c r="AE25" s="174">
        <v>-266</v>
      </c>
      <c r="AF25" s="174">
        <v>-21</v>
      </c>
      <c r="AG25" s="174">
        <v>-56</v>
      </c>
      <c r="AH25" s="174">
        <v>-71</v>
      </c>
      <c r="AI25" s="174">
        <v>599</v>
      </c>
      <c r="AJ25" s="174">
        <v>-351</v>
      </c>
      <c r="AK25" s="174">
        <v>5</v>
      </c>
      <c r="AL25" s="174">
        <v>-5</v>
      </c>
      <c r="AM25" s="174">
        <v>-88</v>
      </c>
      <c r="AN25" s="174">
        <v>890</v>
      </c>
      <c r="AO25" s="174">
        <v>-190</v>
      </c>
      <c r="AP25" s="174">
        <v>32</v>
      </c>
      <c r="AQ25" s="174">
        <v>-56</v>
      </c>
      <c r="AR25" s="174">
        <v>-115</v>
      </c>
      <c r="AS25" s="174">
        <v>916</v>
      </c>
      <c r="AT25" s="174">
        <v>-296</v>
      </c>
      <c r="AU25" s="174">
        <v>-122</v>
      </c>
      <c r="AV25" s="174">
        <v>-31</v>
      </c>
      <c r="AW25" s="174">
        <v>-60</v>
      </c>
      <c r="AX25" s="174">
        <v>1195</v>
      </c>
      <c r="AY25" s="174">
        <v>-297</v>
      </c>
      <c r="AZ25" s="174">
        <v>34</v>
      </c>
      <c r="BA25" s="174">
        <v>-48</v>
      </c>
      <c r="BB25" s="174">
        <v>-93</v>
      </c>
      <c r="BC25" s="174">
        <v>445</v>
      </c>
      <c r="BD25" s="174">
        <v>-244</v>
      </c>
      <c r="BE25" s="174">
        <v>-152</v>
      </c>
      <c r="BF25" s="174">
        <v>-38</v>
      </c>
      <c r="BG25" s="174">
        <v>-105</v>
      </c>
      <c r="BH25" s="174">
        <v>-321</v>
      </c>
      <c r="BI25" s="174">
        <v>-274</v>
      </c>
      <c r="BJ25" s="174">
        <v>82</v>
      </c>
      <c r="BK25" s="174">
        <v>4</v>
      </c>
    </row>
    <row r="26" spans="1:63" ht="15.75" customHeight="1">
      <c r="A26" s="178" t="s">
        <v>106</v>
      </c>
      <c r="B26" s="177" t="s">
        <v>21</v>
      </c>
      <c r="C26" s="183">
        <f t="shared" si="6"/>
        <v>1585</v>
      </c>
      <c r="D26" s="183">
        <f t="shared" si="7"/>
        <v>378</v>
      </c>
      <c r="E26" s="183">
        <f t="shared" si="8"/>
        <v>-1095</v>
      </c>
      <c r="F26" s="183">
        <f t="shared" si="9"/>
        <v>1222</v>
      </c>
      <c r="G26" s="183">
        <f t="shared" si="10"/>
        <v>838</v>
      </c>
      <c r="H26" s="183">
        <f t="shared" si="11"/>
        <v>242</v>
      </c>
      <c r="I26" s="174">
        <v>23</v>
      </c>
      <c r="J26" s="174">
        <v>-103</v>
      </c>
      <c r="K26" s="174">
        <v>57</v>
      </c>
      <c r="L26" s="174">
        <v>63</v>
      </c>
      <c r="M26" s="174">
        <v>-10</v>
      </c>
      <c r="N26" s="174">
        <v>28</v>
      </c>
      <c r="O26" s="174">
        <v>-149</v>
      </c>
      <c r="P26" s="174">
        <v>63</v>
      </c>
      <c r="Q26" s="174">
        <v>-2</v>
      </c>
      <c r="R26" s="174">
        <v>-16</v>
      </c>
      <c r="S26" s="174">
        <v>2</v>
      </c>
      <c r="T26" s="174">
        <v>-199</v>
      </c>
      <c r="U26" s="174">
        <v>43</v>
      </c>
      <c r="V26" s="174">
        <v>18</v>
      </c>
      <c r="W26" s="174">
        <v>16</v>
      </c>
      <c r="X26" s="174">
        <v>-9</v>
      </c>
      <c r="Y26" s="174">
        <v>-157</v>
      </c>
      <c r="Z26" s="174">
        <v>104</v>
      </c>
      <c r="AA26" s="174">
        <v>2</v>
      </c>
      <c r="AB26" s="174">
        <v>-30</v>
      </c>
      <c r="AC26" s="174">
        <v>72</v>
      </c>
      <c r="AD26" s="174">
        <v>-115</v>
      </c>
      <c r="AE26" s="174">
        <v>43</v>
      </c>
      <c r="AF26" s="174">
        <v>81</v>
      </c>
      <c r="AG26" s="174">
        <v>-19</v>
      </c>
      <c r="AH26" s="174">
        <v>109</v>
      </c>
      <c r="AI26" s="174">
        <v>-166</v>
      </c>
      <c r="AJ26" s="174">
        <v>112</v>
      </c>
      <c r="AK26" s="174">
        <v>63</v>
      </c>
      <c r="AL26" s="174">
        <v>33</v>
      </c>
      <c r="AM26" s="174">
        <v>-17</v>
      </c>
      <c r="AN26" s="174">
        <v>-129</v>
      </c>
      <c r="AO26" s="174">
        <v>118</v>
      </c>
      <c r="AP26" s="174">
        <v>49</v>
      </c>
      <c r="AQ26" s="174">
        <v>-3</v>
      </c>
      <c r="AR26" s="174">
        <v>50</v>
      </c>
      <c r="AS26" s="174">
        <v>-137</v>
      </c>
      <c r="AT26" s="174">
        <v>152</v>
      </c>
      <c r="AU26" s="174">
        <v>86</v>
      </c>
      <c r="AV26" s="174">
        <v>79</v>
      </c>
      <c r="AW26" s="174">
        <v>23</v>
      </c>
      <c r="AX26" s="174">
        <v>37</v>
      </c>
      <c r="AY26" s="174">
        <v>142</v>
      </c>
      <c r="AZ26" s="174">
        <v>179</v>
      </c>
      <c r="BA26" s="174">
        <v>51</v>
      </c>
      <c r="BB26" s="174">
        <v>-32</v>
      </c>
      <c r="BC26" s="174">
        <v>-118</v>
      </c>
      <c r="BD26" s="174">
        <v>81</v>
      </c>
      <c r="BE26" s="174">
        <v>70</v>
      </c>
      <c r="BF26" s="174">
        <v>46</v>
      </c>
      <c r="BG26" s="174">
        <v>129</v>
      </c>
      <c r="BH26" s="174">
        <v>141</v>
      </c>
      <c r="BI26" s="174">
        <v>307</v>
      </c>
      <c r="BJ26" s="174">
        <v>229</v>
      </c>
      <c r="BK26" s="174">
        <v>95</v>
      </c>
    </row>
    <row r="27" spans="1:63" ht="15.75" customHeight="1">
      <c r="A27" s="178" t="s">
        <v>105</v>
      </c>
      <c r="B27" s="177" t="s">
        <v>22</v>
      </c>
      <c r="C27" s="183">
        <f t="shared" si="6"/>
        <v>4987</v>
      </c>
      <c r="D27" s="183">
        <f t="shared" si="7"/>
        <v>4583</v>
      </c>
      <c r="E27" s="183">
        <f t="shared" si="8"/>
        <v>-4181</v>
      </c>
      <c r="F27" s="183">
        <f t="shared" si="9"/>
        <v>5124</v>
      </c>
      <c r="G27" s="183">
        <f t="shared" si="10"/>
        <v>-498</v>
      </c>
      <c r="H27" s="183">
        <f t="shared" si="11"/>
        <v>-41</v>
      </c>
      <c r="I27" s="174">
        <v>238</v>
      </c>
      <c r="J27" s="174">
        <v>-389</v>
      </c>
      <c r="K27" s="174">
        <v>170</v>
      </c>
      <c r="L27" s="174">
        <v>-97</v>
      </c>
      <c r="M27" s="174">
        <v>-27</v>
      </c>
      <c r="N27" s="174">
        <v>414</v>
      </c>
      <c r="O27" s="174">
        <v>-398</v>
      </c>
      <c r="P27" s="174">
        <v>284</v>
      </c>
      <c r="Q27" s="174">
        <v>-50</v>
      </c>
      <c r="R27" s="174">
        <v>10</v>
      </c>
      <c r="S27" s="174">
        <v>261</v>
      </c>
      <c r="T27" s="174">
        <v>-517</v>
      </c>
      <c r="U27" s="174">
        <v>361</v>
      </c>
      <c r="V27" s="174">
        <v>-31</v>
      </c>
      <c r="W27" s="174">
        <v>18</v>
      </c>
      <c r="X27" s="174">
        <v>507</v>
      </c>
      <c r="Y27" s="174">
        <v>-272</v>
      </c>
      <c r="Z27" s="174">
        <v>642</v>
      </c>
      <c r="AA27" s="174">
        <v>-42</v>
      </c>
      <c r="AB27" s="174">
        <v>74</v>
      </c>
      <c r="AC27" s="174">
        <v>518</v>
      </c>
      <c r="AD27" s="174">
        <v>-439</v>
      </c>
      <c r="AE27" s="174">
        <v>592</v>
      </c>
      <c r="AF27" s="174">
        <v>-98</v>
      </c>
      <c r="AG27" s="174">
        <v>-24</v>
      </c>
      <c r="AH27" s="174">
        <v>530</v>
      </c>
      <c r="AI27" s="174">
        <v>-401</v>
      </c>
      <c r="AJ27" s="174">
        <v>580</v>
      </c>
      <c r="AK27" s="174">
        <v>-1</v>
      </c>
      <c r="AL27" s="174">
        <v>-2</v>
      </c>
      <c r="AM27" s="174">
        <v>494</v>
      </c>
      <c r="AN27" s="174">
        <v>-319</v>
      </c>
      <c r="AO27" s="174">
        <v>594</v>
      </c>
      <c r="AP27" s="174">
        <v>-69</v>
      </c>
      <c r="AQ27" s="174">
        <v>-12</v>
      </c>
      <c r="AR27" s="174">
        <v>375</v>
      </c>
      <c r="AS27" s="174">
        <v>-385</v>
      </c>
      <c r="AT27" s="174">
        <v>410</v>
      </c>
      <c r="AU27" s="174">
        <v>-15</v>
      </c>
      <c r="AV27" s="174">
        <v>-15</v>
      </c>
      <c r="AW27" s="174">
        <v>413</v>
      </c>
      <c r="AX27" s="174">
        <v>-421</v>
      </c>
      <c r="AY27" s="174">
        <v>462</v>
      </c>
      <c r="AZ27" s="174">
        <v>-19</v>
      </c>
      <c r="BA27" s="174">
        <v>-11</v>
      </c>
      <c r="BB27" s="174">
        <v>409</v>
      </c>
      <c r="BC27" s="174">
        <v>-291</v>
      </c>
      <c r="BD27" s="174">
        <v>499</v>
      </c>
      <c r="BE27" s="174">
        <v>19</v>
      </c>
      <c r="BF27" s="174">
        <v>-28</v>
      </c>
      <c r="BG27" s="174">
        <v>424</v>
      </c>
      <c r="BH27" s="174">
        <v>-349</v>
      </c>
      <c r="BI27" s="174">
        <v>530</v>
      </c>
      <c r="BJ27" s="174">
        <v>-95</v>
      </c>
      <c r="BK27" s="174">
        <v>-24</v>
      </c>
    </row>
    <row r="28" spans="1:63" ht="15.75" customHeight="1">
      <c r="A28" s="178" t="s">
        <v>104</v>
      </c>
      <c r="B28" s="177" t="s">
        <v>23</v>
      </c>
      <c r="C28" s="183">
        <f t="shared" si="6"/>
        <v>10402</v>
      </c>
      <c r="D28" s="183">
        <f t="shared" si="7"/>
        <v>2687</v>
      </c>
      <c r="E28" s="183">
        <f t="shared" si="8"/>
        <v>-729</v>
      </c>
      <c r="F28" s="183">
        <f t="shared" si="9"/>
        <v>5113</v>
      </c>
      <c r="G28" s="183">
        <f t="shared" si="10"/>
        <v>2035</v>
      </c>
      <c r="H28" s="183">
        <f t="shared" si="11"/>
        <v>1296</v>
      </c>
      <c r="I28" s="174">
        <v>182</v>
      </c>
      <c r="J28" s="174">
        <v>-93</v>
      </c>
      <c r="K28" s="174">
        <v>232</v>
      </c>
      <c r="L28" s="174">
        <v>69</v>
      </c>
      <c r="M28" s="174">
        <v>55</v>
      </c>
      <c r="N28" s="174">
        <v>215</v>
      </c>
      <c r="O28" s="174">
        <v>103</v>
      </c>
      <c r="P28" s="174">
        <v>346</v>
      </c>
      <c r="Q28" s="174">
        <v>60</v>
      </c>
      <c r="R28" s="174">
        <v>63</v>
      </c>
      <c r="S28" s="174">
        <v>152</v>
      </c>
      <c r="T28" s="174">
        <v>-126</v>
      </c>
      <c r="U28" s="174">
        <v>356</v>
      </c>
      <c r="V28" s="174">
        <v>85</v>
      </c>
      <c r="W28" s="174">
        <v>54</v>
      </c>
      <c r="X28" s="174">
        <v>239</v>
      </c>
      <c r="Y28" s="174">
        <v>-85</v>
      </c>
      <c r="Z28" s="174">
        <v>341</v>
      </c>
      <c r="AA28" s="174">
        <v>128</v>
      </c>
      <c r="AB28" s="174">
        <v>89</v>
      </c>
      <c r="AC28" s="174">
        <v>212</v>
      </c>
      <c r="AD28" s="174">
        <v>29</v>
      </c>
      <c r="AE28" s="174">
        <v>439</v>
      </c>
      <c r="AF28" s="174">
        <v>148</v>
      </c>
      <c r="AG28" s="174">
        <v>133</v>
      </c>
      <c r="AH28" s="174">
        <v>158</v>
      </c>
      <c r="AI28" s="174">
        <v>-13</v>
      </c>
      <c r="AJ28" s="174">
        <v>449</v>
      </c>
      <c r="AK28" s="174">
        <v>242</v>
      </c>
      <c r="AL28" s="174">
        <v>124</v>
      </c>
      <c r="AM28" s="174">
        <v>188</v>
      </c>
      <c r="AN28" s="174">
        <v>-140</v>
      </c>
      <c r="AO28" s="174">
        <v>420</v>
      </c>
      <c r="AP28" s="174">
        <v>195</v>
      </c>
      <c r="AQ28" s="174">
        <v>137</v>
      </c>
      <c r="AR28" s="174">
        <v>419</v>
      </c>
      <c r="AS28" s="174">
        <v>-112</v>
      </c>
      <c r="AT28" s="174">
        <v>551</v>
      </c>
      <c r="AU28" s="174">
        <v>170</v>
      </c>
      <c r="AV28" s="174">
        <v>123</v>
      </c>
      <c r="AW28" s="174">
        <v>347</v>
      </c>
      <c r="AX28" s="174">
        <v>-108</v>
      </c>
      <c r="AY28" s="174">
        <v>622</v>
      </c>
      <c r="AZ28" s="174">
        <v>259</v>
      </c>
      <c r="BA28" s="174">
        <v>153</v>
      </c>
      <c r="BB28" s="174">
        <v>217</v>
      </c>
      <c r="BC28" s="174">
        <v>-118</v>
      </c>
      <c r="BD28" s="174">
        <v>438</v>
      </c>
      <c r="BE28" s="174">
        <v>287</v>
      </c>
      <c r="BF28" s="174">
        <v>148</v>
      </c>
      <c r="BG28" s="174">
        <v>358</v>
      </c>
      <c r="BH28" s="174">
        <v>-66</v>
      </c>
      <c r="BI28" s="174">
        <v>919</v>
      </c>
      <c r="BJ28" s="174">
        <v>392</v>
      </c>
      <c r="BK28" s="174">
        <v>217</v>
      </c>
    </row>
    <row r="29" spans="1:63" ht="15.75" customHeight="1">
      <c r="A29" s="178" t="s">
        <v>103</v>
      </c>
      <c r="B29" s="177" t="s">
        <v>24</v>
      </c>
      <c r="C29" s="183">
        <f t="shared" si="6"/>
        <v>6602</v>
      </c>
      <c r="D29" s="183">
        <f t="shared" si="7"/>
        <v>6074</v>
      </c>
      <c r="E29" s="183">
        <f t="shared" si="8"/>
        <v>-4251</v>
      </c>
      <c r="F29" s="183">
        <f t="shared" si="9"/>
        <v>5896</v>
      </c>
      <c r="G29" s="183">
        <f t="shared" si="10"/>
        <v>-1185</v>
      </c>
      <c r="H29" s="183">
        <f t="shared" si="11"/>
        <v>68</v>
      </c>
      <c r="I29" s="174">
        <v>413</v>
      </c>
      <c r="J29" s="174">
        <v>-323</v>
      </c>
      <c r="K29" s="174">
        <v>293</v>
      </c>
      <c r="L29" s="174">
        <v>-82</v>
      </c>
      <c r="M29" s="174">
        <v>-31</v>
      </c>
      <c r="N29" s="174">
        <v>316</v>
      </c>
      <c r="O29" s="174">
        <v>-357</v>
      </c>
      <c r="P29" s="174">
        <v>381</v>
      </c>
      <c r="Q29" s="174">
        <v>-125</v>
      </c>
      <c r="R29" s="174">
        <v>-26</v>
      </c>
      <c r="S29" s="174">
        <v>586</v>
      </c>
      <c r="T29" s="174">
        <v>-414</v>
      </c>
      <c r="U29" s="174">
        <v>499</v>
      </c>
      <c r="V29" s="174">
        <v>-111</v>
      </c>
      <c r="W29" s="174">
        <v>-21</v>
      </c>
      <c r="X29" s="174">
        <v>630</v>
      </c>
      <c r="Y29" s="174">
        <v>-246</v>
      </c>
      <c r="Z29" s="174">
        <v>619</v>
      </c>
      <c r="AA29" s="174">
        <v>-138</v>
      </c>
      <c r="AB29" s="174">
        <v>25</v>
      </c>
      <c r="AC29" s="174">
        <v>575</v>
      </c>
      <c r="AD29" s="174">
        <v>-474</v>
      </c>
      <c r="AE29" s="174">
        <v>607</v>
      </c>
      <c r="AF29" s="174">
        <v>-215</v>
      </c>
      <c r="AG29" s="174">
        <v>134</v>
      </c>
      <c r="AH29" s="174">
        <v>623</v>
      </c>
      <c r="AI29" s="174">
        <v>-359</v>
      </c>
      <c r="AJ29" s="174">
        <v>709</v>
      </c>
      <c r="AK29" s="174">
        <v>-188</v>
      </c>
      <c r="AL29" s="174">
        <v>34</v>
      </c>
      <c r="AM29" s="174">
        <v>667</v>
      </c>
      <c r="AN29" s="174">
        <v>-537</v>
      </c>
      <c r="AO29" s="174">
        <v>772</v>
      </c>
      <c r="AP29" s="174">
        <v>-2</v>
      </c>
      <c r="AQ29" s="174">
        <v>58</v>
      </c>
      <c r="AR29" s="174">
        <v>613</v>
      </c>
      <c r="AS29" s="174">
        <v>-379</v>
      </c>
      <c r="AT29" s="174">
        <v>483</v>
      </c>
      <c r="AU29" s="174">
        <v>-152</v>
      </c>
      <c r="AV29" s="174">
        <v>-44</v>
      </c>
      <c r="AW29" s="174">
        <v>497</v>
      </c>
      <c r="AX29" s="174">
        <v>-425</v>
      </c>
      <c r="AY29" s="174">
        <v>363</v>
      </c>
      <c r="AZ29" s="174">
        <v>-21</v>
      </c>
      <c r="BA29" s="174">
        <v>-43</v>
      </c>
      <c r="BB29" s="174">
        <v>573</v>
      </c>
      <c r="BC29" s="174">
        <v>-365</v>
      </c>
      <c r="BD29" s="174">
        <v>541</v>
      </c>
      <c r="BE29" s="174">
        <v>-35</v>
      </c>
      <c r="BF29" s="174">
        <v>18</v>
      </c>
      <c r="BG29" s="174">
        <v>581</v>
      </c>
      <c r="BH29" s="174">
        <v>-372</v>
      </c>
      <c r="BI29" s="174">
        <v>629</v>
      </c>
      <c r="BJ29" s="174">
        <v>-116</v>
      </c>
      <c r="BK29" s="174">
        <v>-36</v>
      </c>
    </row>
    <row r="30" spans="1:63" ht="15.75" customHeight="1">
      <c r="A30" s="178" t="s">
        <v>102</v>
      </c>
      <c r="B30" s="177" t="s">
        <v>25</v>
      </c>
      <c r="C30" s="183">
        <f t="shared" si="6"/>
        <v>6742</v>
      </c>
      <c r="D30" s="183">
        <f t="shared" si="7"/>
        <v>725</v>
      </c>
      <c r="E30" s="183">
        <f t="shared" si="8"/>
        <v>1988</v>
      </c>
      <c r="F30" s="183">
        <f t="shared" si="9"/>
        <v>2504</v>
      </c>
      <c r="G30" s="183">
        <f t="shared" si="10"/>
        <v>1081</v>
      </c>
      <c r="H30" s="183">
        <f t="shared" si="11"/>
        <v>444</v>
      </c>
      <c r="I30" s="174">
        <v>83</v>
      </c>
      <c r="J30" s="174">
        <v>433</v>
      </c>
      <c r="K30" s="174">
        <v>282</v>
      </c>
      <c r="L30" s="174">
        <v>183</v>
      </c>
      <c r="M30" s="174">
        <v>40</v>
      </c>
      <c r="N30" s="174">
        <v>-21</v>
      </c>
      <c r="O30" s="174">
        <v>105</v>
      </c>
      <c r="P30" s="174">
        <v>107</v>
      </c>
      <c r="Q30" s="174">
        <v>124</v>
      </c>
      <c r="R30" s="174">
        <v>41</v>
      </c>
      <c r="S30" s="174">
        <v>75</v>
      </c>
      <c r="T30" s="174">
        <v>-26</v>
      </c>
      <c r="U30" s="174">
        <v>158</v>
      </c>
      <c r="V30" s="174">
        <v>89</v>
      </c>
      <c r="W30" s="174">
        <v>79</v>
      </c>
      <c r="X30" s="174">
        <v>77</v>
      </c>
      <c r="Y30" s="174">
        <v>172</v>
      </c>
      <c r="Z30" s="174">
        <v>117</v>
      </c>
      <c r="AA30" s="174">
        <v>34</v>
      </c>
      <c r="AB30" s="174">
        <v>15</v>
      </c>
      <c r="AC30" s="174">
        <v>112</v>
      </c>
      <c r="AD30" s="174">
        <v>223</v>
      </c>
      <c r="AE30" s="174">
        <v>230</v>
      </c>
      <c r="AF30" s="174">
        <v>135</v>
      </c>
      <c r="AG30" s="174">
        <v>34</v>
      </c>
      <c r="AH30" s="174">
        <v>162</v>
      </c>
      <c r="AI30" s="174">
        <v>248</v>
      </c>
      <c r="AJ30" s="174">
        <v>365</v>
      </c>
      <c r="AK30" s="174">
        <v>135</v>
      </c>
      <c r="AL30" s="174">
        <v>30</v>
      </c>
      <c r="AM30" s="174">
        <v>73</v>
      </c>
      <c r="AN30" s="174">
        <v>273</v>
      </c>
      <c r="AO30" s="174">
        <v>349</v>
      </c>
      <c r="AP30" s="174">
        <v>158</v>
      </c>
      <c r="AQ30" s="174">
        <v>48</v>
      </c>
      <c r="AR30" s="174">
        <v>-19</v>
      </c>
      <c r="AS30" s="174">
        <v>72</v>
      </c>
      <c r="AT30" s="174">
        <v>198</v>
      </c>
      <c r="AU30" s="174">
        <v>90</v>
      </c>
      <c r="AV30" s="174">
        <v>87</v>
      </c>
      <c r="AW30" s="174">
        <v>96</v>
      </c>
      <c r="AX30" s="174">
        <v>135</v>
      </c>
      <c r="AY30" s="174">
        <v>309</v>
      </c>
      <c r="AZ30" s="174">
        <v>154</v>
      </c>
      <c r="BA30" s="174">
        <v>36</v>
      </c>
      <c r="BB30" s="174">
        <v>36</v>
      </c>
      <c r="BC30" s="174">
        <v>118</v>
      </c>
      <c r="BD30" s="174">
        <v>103</v>
      </c>
      <c r="BE30" s="174">
        <v>-51</v>
      </c>
      <c r="BF30" s="174">
        <v>22</v>
      </c>
      <c r="BG30" s="174">
        <v>51</v>
      </c>
      <c r="BH30" s="174">
        <v>235</v>
      </c>
      <c r="BI30" s="174">
        <v>286</v>
      </c>
      <c r="BJ30" s="174">
        <v>30</v>
      </c>
      <c r="BK30" s="174">
        <v>12</v>
      </c>
    </row>
    <row r="31" spans="1:63" ht="15.75" customHeight="1">
      <c r="A31" s="178" t="s">
        <v>486</v>
      </c>
      <c r="B31" s="177" t="s">
        <v>26</v>
      </c>
      <c r="C31" s="183">
        <f t="shared" si="6"/>
        <v>14759</v>
      </c>
      <c r="D31" s="183">
        <f t="shared" si="7"/>
        <v>3102</v>
      </c>
      <c r="E31" s="183">
        <f t="shared" si="8"/>
        <v>1523</v>
      </c>
      <c r="F31" s="183">
        <f t="shared" si="9"/>
        <v>4854</v>
      </c>
      <c r="G31" s="183">
        <f t="shared" si="10"/>
        <v>4078</v>
      </c>
      <c r="H31" s="183">
        <f t="shared" si="11"/>
        <v>1202</v>
      </c>
      <c r="I31" s="174">
        <v>297</v>
      </c>
      <c r="J31" s="174">
        <v>807</v>
      </c>
      <c r="K31" s="174">
        <v>514</v>
      </c>
      <c r="L31" s="174">
        <v>330</v>
      </c>
      <c r="M31" s="174">
        <v>128</v>
      </c>
      <c r="N31" s="174">
        <v>62</v>
      </c>
      <c r="O31" s="174">
        <v>-14</v>
      </c>
      <c r="P31" s="174">
        <v>233</v>
      </c>
      <c r="Q31" s="174">
        <v>255</v>
      </c>
      <c r="R31" s="174">
        <v>87</v>
      </c>
      <c r="S31" s="174">
        <v>177</v>
      </c>
      <c r="T31" s="174">
        <v>-141</v>
      </c>
      <c r="U31" s="174">
        <v>55</v>
      </c>
      <c r="V31" s="174">
        <v>199</v>
      </c>
      <c r="W31" s="174">
        <v>14</v>
      </c>
      <c r="X31" s="174">
        <v>105</v>
      </c>
      <c r="Y31" s="174">
        <v>-138</v>
      </c>
      <c r="Z31" s="174">
        <v>209</v>
      </c>
      <c r="AA31" s="174">
        <v>288</v>
      </c>
      <c r="AB31" s="174">
        <v>186</v>
      </c>
      <c r="AC31" s="174">
        <v>274</v>
      </c>
      <c r="AD31" s="174">
        <v>208</v>
      </c>
      <c r="AE31" s="174">
        <v>412</v>
      </c>
      <c r="AF31" s="174">
        <v>286</v>
      </c>
      <c r="AG31" s="174">
        <v>48</v>
      </c>
      <c r="AH31" s="174">
        <v>333</v>
      </c>
      <c r="AI31" s="174">
        <v>343</v>
      </c>
      <c r="AJ31" s="174">
        <v>567</v>
      </c>
      <c r="AK31" s="174">
        <v>277</v>
      </c>
      <c r="AL31" s="174">
        <v>88</v>
      </c>
      <c r="AM31" s="174">
        <v>289</v>
      </c>
      <c r="AN31" s="174">
        <v>369</v>
      </c>
      <c r="AO31" s="174">
        <v>412</v>
      </c>
      <c r="AP31" s="174">
        <v>401</v>
      </c>
      <c r="AQ31" s="174">
        <v>53</v>
      </c>
      <c r="AR31" s="174">
        <v>338</v>
      </c>
      <c r="AS31" s="174">
        <v>-53</v>
      </c>
      <c r="AT31" s="174">
        <v>438</v>
      </c>
      <c r="AU31" s="174">
        <v>448</v>
      </c>
      <c r="AV31" s="174">
        <v>73</v>
      </c>
      <c r="AW31" s="174">
        <v>463</v>
      </c>
      <c r="AX31" s="174">
        <v>519</v>
      </c>
      <c r="AY31" s="174">
        <v>604</v>
      </c>
      <c r="AZ31" s="174">
        <v>534</v>
      </c>
      <c r="BA31" s="174">
        <v>183</v>
      </c>
      <c r="BB31" s="174">
        <v>319</v>
      </c>
      <c r="BC31" s="174">
        <v>78</v>
      </c>
      <c r="BD31" s="174">
        <v>435</v>
      </c>
      <c r="BE31" s="174">
        <v>441</v>
      </c>
      <c r="BF31" s="174">
        <v>162</v>
      </c>
      <c r="BG31" s="174">
        <v>445</v>
      </c>
      <c r="BH31" s="174">
        <v>-455</v>
      </c>
      <c r="BI31" s="174">
        <v>975</v>
      </c>
      <c r="BJ31" s="174">
        <v>619</v>
      </c>
      <c r="BK31" s="174">
        <v>180</v>
      </c>
    </row>
    <row r="32" spans="1:63" ht="15.75" customHeight="1">
      <c r="A32" s="178" t="s">
        <v>100</v>
      </c>
      <c r="B32" s="177" t="s">
        <v>27</v>
      </c>
      <c r="C32" s="183">
        <f t="shared" si="6"/>
        <v>43467</v>
      </c>
      <c r="D32" s="183">
        <f t="shared" si="7"/>
        <v>-8652</v>
      </c>
      <c r="E32" s="183">
        <f t="shared" si="8"/>
        <v>71672</v>
      </c>
      <c r="F32" s="183">
        <f t="shared" si="9"/>
        <v>-13795</v>
      </c>
      <c r="G32" s="183">
        <f t="shared" si="10"/>
        <v>-3271</v>
      </c>
      <c r="H32" s="183">
        <f t="shared" si="11"/>
        <v>-2487</v>
      </c>
      <c r="I32" s="174">
        <v>-492</v>
      </c>
      <c r="J32" s="174">
        <v>6739</v>
      </c>
      <c r="K32" s="174">
        <v>-477</v>
      </c>
      <c r="L32" s="174">
        <v>-131</v>
      </c>
      <c r="M32" s="174">
        <v>-269</v>
      </c>
      <c r="N32" s="174">
        <v>-1106</v>
      </c>
      <c r="O32" s="174">
        <v>4692</v>
      </c>
      <c r="P32" s="174">
        <v>-1700</v>
      </c>
      <c r="Q32" s="174">
        <v>-419</v>
      </c>
      <c r="R32" s="174">
        <v>-321</v>
      </c>
      <c r="S32" s="174">
        <v>-944</v>
      </c>
      <c r="T32" s="174">
        <v>3661</v>
      </c>
      <c r="U32" s="174">
        <v>-1620</v>
      </c>
      <c r="V32" s="174">
        <v>-341</v>
      </c>
      <c r="W32" s="174">
        <v>-317</v>
      </c>
      <c r="X32" s="174">
        <v>-1016</v>
      </c>
      <c r="Y32" s="174">
        <v>4940</v>
      </c>
      <c r="Z32" s="174">
        <v>-1536</v>
      </c>
      <c r="AA32" s="174">
        <v>-86</v>
      </c>
      <c r="AB32" s="174">
        <v>-255</v>
      </c>
      <c r="AC32" s="174">
        <v>-762</v>
      </c>
      <c r="AD32" s="174">
        <v>7970</v>
      </c>
      <c r="AE32" s="174">
        <v>-1103</v>
      </c>
      <c r="AF32" s="174">
        <v>-13</v>
      </c>
      <c r="AG32" s="174">
        <v>-252</v>
      </c>
      <c r="AH32" s="174">
        <v>-428</v>
      </c>
      <c r="AI32" s="174">
        <v>9275</v>
      </c>
      <c r="AJ32" s="174">
        <v>-671</v>
      </c>
      <c r="AK32" s="174">
        <v>-12</v>
      </c>
      <c r="AL32" s="174">
        <v>-201</v>
      </c>
      <c r="AM32" s="174">
        <v>-602</v>
      </c>
      <c r="AN32" s="174">
        <v>7447</v>
      </c>
      <c r="AO32" s="174">
        <v>-1121</v>
      </c>
      <c r="AP32" s="174">
        <v>-171</v>
      </c>
      <c r="AQ32" s="174">
        <v>-163</v>
      </c>
      <c r="AR32" s="174">
        <v>-612</v>
      </c>
      <c r="AS32" s="174">
        <v>7506</v>
      </c>
      <c r="AT32" s="174">
        <v>-1030</v>
      </c>
      <c r="AU32" s="174">
        <v>-363</v>
      </c>
      <c r="AV32" s="174">
        <v>-145</v>
      </c>
      <c r="AW32" s="174">
        <v>-616</v>
      </c>
      <c r="AX32" s="174">
        <v>8048</v>
      </c>
      <c r="AY32" s="174">
        <v>-662</v>
      </c>
      <c r="AZ32" s="174">
        <v>-426</v>
      </c>
      <c r="BA32" s="174">
        <v>-77</v>
      </c>
      <c r="BB32" s="174">
        <v>-1028</v>
      </c>
      <c r="BC32" s="174">
        <v>6342</v>
      </c>
      <c r="BD32" s="174">
        <v>-1466</v>
      </c>
      <c r="BE32" s="174">
        <v>-436</v>
      </c>
      <c r="BF32" s="174">
        <v>-152</v>
      </c>
      <c r="BG32" s="174">
        <v>-1046</v>
      </c>
      <c r="BH32" s="174">
        <v>5052</v>
      </c>
      <c r="BI32" s="174">
        <v>-2409</v>
      </c>
      <c r="BJ32" s="174">
        <v>-873</v>
      </c>
      <c r="BK32" s="174">
        <v>-335</v>
      </c>
    </row>
    <row r="33" spans="1:63" ht="15.75" customHeight="1">
      <c r="A33" s="178" t="s">
        <v>99</v>
      </c>
      <c r="B33" s="177" t="s">
        <v>28</v>
      </c>
      <c r="C33" s="183">
        <f t="shared" si="6"/>
        <v>10204</v>
      </c>
      <c r="D33" s="183">
        <f t="shared" si="7"/>
        <v>2133</v>
      </c>
      <c r="E33" s="183">
        <f t="shared" si="8"/>
        <v>-1605</v>
      </c>
      <c r="F33" s="183">
        <f t="shared" si="9"/>
        <v>4922</v>
      </c>
      <c r="G33" s="183">
        <f t="shared" si="10"/>
        <v>4992</v>
      </c>
      <c r="H33" s="183">
        <f t="shared" si="11"/>
        <v>-238</v>
      </c>
      <c r="I33" s="174">
        <v>165</v>
      </c>
      <c r="J33" s="174">
        <v>-165</v>
      </c>
      <c r="K33" s="174">
        <v>533</v>
      </c>
      <c r="L33" s="174">
        <v>304</v>
      </c>
      <c r="M33" s="174">
        <v>61</v>
      </c>
      <c r="N33" s="174">
        <v>-25</v>
      </c>
      <c r="O33" s="174">
        <v>-303</v>
      </c>
      <c r="P33" s="174">
        <v>252</v>
      </c>
      <c r="Q33" s="174">
        <v>235</v>
      </c>
      <c r="R33" s="174">
        <v>-41</v>
      </c>
      <c r="S33" s="174">
        <v>166</v>
      </c>
      <c r="T33" s="174">
        <v>-350</v>
      </c>
      <c r="U33" s="174">
        <v>133</v>
      </c>
      <c r="V33" s="174">
        <v>187</v>
      </c>
      <c r="W33" s="174">
        <v>-43</v>
      </c>
      <c r="X33" s="174">
        <v>127</v>
      </c>
      <c r="Y33" s="174">
        <v>-328</v>
      </c>
      <c r="Z33" s="174">
        <v>189</v>
      </c>
      <c r="AA33" s="174">
        <v>295</v>
      </c>
      <c r="AB33" s="174">
        <v>-44</v>
      </c>
      <c r="AC33" s="174">
        <v>334</v>
      </c>
      <c r="AD33" s="174">
        <v>-46</v>
      </c>
      <c r="AE33" s="174">
        <v>542</v>
      </c>
      <c r="AF33" s="174">
        <v>328</v>
      </c>
      <c r="AG33" s="174">
        <v>-43</v>
      </c>
      <c r="AH33" s="174">
        <v>307</v>
      </c>
      <c r="AI33" s="174">
        <v>-107</v>
      </c>
      <c r="AJ33" s="174">
        <v>566</v>
      </c>
      <c r="AK33" s="174">
        <v>562</v>
      </c>
      <c r="AL33" s="174">
        <v>-132</v>
      </c>
      <c r="AM33" s="174">
        <v>100</v>
      </c>
      <c r="AN33" s="174">
        <v>-243</v>
      </c>
      <c r="AO33" s="174">
        <v>539</v>
      </c>
      <c r="AP33" s="174">
        <v>560</v>
      </c>
      <c r="AQ33" s="174">
        <v>-143</v>
      </c>
      <c r="AR33" s="174">
        <v>259</v>
      </c>
      <c r="AS33" s="174">
        <v>-191</v>
      </c>
      <c r="AT33" s="174">
        <v>429</v>
      </c>
      <c r="AU33" s="174">
        <v>533</v>
      </c>
      <c r="AV33" s="174">
        <v>-62</v>
      </c>
      <c r="AW33" s="174">
        <v>231</v>
      </c>
      <c r="AX33" s="174">
        <v>-169</v>
      </c>
      <c r="AY33" s="174">
        <v>446</v>
      </c>
      <c r="AZ33" s="174">
        <v>470</v>
      </c>
      <c r="BA33" s="174">
        <v>2</v>
      </c>
      <c r="BB33" s="174">
        <v>88</v>
      </c>
      <c r="BC33" s="174">
        <v>-360</v>
      </c>
      <c r="BD33" s="174">
        <v>230</v>
      </c>
      <c r="BE33" s="174">
        <v>415</v>
      </c>
      <c r="BF33" s="174">
        <v>21</v>
      </c>
      <c r="BG33" s="174">
        <v>381</v>
      </c>
      <c r="BH33" s="174">
        <v>657</v>
      </c>
      <c r="BI33" s="174">
        <v>1063</v>
      </c>
      <c r="BJ33" s="174">
        <v>1103</v>
      </c>
      <c r="BK33" s="174">
        <v>186</v>
      </c>
    </row>
    <row r="34" spans="1:63" ht="15.75" customHeight="1">
      <c r="A34" s="178" t="s">
        <v>98</v>
      </c>
      <c r="B34" s="177" t="s">
        <v>29</v>
      </c>
      <c r="C34" s="183">
        <f t="shared" si="6"/>
        <v>-1307</v>
      </c>
      <c r="D34" s="183">
        <f t="shared" si="7"/>
        <v>224</v>
      </c>
      <c r="E34" s="183">
        <f t="shared" si="8"/>
        <v>-1539</v>
      </c>
      <c r="F34" s="183">
        <f t="shared" si="9"/>
        <v>-235</v>
      </c>
      <c r="G34" s="183">
        <f t="shared" si="10"/>
        <v>61</v>
      </c>
      <c r="H34" s="183">
        <f t="shared" si="11"/>
        <v>182</v>
      </c>
      <c r="I34" s="174">
        <v>-26</v>
      </c>
      <c r="J34" s="174">
        <v>-124</v>
      </c>
      <c r="K34" s="174">
        <v>-103</v>
      </c>
      <c r="L34" s="174">
        <v>-46</v>
      </c>
      <c r="M34" s="174">
        <v>10</v>
      </c>
      <c r="N34" s="174">
        <v>-27</v>
      </c>
      <c r="O34" s="174">
        <v>-166</v>
      </c>
      <c r="P34" s="174">
        <v>-82</v>
      </c>
      <c r="Q34" s="174">
        <v>-54</v>
      </c>
      <c r="R34" s="174">
        <v>24</v>
      </c>
      <c r="S34" s="174">
        <v>39</v>
      </c>
      <c r="T34" s="174">
        <v>-178</v>
      </c>
      <c r="U34" s="174">
        <v>-5</v>
      </c>
      <c r="V34" s="174">
        <v>-15</v>
      </c>
      <c r="W34" s="174">
        <v>-1</v>
      </c>
      <c r="X34" s="174">
        <v>-6</v>
      </c>
      <c r="Y34" s="174">
        <v>-174</v>
      </c>
      <c r="Z34" s="174">
        <v>-42</v>
      </c>
      <c r="AA34" s="174">
        <v>-17</v>
      </c>
      <c r="AB34" s="174">
        <v>-31</v>
      </c>
      <c r="AC34" s="174">
        <v>0</v>
      </c>
      <c r="AD34" s="174">
        <v>-126</v>
      </c>
      <c r="AE34" s="174">
        <v>-69</v>
      </c>
      <c r="AF34" s="174">
        <v>53</v>
      </c>
      <c r="AG34" s="174">
        <v>6</v>
      </c>
      <c r="AH34" s="174">
        <v>48</v>
      </c>
      <c r="AI34" s="174">
        <v>-134</v>
      </c>
      <c r="AJ34" s="174">
        <v>-14</v>
      </c>
      <c r="AK34" s="174">
        <v>0</v>
      </c>
      <c r="AL34" s="174">
        <v>44</v>
      </c>
      <c r="AM34" s="174">
        <v>3</v>
      </c>
      <c r="AN34" s="174">
        <v>-98</v>
      </c>
      <c r="AO34" s="174">
        <v>-3</v>
      </c>
      <c r="AP34" s="174">
        <v>59</v>
      </c>
      <c r="AQ34" s="174">
        <v>49</v>
      </c>
      <c r="AR34" s="174">
        <v>10</v>
      </c>
      <c r="AS34" s="174">
        <v>-200</v>
      </c>
      <c r="AT34" s="174">
        <v>10</v>
      </c>
      <c r="AU34" s="174">
        <v>-20</v>
      </c>
      <c r="AV34" s="174">
        <v>22</v>
      </c>
      <c r="AW34" s="174">
        <v>91</v>
      </c>
      <c r="AX34" s="174">
        <v>-101</v>
      </c>
      <c r="AY34" s="174">
        <v>7</v>
      </c>
      <c r="AZ34" s="174">
        <v>51</v>
      </c>
      <c r="BA34" s="174">
        <v>34</v>
      </c>
      <c r="BB34" s="174">
        <v>34</v>
      </c>
      <c r="BC34" s="174">
        <v>-148</v>
      </c>
      <c r="BD34" s="174">
        <v>-1</v>
      </c>
      <c r="BE34" s="174">
        <v>18</v>
      </c>
      <c r="BF34" s="174">
        <v>1</v>
      </c>
      <c r="BG34" s="174">
        <v>58</v>
      </c>
      <c r="BH34" s="174">
        <v>-90</v>
      </c>
      <c r="BI34" s="174">
        <v>67</v>
      </c>
      <c r="BJ34" s="174">
        <v>32</v>
      </c>
      <c r="BK34" s="174">
        <v>24</v>
      </c>
    </row>
    <row r="35" spans="1:63" ht="15.75" customHeight="1">
      <c r="A35" s="178" t="s">
        <v>97</v>
      </c>
      <c r="B35" s="177" t="s">
        <v>30</v>
      </c>
      <c r="C35" s="183">
        <f t="shared" si="6"/>
        <v>9985</v>
      </c>
      <c r="D35" s="183">
        <f t="shared" si="7"/>
        <v>2176</v>
      </c>
      <c r="E35" s="183">
        <f t="shared" si="8"/>
        <v>1422</v>
      </c>
      <c r="F35" s="183">
        <f t="shared" si="9"/>
        <v>4902</v>
      </c>
      <c r="G35" s="183">
        <f t="shared" si="10"/>
        <v>1329</v>
      </c>
      <c r="H35" s="183">
        <f t="shared" si="11"/>
        <v>156</v>
      </c>
      <c r="I35" s="174">
        <v>175</v>
      </c>
      <c r="J35" s="174">
        <v>114</v>
      </c>
      <c r="K35" s="174">
        <v>152</v>
      </c>
      <c r="L35" s="174">
        <v>35</v>
      </c>
      <c r="M35" s="174">
        <v>46</v>
      </c>
      <c r="N35" s="174">
        <v>186</v>
      </c>
      <c r="O35" s="174">
        <v>22</v>
      </c>
      <c r="P35" s="174">
        <v>220</v>
      </c>
      <c r="Q35" s="174">
        <v>107</v>
      </c>
      <c r="R35" s="174">
        <v>24</v>
      </c>
      <c r="S35" s="174">
        <v>151</v>
      </c>
      <c r="T35" s="174">
        <v>62</v>
      </c>
      <c r="U35" s="174">
        <v>275</v>
      </c>
      <c r="V35" s="174">
        <v>102</v>
      </c>
      <c r="W35" s="174">
        <v>-14</v>
      </c>
      <c r="X35" s="174">
        <v>271</v>
      </c>
      <c r="Y35" s="174">
        <v>89</v>
      </c>
      <c r="Z35" s="174">
        <v>493</v>
      </c>
      <c r="AA35" s="174">
        <v>175</v>
      </c>
      <c r="AB35" s="174">
        <v>-8</v>
      </c>
      <c r="AC35" s="174">
        <v>247</v>
      </c>
      <c r="AD35" s="174">
        <v>137</v>
      </c>
      <c r="AE35" s="174">
        <v>463</v>
      </c>
      <c r="AF35" s="174">
        <v>92</v>
      </c>
      <c r="AG35" s="174">
        <v>48</v>
      </c>
      <c r="AH35" s="174">
        <v>203</v>
      </c>
      <c r="AI35" s="174">
        <v>27</v>
      </c>
      <c r="AJ35" s="174">
        <v>564</v>
      </c>
      <c r="AK35" s="174">
        <v>199</v>
      </c>
      <c r="AL35" s="174">
        <v>15</v>
      </c>
      <c r="AM35" s="174">
        <v>245</v>
      </c>
      <c r="AN35" s="174">
        <v>210</v>
      </c>
      <c r="AO35" s="174">
        <v>648</v>
      </c>
      <c r="AP35" s="174">
        <v>150</v>
      </c>
      <c r="AQ35" s="174">
        <v>18</v>
      </c>
      <c r="AR35" s="174">
        <v>167</v>
      </c>
      <c r="AS35" s="174">
        <v>234</v>
      </c>
      <c r="AT35" s="174">
        <v>560</v>
      </c>
      <c r="AU35" s="174">
        <v>85</v>
      </c>
      <c r="AV35" s="174">
        <v>41</v>
      </c>
      <c r="AW35" s="174">
        <v>208</v>
      </c>
      <c r="AX35" s="174">
        <v>158</v>
      </c>
      <c r="AY35" s="174">
        <v>434</v>
      </c>
      <c r="AZ35" s="174">
        <v>119</v>
      </c>
      <c r="BA35" s="174">
        <v>21</v>
      </c>
      <c r="BB35" s="174">
        <v>129</v>
      </c>
      <c r="BC35" s="174">
        <v>62</v>
      </c>
      <c r="BD35" s="174">
        <v>324</v>
      </c>
      <c r="BE35" s="174">
        <v>138</v>
      </c>
      <c r="BF35" s="174">
        <v>-25</v>
      </c>
      <c r="BG35" s="174">
        <v>194</v>
      </c>
      <c r="BH35" s="174">
        <v>307</v>
      </c>
      <c r="BI35" s="174">
        <v>769</v>
      </c>
      <c r="BJ35" s="174">
        <v>127</v>
      </c>
      <c r="BK35" s="174">
        <v>-10</v>
      </c>
    </row>
    <row r="36" spans="1:63" ht="15.75" customHeight="1">
      <c r="A36" s="178" t="s">
        <v>96</v>
      </c>
      <c r="B36" s="177" t="s">
        <v>31</v>
      </c>
      <c r="C36" s="183">
        <f t="shared" si="6"/>
        <v>3260</v>
      </c>
      <c r="D36" s="183">
        <f t="shared" si="7"/>
        <v>1066</v>
      </c>
      <c r="E36" s="183">
        <f t="shared" si="8"/>
        <v>-1704</v>
      </c>
      <c r="F36" s="183">
        <f t="shared" si="9"/>
        <v>1530</v>
      </c>
      <c r="G36" s="183">
        <f t="shared" si="10"/>
        <v>1893</v>
      </c>
      <c r="H36" s="183">
        <f t="shared" si="11"/>
        <v>475</v>
      </c>
      <c r="I36" s="174">
        <v>-91</v>
      </c>
      <c r="J36" s="174">
        <v>-168</v>
      </c>
      <c r="K36" s="174">
        <v>-44</v>
      </c>
      <c r="L36" s="174">
        <v>113</v>
      </c>
      <c r="M36" s="174">
        <v>28</v>
      </c>
      <c r="N36" s="174">
        <v>156</v>
      </c>
      <c r="O36" s="174">
        <v>-153</v>
      </c>
      <c r="P36" s="174">
        <v>109</v>
      </c>
      <c r="Q36" s="174">
        <v>171</v>
      </c>
      <c r="R36" s="174">
        <v>44</v>
      </c>
      <c r="S36" s="174">
        <v>156</v>
      </c>
      <c r="T36" s="174">
        <v>-52</v>
      </c>
      <c r="U36" s="174">
        <v>224</v>
      </c>
      <c r="V36" s="174">
        <v>237</v>
      </c>
      <c r="W36" s="174">
        <v>31</v>
      </c>
      <c r="X36" s="174">
        <v>145</v>
      </c>
      <c r="Y36" s="174">
        <v>-140</v>
      </c>
      <c r="Z36" s="174">
        <v>139</v>
      </c>
      <c r="AA36" s="174">
        <v>216</v>
      </c>
      <c r="AB36" s="174">
        <v>107</v>
      </c>
      <c r="AC36" s="174">
        <v>115</v>
      </c>
      <c r="AD36" s="174">
        <v>-199</v>
      </c>
      <c r="AE36" s="174">
        <v>295</v>
      </c>
      <c r="AF36" s="174">
        <v>164</v>
      </c>
      <c r="AG36" s="174">
        <v>35</v>
      </c>
      <c r="AH36" s="174">
        <v>150</v>
      </c>
      <c r="AI36" s="174">
        <v>-65</v>
      </c>
      <c r="AJ36" s="174">
        <v>268</v>
      </c>
      <c r="AK36" s="174">
        <v>160</v>
      </c>
      <c r="AL36" s="174">
        <v>40</v>
      </c>
      <c r="AM36" s="174">
        <v>72</v>
      </c>
      <c r="AN36" s="174">
        <v>-337</v>
      </c>
      <c r="AO36" s="174">
        <v>63</v>
      </c>
      <c r="AP36" s="174">
        <v>171</v>
      </c>
      <c r="AQ36" s="174">
        <v>34</v>
      </c>
      <c r="AR36" s="174">
        <v>-14</v>
      </c>
      <c r="AS36" s="174">
        <v>-179</v>
      </c>
      <c r="AT36" s="174">
        <v>62</v>
      </c>
      <c r="AU36" s="174">
        <v>146</v>
      </c>
      <c r="AV36" s="174">
        <v>36</v>
      </c>
      <c r="AW36" s="174">
        <v>157</v>
      </c>
      <c r="AX36" s="174">
        <v>-161</v>
      </c>
      <c r="AY36" s="174">
        <v>123</v>
      </c>
      <c r="AZ36" s="174">
        <v>156</v>
      </c>
      <c r="BA36" s="174">
        <v>23</v>
      </c>
      <c r="BB36" s="174">
        <v>34</v>
      </c>
      <c r="BC36" s="174">
        <v>-265</v>
      </c>
      <c r="BD36" s="174">
        <v>59</v>
      </c>
      <c r="BE36" s="174">
        <v>113</v>
      </c>
      <c r="BF36" s="174">
        <v>79</v>
      </c>
      <c r="BG36" s="174">
        <v>186</v>
      </c>
      <c r="BH36" s="174">
        <v>15</v>
      </c>
      <c r="BI36" s="174">
        <v>232</v>
      </c>
      <c r="BJ36" s="174">
        <v>246</v>
      </c>
      <c r="BK36" s="174">
        <v>18</v>
      </c>
    </row>
    <row r="37" spans="1:63" ht="15.75" customHeight="1">
      <c r="A37" s="178" t="s">
        <v>95</v>
      </c>
      <c r="B37" s="177" t="s">
        <v>32</v>
      </c>
      <c r="C37" s="183">
        <f t="shared" si="6"/>
        <v>366</v>
      </c>
      <c r="D37" s="183">
        <f t="shared" si="7"/>
        <v>204</v>
      </c>
      <c r="E37" s="183">
        <f t="shared" si="8"/>
        <v>-994</v>
      </c>
      <c r="F37" s="183">
        <f t="shared" si="9"/>
        <v>461</v>
      </c>
      <c r="G37" s="183">
        <f t="shared" si="10"/>
        <v>660</v>
      </c>
      <c r="H37" s="183">
        <f t="shared" si="11"/>
        <v>35</v>
      </c>
      <c r="I37" s="174">
        <v>10</v>
      </c>
      <c r="J37" s="174">
        <v>-119</v>
      </c>
      <c r="K37" s="174">
        <v>58</v>
      </c>
      <c r="L37" s="174">
        <v>72</v>
      </c>
      <c r="M37" s="174">
        <v>2</v>
      </c>
      <c r="N37" s="174">
        <v>33</v>
      </c>
      <c r="O37" s="174">
        <v>-103</v>
      </c>
      <c r="P37" s="174">
        <v>28</v>
      </c>
      <c r="Q37" s="174">
        <v>42</v>
      </c>
      <c r="R37" s="174">
        <v>13</v>
      </c>
      <c r="S37" s="174">
        <v>-9</v>
      </c>
      <c r="T37" s="174">
        <v>-44</v>
      </c>
      <c r="U37" s="174">
        <v>13</v>
      </c>
      <c r="V37" s="174">
        <v>9</v>
      </c>
      <c r="W37" s="174">
        <v>12</v>
      </c>
      <c r="X37" s="174">
        <v>3</v>
      </c>
      <c r="Y37" s="174">
        <v>-171</v>
      </c>
      <c r="Z37" s="174">
        <v>33</v>
      </c>
      <c r="AA37" s="174">
        <v>45</v>
      </c>
      <c r="AB37" s="174">
        <v>2</v>
      </c>
      <c r="AC37" s="174">
        <v>21</v>
      </c>
      <c r="AD37" s="174">
        <v>-116</v>
      </c>
      <c r="AE37" s="174">
        <v>64</v>
      </c>
      <c r="AF37" s="174">
        <v>35</v>
      </c>
      <c r="AG37" s="174">
        <v>-9</v>
      </c>
      <c r="AH37" s="174">
        <v>13</v>
      </c>
      <c r="AI37" s="174">
        <v>-96</v>
      </c>
      <c r="AJ37" s="174">
        <v>13</v>
      </c>
      <c r="AK37" s="174">
        <v>13</v>
      </c>
      <c r="AL37" s="174">
        <v>-10</v>
      </c>
      <c r="AM37" s="174">
        <v>81</v>
      </c>
      <c r="AN37" s="174">
        <v>-77</v>
      </c>
      <c r="AO37" s="174">
        <v>40</v>
      </c>
      <c r="AP37" s="174">
        <v>95</v>
      </c>
      <c r="AQ37" s="174">
        <v>16</v>
      </c>
      <c r="AR37" s="174">
        <v>13</v>
      </c>
      <c r="AS37" s="174">
        <v>-90</v>
      </c>
      <c r="AT37" s="174">
        <v>33</v>
      </c>
      <c r="AU37" s="174">
        <v>69</v>
      </c>
      <c r="AV37" s="174">
        <v>-6</v>
      </c>
      <c r="AW37" s="174">
        <v>28</v>
      </c>
      <c r="AX37" s="174">
        <v>-104</v>
      </c>
      <c r="AY37" s="174">
        <v>39</v>
      </c>
      <c r="AZ37" s="174">
        <v>91</v>
      </c>
      <c r="BA37" s="174">
        <v>-4</v>
      </c>
      <c r="BB37" s="174">
        <v>-11</v>
      </c>
      <c r="BC37" s="174">
        <v>-87</v>
      </c>
      <c r="BD37" s="174">
        <v>33</v>
      </c>
      <c r="BE37" s="174">
        <v>34</v>
      </c>
      <c r="BF37" s="174">
        <v>-8</v>
      </c>
      <c r="BG37" s="174">
        <v>22</v>
      </c>
      <c r="BH37" s="174">
        <v>13</v>
      </c>
      <c r="BI37" s="174">
        <v>107</v>
      </c>
      <c r="BJ37" s="174">
        <v>155</v>
      </c>
      <c r="BK37" s="174">
        <v>27</v>
      </c>
    </row>
    <row r="38" spans="1:63" ht="15.75" customHeight="1">
      <c r="A38" s="178" t="s">
        <v>94</v>
      </c>
      <c r="B38" s="177" t="s">
        <v>33</v>
      </c>
      <c r="C38" s="183">
        <f t="shared" si="6"/>
        <v>855</v>
      </c>
      <c r="D38" s="183">
        <f t="shared" si="7"/>
        <v>828</v>
      </c>
      <c r="E38" s="183">
        <f t="shared" si="8"/>
        <v>-2501</v>
      </c>
      <c r="F38" s="183">
        <f t="shared" si="9"/>
        <v>84</v>
      </c>
      <c r="G38" s="183">
        <f t="shared" si="10"/>
        <v>2135</v>
      </c>
      <c r="H38" s="183">
        <f t="shared" si="11"/>
        <v>309</v>
      </c>
      <c r="I38" s="174">
        <v>55</v>
      </c>
      <c r="J38" s="174">
        <v>-165</v>
      </c>
      <c r="K38" s="174">
        <v>6</v>
      </c>
      <c r="L38" s="174">
        <v>179</v>
      </c>
      <c r="M38" s="174">
        <v>61</v>
      </c>
      <c r="N38" s="174">
        <v>51</v>
      </c>
      <c r="O38" s="174">
        <v>-441</v>
      </c>
      <c r="P38" s="174">
        <v>-54</v>
      </c>
      <c r="Q38" s="174">
        <v>31</v>
      </c>
      <c r="R38" s="174">
        <v>12</v>
      </c>
      <c r="S38" s="174">
        <v>-36</v>
      </c>
      <c r="T38" s="174">
        <v>-321</v>
      </c>
      <c r="U38" s="174">
        <v>-103</v>
      </c>
      <c r="V38" s="174">
        <v>114</v>
      </c>
      <c r="W38" s="174">
        <v>38</v>
      </c>
      <c r="X38" s="174">
        <v>95</v>
      </c>
      <c r="Y38" s="174">
        <v>-305</v>
      </c>
      <c r="Z38" s="174">
        <v>-96</v>
      </c>
      <c r="AA38" s="174">
        <v>126</v>
      </c>
      <c r="AB38" s="174">
        <v>43</v>
      </c>
      <c r="AC38" s="174">
        <v>100</v>
      </c>
      <c r="AD38" s="174">
        <v>-221</v>
      </c>
      <c r="AE38" s="174">
        <v>-12</v>
      </c>
      <c r="AF38" s="174">
        <v>193</v>
      </c>
      <c r="AG38" s="174">
        <v>0</v>
      </c>
      <c r="AH38" s="174">
        <v>117</v>
      </c>
      <c r="AI38" s="174">
        <v>-165</v>
      </c>
      <c r="AJ38" s="174">
        <v>12</v>
      </c>
      <c r="AK38" s="174">
        <v>188</v>
      </c>
      <c r="AL38" s="174">
        <v>-87</v>
      </c>
      <c r="AM38" s="174">
        <v>120</v>
      </c>
      <c r="AN38" s="174">
        <v>-143</v>
      </c>
      <c r="AO38" s="174">
        <v>-1</v>
      </c>
      <c r="AP38" s="174">
        <v>290</v>
      </c>
      <c r="AQ38" s="174">
        <v>86</v>
      </c>
      <c r="AR38" s="174">
        <v>86</v>
      </c>
      <c r="AS38" s="174">
        <v>-243</v>
      </c>
      <c r="AT38" s="174">
        <v>-26</v>
      </c>
      <c r="AU38" s="174">
        <v>204</v>
      </c>
      <c r="AV38" s="174">
        <v>33</v>
      </c>
      <c r="AW38" s="174">
        <v>103</v>
      </c>
      <c r="AX38" s="174">
        <v>-314</v>
      </c>
      <c r="AY38" s="174">
        <v>107</v>
      </c>
      <c r="AZ38" s="174">
        <v>183</v>
      </c>
      <c r="BA38" s="174">
        <v>15</v>
      </c>
      <c r="BB38" s="174">
        <v>68</v>
      </c>
      <c r="BC38" s="174">
        <v>-173</v>
      </c>
      <c r="BD38" s="174">
        <v>19</v>
      </c>
      <c r="BE38" s="174">
        <v>187</v>
      </c>
      <c r="BF38" s="174">
        <v>41</v>
      </c>
      <c r="BG38" s="174">
        <v>69</v>
      </c>
      <c r="BH38" s="174">
        <v>-10</v>
      </c>
      <c r="BI38" s="174">
        <v>232</v>
      </c>
      <c r="BJ38" s="174">
        <v>440</v>
      </c>
      <c r="BK38" s="174">
        <v>67</v>
      </c>
    </row>
    <row r="39" spans="1:63" ht="15.75" customHeight="1">
      <c r="A39" s="178" t="s">
        <v>93</v>
      </c>
      <c r="B39" s="177" t="s">
        <v>34</v>
      </c>
      <c r="C39" s="183">
        <f t="shared" si="6"/>
        <v>4339</v>
      </c>
      <c r="D39" s="183">
        <f t="shared" si="7"/>
        <v>1973</v>
      </c>
      <c r="E39" s="183">
        <f t="shared" si="8"/>
        <v>-242</v>
      </c>
      <c r="F39" s="183">
        <f t="shared" si="9"/>
        <v>2457</v>
      </c>
      <c r="G39" s="183">
        <f t="shared" si="10"/>
        <v>644</v>
      </c>
      <c r="H39" s="183">
        <f t="shared" si="11"/>
        <v>-493</v>
      </c>
      <c r="I39" s="174">
        <v>44</v>
      </c>
      <c r="J39" s="174">
        <v>-170</v>
      </c>
      <c r="K39" s="174">
        <v>55</v>
      </c>
      <c r="L39" s="174">
        <v>29</v>
      </c>
      <c r="M39" s="174">
        <v>-16</v>
      </c>
      <c r="N39" s="174">
        <v>105</v>
      </c>
      <c r="O39" s="174">
        <v>-117</v>
      </c>
      <c r="P39" s="174">
        <v>-166</v>
      </c>
      <c r="Q39" s="174">
        <v>-22</v>
      </c>
      <c r="R39" s="174">
        <v>-71</v>
      </c>
      <c r="S39" s="174">
        <v>105</v>
      </c>
      <c r="T39" s="174">
        <v>-261</v>
      </c>
      <c r="U39" s="174">
        <v>-82</v>
      </c>
      <c r="V39" s="174">
        <v>-60</v>
      </c>
      <c r="W39" s="174">
        <v>-87</v>
      </c>
      <c r="X39" s="174">
        <v>76</v>
      </c>
      <c r="Y39" s="174">
        <v>-160</v>
      </c>
      <c r="Z39" s="174">
        <v>38</v>
      </c>
      <c r="AA39" s="174">
        <v>-11</v>
      </c>
      <c r="AB39" s="174">
        <v>-29</v>
      </c>
      <c r="AC39" s="174">
        <v>104</v>
      </c>
      <c r="AD39" s="174">
        <v>-195</v>
      </c>
      <c r="AE39" s="174">
        <v>66</v>
      </c>
      <c r="AF39" s="174">
        <v>103</v>
      </c>
      <c r="AG39" s="174">
        <v>62</v>
      </c>
      <c r="AH39" s="174">
        <v>360</v>
      </c>
      <c r="AI39" s="174">
        <v>149</v>
      </c>
      <c r="AJ39" s="174">
        <v>378</v>
      </c>
      <c r="AK39" s="174">
        <v>206</v>
      </c>
      <c r="AL39" s="174">
        <v>-111</v>
      </c>
      <c r="AM39" s="174">
        <v>156</v>
      </c>
      <c r="AN39" s="174">
        <v>61</v>
      </c>
      <c r="AO39" s="174">
        <v>437</v>
      </c>
      <c r="AP39" s="174">
        <v>89</v>
      </c>
      <c r="AQ39" s="174">
        <v>-9</v>
      </c>
      <c r="AR39" s="174">
        <v>244</v>
      </c>
      <c r="AS39" s="174">
        <v>-90</v>
      </c>
      <c r="AT39" s="174">
        <v>402</v>
      </c>
      <c r="AU39" s="174">
        <v>26</v>
      </c>
      <c r="AV39" s="174">
        <v>-33</v>
      </c>
      <c r="AW39" s="174">
        <v>335</v>
      </c>
      <c r="AX39" s="174">
        <v>129</v>
      </c>
      <c r="AY39" s="174">
        <v>660</v>
      </c>
      <c r="AZ39" s="174">
        <v>189</v>
      </c>
      <c r="BA39" s="174">
        <v>-94</v>
      </c>
      <c r="BB39" s="174">
        <v>256</v>
      </c>
      <c r="BC39" s="174">
        <v>61</v>
      </c>
      <c r="BD39" s="174">
        <v>129</v>
      </c>
      <c r="BE39" s="174">
        <v>50</v>
      </c>
      <c r="BF39" s="174">
        <v>-60</v>
      </c>
      <c r="BG39" s="174">
        <v>188</v>
      </c>
      <c r="BH39" s="174">
        <v>351</v>
      </c>
      <c r="BI39" s="174">
        <v>540</v>
      </c>
      <c r="BJ39" s="174">
        <v>45</v>
      </c>
      <c r="BK39" s="174">
        <v>-45</v>
      </c>
    </row>
    <row r="40" spans="1:63" ht="15.75" customHeight="1">
      <c r="A40" s="178" t="s">
        <v>92</v>
      </c>
      <c r="B40" s="177" t="s">
        <v>35</v>
      </c>
      <c r="C40" s="183">
        <f t="shared" si="6"/>
        <v>1662</v>
      </c>
      <c r="D40" s="183">
        <f t="shared" si="7"/>
        <v>462</v>
      </c>
      <c r="E40" s="183">
        <f t="shared" si="8"/>
        <v>-242</v>
      </c>
      <c r="F40" s="183">
        <f t="shared" si="9"/>
        <v>587</v>
      </c>
      <c r="G40" s="183">
        <f t="shared" si="10"/>
        <v>723</v>
      </c>
      <c r="H40" s="183">
        <f t="shared" si="11"/>
        <v>132</v>
      </c>
      <c r="I40" s="174">
        <v>8</v>
      </c>
      <c r="J40" s="174">
        <v>-5</v>
      </c>
      <c r="K40" s="174">
        <v>45</v>
      </c>
      <c r="L40" s="174">
        <v>42</v>
      </c>
      <c r="M40" s="174">
        <v>9</v>
      </c>
      <c r="N40" s="174">
        <v>38</v>
      </c>
      <c r="O40" s="174">
        <v>-2</v>
      </c>
      <c r="P40" s="174">
        <v>38</v>
      </c>
      <c r="Q40" s="174">
        <v>36</v>
      </c>
      <c r="R40" s="174">
        <v>-4</v>
      </c>
      <c r="S40" s="174">
        <v>31</v>
      </c>
      <c r="T40" s="174">
        <v>-18</v>
      </c>
      <c r="U40" s="174">
        <v>2</v>
      </c>
      <c r="V40" s="174">
        <v>59</v>
      </c>
      <c r="W40" s="174">
        <v>6</v>
      </c>
      <c r="X40" s="174">
        <v>45</v>
      </c>
      <c r="Y40" s="174">
        <v>-59</v>
      </c>
      <c r="Z40" s="174">
        <v>44</v>
      </c>
      <c r="AA40" s="174">
        <v>28</v>
      </c>
      <c r="AB40" s="174">
        <v>9</v>
      </c>
      <c r="AC40" s="174">
        <v>37</v>
      </c>
      <c r="AD40" s="174">
        <v>-72</v>
      </c>
      <c r="AE40" s="174">
        <v>58</v>
      </c>
      <c r="AF40" s="174">
        <v>75</v>
      </c>
      <c r="AG40" s="174">
        <v>2</v>
      </c>
      <c r="AH40" s="174">
        <v>71</v>
      </c>
      <c r="AI40" s="174">
        <v>-37</v>
      </c>
      <c r="AJ40" s="174">
        <v>81</v>
      </c>
      <c r="AK40" s="174">
        <v>86</v>
      </c>
      <c r="AL40" s="174">
        <v>22</v>
      </c>
      <c r="AM40" s="174">
        <v>43</v>
      </c>
      <c r="AN40" s="174">
        <v>5</v>
      </c>
      <c r="AO40" s="174">
        <v>56</v>
      </c>
      <c r="AP40" s="174">
        <v>63</v>
      </c>
      <c r="AQ40" s="174">
        <v>37</v>
      </c>
      <c r="AR40" s="174">
        <v>42</v>
      </c>
      <c r="AS40" s="174">
        <v>-13</v>
      </c>
      <c r="AT40" s="174">
        <v>88</v>
      </c>
      <c r="AU40" s="174">
        <v>110</v>
      </c>
      <c r="AV40" s="174">
        <v>26</v>
      </c>
      <c r="AW40" s="174">
        <v>71</v>
      </c>
      <c r="AX40" s="174">
        <v>-64</v>
      </c>
      <c r="AY40" s="174">
        <v>94</v>
      </c>
      <c r="AZ40" s="174">
        <v>54</v>
      </c>
      <c r="BA40" s="174">
        <v>-10</v>
      </c>
      <c r="BB40" s="174">
        <v>22</v>
      </c>
      <c r="BC40" s="174">
        <v>-3</v>
      </c>
      <c r="BD40" s="174">
        <v>39</v>
      </c>
      <c r="BE40" s="174">
        <v>72</v>
      </c>
      <c r="BF40" s="174">
        <v>37</v>
      </c>
      <c r="BG40" s="174">
        <v>54</v>
      </c>
      <c r="BH40" s="174">
        <v>26</v>
      </c>
      <c r="BI40" s="174">
        <v>42</v>
      </c>
      <c r="BJ40" s="174">
        <v>98</v>
      </c>
      <c r="BK40" s="174">
        <v>-2</v>
      </c>
    </row>
    <row r="41" spans="1:63" ht="15.75" customHeight="1">
      <c r="A41" s="178" t="s">
        <v>485</v>
      </c>
      <c r="B41" s="177" t="s">
        <v>36</v>
      </c>
      <c r="C41" s="183">
        <f t="shared" si="6"/>
        <v>12750</v>
      </c>
      <c r="D41" s="183">
        <f t="shared" si="7"/>
        <v>3888</v>
      </c>
      <c r="E41" s="183">
        <f t="shared" si="8"/>
        <v>-455</v>
      </c>
      <c r="F41" s="183">
        <f t="shared" si="9"/>
        <v>4358</v>
      </c>
      <c r="G41" s="183">
        <f t="shared" si="10"/>
        <v>3937</v>
      </c>
      <c r="H41" s="183">
        <f t="shared" si="11"/>
        <v>1022</v>
      </c>
      <c r="I41" s="174">
        <v>359</v>
      </c>
      <c r="J41" s="174">
        <v>564</v>
      </c>
      <c r="K41" s="174">
        <v>434</v>
      </c>
      <c r="L41" s="174">
        <v>288</v>
      </c>
      <c r="M41" s="174">
        <v>181</v>
      </c>
      <c r="N41" s="174">
        <v>297</v>
      </c>
      <c r="O41" s="174">
        <v>82</v>
      </c>
      <c r="P41" s="174">
        <v>289</v>
      </c>
      <c r="Q41" s="174">
        <v>282</v>
      </c>
      <c r="R41" s="174">
        <v>30</v>
      </c>
      <c r="S41" s="174">
        <v>237</v>
      </c>
      <c r="T41" s="174">
        <v>-322</v>
      </c>
      <c r="U41" s="174">
        <v>219</v>
      </c>
      <c r="V41" s="174">
        <v>191</v>
      </c>
      <c r="W41" s="174">
        <v>52</v>
      </c>
      <c r="X41" s="174">
        <v>421</v>
      </c>
      <c r="Y41" s="174">
        <v>155</v>
      </c>
      <c r="Z41" s="174">
        <v>424</v>
      </c>
      <c r="AA41" s="174">
        <v>369</v>
      </c>
      <c r="AB41" s="174">
        <v>38</v>
      </c>
      <c r="AC41" s="174">
        <v>475</v>
      </c>
      <c r="AD41" s="174">
        <v>-84</v>
      </c>
      <c r="AE41" s="174">
        <v>372</v>
      </c>
      <c r="AF41" s="174">
        <v>386</v>
      </c>
      <c r="AG41" s="174">
        <v>114</v>
      </c>
      <c r="AH41" s="174">
        <v>315</v>
      </c>
      <c r="AI41" s="174">
        <v>-147</v>
      </c>
      <c r="AJ41" s="174">
        <v>440</v>
      </c>
      <c r="AK41" s="174">
        <v>358</v>
      </c>
      <c r="AL41" s="174">
        <v>96</v>
      </c>
      <c r="AM41" s="174">
        <v>406</v>
      </c>
      <c r="AN41" s="174">
        <v>-279</v>
      </c>
      <c r="AO41" s="174">
        <v>358</v>
      </c>
      <c r="AP41" s="174">
        <v>309</v>
      </c>
      <c r="AQ41" s="174">
        <v>104</v>
      </c>
      <c r="AR41" s="174">
        <v>295</v>
      </c>
      <c r="AS41" s="174">
        <v>-310</v>
      </c>
      <c r="AT41" s="174">
        <v>238</v>
      </c>
      <c r="AU41" s="174">
        <v>367</v>
      </c>
      <c r="AV41" s="174">
        <v>67</v>
      </c>
      <c r="AW41" s="174">
        <v>372</v>
      </c>
      <c r="AX41" s="174">
        <v>-185</v>
      </c>
      <c r="AY41" s="174">
        <v>453</v>
      </c>
      <c r="AZ41" s="174">
        <v>324</v>
      </c>
      <c r="BA41" s="174">
        <v>69</v>
      </c>
      <c r="BB41" s="174">
        <v>226</v>
      </c>
      <c r="BC41" s="174">
        <v>-155</v>
      </c>
      <c r="BD41" s="174">
        <v>325</v>
      </c>
      <c r="BE41" s="174">
        <v>261</v>
      </c>
      <c r="BF41" s="174">
        <v>60</v>
      </c>
      <c r="BG41" s="174">
        <v>485</v>
      </c>
      <c r="BH41" s="174">
        <v>226</v>
      </c>
      <c r="BI41" s="174">
        <v>806</v>
      </c>
      <c r="BJ41" s="174">
        <v>802</v>
      </c>
      <c r="BK41" s="174">
        <v>211</v>
      </c>
    </row>
    <row r="42" spans="1:63" ht="15.75" customHeight="1">
      <c r="A42" s="178" t="s">
        <v>90</v>
      </c>
      <c r="B42" s="177" t="s">
        <v>37</v>
      </c>
      <c r="C42" s="183">
        <f t="shared" si="6"/>
        <v>8519</v>
      </c>
      <c r="D42" s="183">
        <f t="shared" si="7"/>
        <v>1086</v>
      </c>
      <c r="E42" s="183">
        <f t="shared" si="8"/>
        <v>2948</v>
      </c>
      <c r="F42" s="183">
        <f t="shared" si="9"/>
        <v>3233</v>
      </c>
      <c r="G42" s="183">
        <f t="shared" si="10"/>
        <v>632</v>
      </c>
      <c r="H42" s="183">
        <f t="shared" si="11"/>
        <v>620</v>
      </c>
      <c r="I42" s="174">
        <v>99</v>
      </c>
      <c r="J42" s="174">
        <v>261</v>
      </c>
      <c r="K42" s="174">
        <v>169</v>
      </c>
      <c r="L42" s="174">
        <v>-13</v>
      </c>
      <c r="M42" s="174">
        <v>73</v>
      </c>
      <c r="N42" s="174">
        <v>-76</v>
      </c>
      <c r="O42" s="174">
        <v>-39</v>
      </c>
      <c r="P42" s="174">
        <v>-158</v>
      </c>
      <c r="Q42" s="174">
        <v>-116</v>
      </c>
      <c r="R42" s="174">
        <v>-6</v>
      </c>
      <c r="S42" s="174">
        <v>-38</v>
      </c>
      <c r="T42" s="174">
        <v>-156</v>
      </c>
      <c r="U42" s="174">
        <v>-90</v>
      </c>
      <c r="V42" s="174">
        <v>-62</v>
      </c>
      <c r="W42" s="174">
        <v>3</v>
      </c>
      <c r="X42" s="174">
        <v>25</v>
      </c>
      <c r="Y42" s="174">
        <v>218</v>
      </c>
      <c r="Z42" s="174">
        <v>58</v>
      </c>
      <c r="AA42" s="174">
        <v>5</v>
      </c>
      <c r="AB42" s="174">
        <v>66</v>
      </c>
      <c r="AC42" s="174">
        <v>96</v>
      </c>
      <c r="AD42" s="174">
        <v>117</v>
      </c>
      <c r="AE42" s="174">
        <v>275</v>
      </c>
      <c r="AF42" s="174">
        <v>69</v>
      </c>
      <c r="AG42" s="174">
        <v>34</v>
      </c>
      <c r="AH42" s="174">
        <v>286</v>
      </c>
      <c r="AI42" s="174">
        <v>520</v>
      </c>
      <c r="AJ42" s="174">
        <v>550</v>
      </c>
      <c r="AK42" s="174">
        <v>171</v>
      </c>
      <c r="AL42" s="174">
        <v>87</v>
      </c>
      <c r="AM42" s="174">
        <v>218</v>
      </c>
      <c r="AN42" s="174">
        <v>413</v>
      </c>
      <c r="AO42" s="174">
        <v>442</v>
      </c>
      <c r="AP42" s="174">
        <v>66</v>
      </c>
      <c r="AQ42" s="174">
        <v>23</v>
      </c>
      <c r="AR42" s="174">
        <v>211</v>
      </c>
      <c r="AS42" s="174">
        <v>307</v>
      </c>
      <c r="AT42" s="174">
        <v>567</v>
      </c>
      <c r="AU42" s="174">
        <v>146</v>
      </c>
      <c r="AV42" s="174">
        <v>110</v>
      </c>
      <c r="AW42" s="174">
        <v>172</v>
      </c>
      <c r="AX42" s="174">
        <v>642</v>
      </c>
      <c r="AY42" s="174">
        <v>499</v>
      </c>
      <c r="AZ42" s="174">
        <v>126</v>
      </c>
      <c r="BA42" s="174">
        <v>78</v>
      </c>
      <c r="BB42" s="174">
        <v>113</v>
      </c>
      <c r="BC42" s="174">
        <v>195</v>
      </c>
      <c r="BD42" s="174">
        <v>423</v>
      </c>
      <c r="BE42" s="174">
        <v>40</v>
      </c>
      <c r="BF42" s="174">
        <v>75</v>
      </c>
      <c r="BG42" s="174">
        <v>-20</v>
      </c>
      <c r="BH42" s="174">
        <v>470</v>
      </c>
      <c r="BI42" s="174">
        <v>498</v>
      </c>
      <c r="BJ42" s="174">
        <v>200</v>
      </c>
      <c r="BK42" s="174">
        <v>77</v>
      </c>
    </row>
    <row r="43" spans="1:63" ht="15.75" customHeight="1">
      <c r="A43" s="178" t="s">
        <v>89</v>
      </c>
      <c r="B43" s="177" t="s">
        <v>38</v>
      </c>
      <c r="C43" s="183">
        <f t="shared" si="6"/>
        <v>5870</v>
      </c>
      <c r="D43" s="183">
        <f t="shared" si="7"/>
        <v>1894</v>
      </c>
      <c r="E43" s="183">
        <f t="shared" si="8"/>
        <v>-2336</v>
      </c>
      <c r="F43" s="183">
        <f t="shared" si="9"/>
        <v>3010</v>
      </c>
      <c r="G43" s="183">
        <f t="shared" si="10"/>
        <v>3301</v>
      </c>
      <c r="H43" s="183">
        <f t="shared" si="11"/>
        <v>1</v>
      </c>
      <c r="I43" s="174">
        <v>140</v>
      </c>
      <c r="J43" s="174">
        <v>-220</v>
      </c>
      <c r="K43" s="174">
        <v>290</v>
      </c>
      <c r="L43" s="174">
        <v>301</v>
      </c>
      <c r="M43" s="174">
        <v>-23</v>
      </c>
      <c r="N43" s="174">
        <v>67</v>
      </c>
      <c r="O43" s="174">
        <v>-331</v>
      </c>
      <c r="P43" s="174">
        <v>132</v>
      </c>
      <c r="Q43" s="174">
        <v>203</v>
      </c>
      <c r="R43" s="174">
        <v>-26</v>
      </c>
      <c r="S43" s="174">
        <v>98</v>
      </c>
      <c r="T43" s="174">
        <v>-260</v>
      </c>
      <c r="U43" s="174">
        <v>182</v>
      </c>
      <c r="V43" s="174">
        <v>256</v>
      </c>
      <c r="W43" s="174">
        <v>32</v>
      </c>
      <c r="X43" s="174">
        <v>172</v>
      </c>
      <c r="Y43" s="174">
        <v>-274</v>
      </c>
      <c r="Z43" s="174">
        <v>191</v>
      </c>
      <c r="AA43" s="174">
        <v>256</v>
      </c>
      <c r="AB43" s="174">
        <v>-65</v>
      </c>
      <c r="AC43" s="174">
        <v>138</v>
      </c>
      <c r="AD43" s="174">
        <v>-253</v>
      </c>
      <c r="AE43" s="174">
        <v>237</v>
      </c>
      <c r="AF43" s="174">
        <v>290</v>
      </c>
      <c r="AG43" s="174">
        <v>23</v>
      </c>
      <c r="AH43" s="174">
        <v>221</v>
      </c>
      <c r="AI43" s="174">
        <v>-168</v>
      </c>
      <c r="AJ43" s="174">
        <v>332</v>
      </c>
      <c r="AK43" s="174">
        <v>345</v>
      </c>
      <c r="AL43" s="174">
        <v>-40</v>
      </c>
      <c r="AM43" s="174">
        <v>232</v>
      </c>
      <c r="AN43" s="174">
        <v>-123</v>
      </c>
      <c r="AO43" s="174">
        <v>387</v>
      </c>
      <c r="AP43" s="174">
        <v>304</v>
      </c>
      <c r="AQ43" s="174">
        <v>18</v>
      </c>
      <c r="AR43" s="174">
        <v>200</v>
      </c>
      <c r="AS43" s="174">
        <v>-169</v>
      </c>
      <c r="AT43" s="174">
        <v>295</v>
      </c>
      <c r="AU43" s="174">
        <v>333</v>
      </c>
      <c r="AV43" s="174">
        <v>23</v>
      </c>
      <c r="AW43" s="174">
        <v>185</v>
      </c>
      <c r="AX43" s="174">
        <v>-248</v>
      </c>
      <c r="AY43" s="174">
        <v>287</v>
      </c>
      <c r="AZ43" s="174">
        <v>349</v>
      </c>
      <c r="BA43" s="174">
        <v>13</v>
      </c>
      <c r="BB43" s="174">
        <v>136</v>
      </c>
      <c r="BC43" s="174">
        <v>-204</v>
      </c>
      <c r="BD43" s="174">
        <v>188</v>
      </c>
      <c r="BE43" s="174">
        <v>169</v>
      </c>
      <c r="BF43" s="174">
        <v>-19</v>
      </c>
      <c r="BG43" s="174">
        <v>305</v>
      </c>
      <c r="BH43" s="174">
        <v>-86</v>
      </c>
      <c r="BI43" s="174">
        <v>489</v>
      </c>
      <c r="BJ43" s="174">
        <v>495</v>
      </c>
      <c r="BK43" s="174">
        <v>65</v>
      </c>
    </row>
    <row r="44" spans="1:63" ht="15.75" customHeight="1">
      <c r="A44" s="178" t="s">
        <v>88</v>
      </c>
      <c r="B44" s="177" t="s">
        <v>39</v>
      </c>
      <c r="C44" s="183">
        <f t="shared" si="6"/>
        <v>-358</v>
      </c>
      <c r="D44" s="183">
        <f t="shared" si="7"/>
        <v>49</v>
      </c>
      <c r="E44" s="183">
        <f t="shared" si="8"/>
        <v>-458</v>
      </c>
      <c r="F44" s="183">
        <f t="shared" si="9"/>
        <v>117</v>
      </c>
      <c r="G44" s="183">
        <f t="shared" si="10"/>
        <v>9</v>
      </c>
      <c r="H44" s="183">
        <f t="shared" si="11"/>
        <v>-75</v>
      </c>
      <c r="I44" s="174">
        <v>-8</v>
      </c>
      <c r="J44" s="174">
        <v>-15</v>
      </c>
      <c r="K44" s="174">
        <v>34</v>
      </c>
      <c r="L44" s="174">
        <v>38</v>
      </c>
      <c r="M44" s="174">
        <v>10</v>
      </c>
      <c r="N44" s="174">
        <v>-18</v>
      </c>
      <c r="O44" s="174">
        <v>-85</v>
      </c>
      <c r="P44" s="174">
        <v>5</v>
      </c>
      <c r="Q44" s="174">
        <v>12</v>
      </c>
      <c r="R44" s="174">
        <v>18</v>
      </c>
      <c r="S44" s="174">
        <v>-43</v>
      </c>
      <c r="T44" s="174">
        <v>0</v>
      </c>
      <c r="U44" s="174">
        <v>1</v>
      </c>
      <c r="V44" s="174">
        <v>-24</v>
      </c>
      <c r="W44" s="174">
        <v>-23</v>
      </c>
      <c r="X44" s="174">
        <v>1</v>
      </c>
      <c r="Y44" s="174">
        <v>-20</v>
      </c>
      <c r="Z44" s="174">
        <v>35</v>
      </c>
      <c r="AA44" s="174">
        <v>-13</v>
      </c>
      <c r="AB44" s="174">
        <v>-8</v>
      </c>
      <c r="AC44" s="174">
        <v>-1</v>
      </c>
      <c r="AD44" s="174">
        <v>-8</v>
      </c>
      <c r="AE44" s="174">
        <v>11</v>
      </c>
      <c r="AF44" s="174">
        <v>-5</v>
      </c>
      <c r="AG44" s="174">
        <v>-33</v>
      </c>
      <c r="AH44" s="174">
        <v>14</v>
      </c>
      <c r="AI44" s="174">
        <v>-58</v>
      </c>
      <c r="AJ44" s="174">
        <v>16</v>
      </c>
      <c r="AK44" s="174">
        <v>12</v>
      </c>
      <c r="AL44" s="174">
        <v>1</v>
      </c>
      <c r="AM44" s="174">
        <v>4</v>
      </c>
      <c r="AN44" s="174">
        <v>-110</v>
      </c>
      <c r="AO44" s="174">
        <v>2</v>
      </c>
      <c r="AP44" s="174">
        <v>-26</v>
      </c>
      <c r="AQ44" s="174">
        <v>-3</v>
      </c>
      <c r="AR44" s="174">
        <v>4</v>
      </c>
      <c r="AS44" s="174">
        <v>-52</v>
      </c>
      <c r="AT44" s="174">
        <v>-9</v>
      </c>
      <c r="AU44" s="174">
        <v>-8</v>
      </c>
      <c r="AV44" s="174">
        <v>-10</v>
      </c>
      <c r="AW44" s="174">
        <v>43</v>
      </c>
      <c r="AX44" s="174">
        <v>-106</v>
      </c>
      <c r="AY44" s="174">
        <v>3</v>
      </c>
      <c r="AZ44" s="174">
        <v>-22</v>
      </c>
      <c r="BA44" s="174">
        <v>-6</v>
      </c>
      <c r="BB44" s="174">
        <v>17</v>
      </c>
      <c r="BC44" s="174">
        <v>-7</v>
      </c>
      <c r="BD44" s="174">
        <v>-15</v>
      </c>
      <c r="BE44" s="174">
        <v>-8</v>
      </c>
      <c r="BF44" s="174">
        <v>-18</v>
      </c>
      <c r="BG44" s="174">
        <v>36</v>
      </c>
      <c r="BH44" s="174">
        <v>3</v>
      </c>
      <c r="BI44" s="174">
        <v>34</v>
      </c>
      <c r="BJ44" s="174">
        <v>53</v>
      </c>
      <c r="BK44" s="174">
        <v>-3</v>
      </c>
    </row>
    <row r="45" spans="1:63" ht="15.75" customHeight="1">
      <c r="A45" s="178" t="s">
        <v>87</v>
      </c>
      <c r="B45" s="177" t="s">
        <v>40</v>
      </c>
      <c r="C45" s="183">
        <f t="shared" si="6"/>
        <v>5613</v>
      </c>
      <c r="D45" s="183">
        <f t="shared" si="7"/>
        <v>1569</v>
      </c>
      <c r="E45" s="183">
        <f t="shared" si="8"/>
        <v>-1941</v>
      </c>
      <c r="F45" s="183">
        <f t="shared" si="9"/>
        <v>1467</v>
      </c>
      <c r="G45" s="183">
        <f t="shared" si="10"/>
        <v>3170</v>
      </c>
      <c r="H45" s="183">
        <f t="shared" si="11"/>
        <v>1348</v>
      </c>
      <c r="I45" s="174">
        <v>150</v>
      </c>
      <c r="J45" s="174">
        <v>-93</v>
      </c>
      <c r="K45" s="174">
        <v>205</v>
      </c>
      <c r="L45" s="174">
        <v>221</v>
      </c>
      <c r="M45" s="174">
        <v>113</v>
      </c>
      <c r="N45" s="174">
        <v>101</v>
      </c>
      <c r="O45" s="174">
        <v>-124</v>
      </c>
      <c r="P45" s="174">
        <v>73</v>
      </c>
      <c r="Q45" s="174">
        <v>209</v>
      </c>
      <c r="R45" s="174">
        <v>98</v>
      </c>
      <c r="S45" s="174">
        <v>135</v>
      </c>
      <c r="T45" s="174">
        <v>-176</v>
      </c>
      <c r="U45" s="174">
        <v>78</v>
      </c>
      <c r="V45" s="174">
        <v>239</v>
      </c>
      <c r="W45" s="174">
        <v>129</v>
      </c>
      <c r="X45" s="174">
        <v>90</v>
      </c>
      <c r="Y45" s="174">
        <v>-286</v>
      </c>
      <c r="Z45" s="174">
        <v>94</v>
      </c>
      <c r="AA45" s="174">
        <v>102</v>
      </c>
      <c r="AB45" s="174">
        <v>103</v>
      </c>
      <c r="AC45" s="174">
        <v>171</v>
      </c>
      <c r="AD45" s="174">
        <v>-313</v>
      </c>
      <c r="AE45" s="174">
        <v>127</v>
      </c>
      <c r="AF45" s="174">
        <v>226</v>
      </c>
      <c r="AG45" s="174">
        <v>100</v>
      </c>
      <c r="AH45" s="174">
        <v>140</v>
      </c>
      <c r="AI45" s="174">
        <v>-226</v>
      </c>
      <c r="AJ45" s="174">
        <v>132</v>
      </c>
      <c r="AK45" s="174">
        <v>338</v>
      </c>
      <c r="AL45" s="174">
        <v>162</v>
      </c>
      <c r="AM45" s="174">
        <v>182</v>
      </c>
      <c r="AN45" s="174">
        <v>-158</v>
      </c>
      <c r="AO45" s="174">
        <v>151</v>
      </c>
      <c r="AP45" s="174">
        <v>377</v>
      </c>
      <c r="AQ45" s="174">
        <v>138</v>
      </c>
      <c r="AR45" s="174">
        <v>91</v>
      </c>
      <c r="AS45" s="174">
        <v>-236</v>
      </c>
      <c r="AT45" s="174">
        <v>126</v>
      </c>
      <c r="AU45" s="174">
        <v>366</v>
      </c>
      <c r="AV45" s="174">
        <v>148</v>
      </c>
      <c r="AW45" s="174">
        <v>161</v>
      </c>
      <c r="AX45" s="174">
        <v>-76</v>
      </c>
      <c r="AY45" s="174">
        <v>75</v>
      </c>
      <c r="AZ45" s="174">
        <v>289</v>
      </c>
      <c r="BA45" s="174">
        <v>114</v>
      </c>
      <c r="BB45" s="174">
        <v>117</v>
      </c>
      <c r="BC45" s="174">
        <v>-189</v>
      </c>
      <c r="BD45" s="174">
        <v>89</v>
      </c>
      <c r="BE45" s="174">
        <v>303</v>
      </c>
      <c r="BF45" s="174">
        <v>34</v>
      </c>
      <c r="BG45" s="174">
        <v>231</v>
      </c>
      <c r="BH45" s="174">
        <v>-64</v>
      </c>
      <c r="BI45" s="174">
        <v>317</v>
      </c>
      <c r="BJ45" s="174">
        <v>500</v>
      </c>
      <c r="BK45" s="174">
        <v>209</v>
      </c>
    </row>
    <row r="46" spans="1:63" ht="15.75" customHeight="1">
      <c r="A46" s="178" t="s">
        <v>86</v>
      </c>
      <c r="B46" s="177" t="s">
        <v>41</v>
      </c>
      <c r="C46" s="183">
        <f t="shared" si="6"/>
        <v>12466</v>
      </c>
      <c r="D46" s="183">
        <f t="shared" si="7"/>
        <v>2984</v>
      </c>
      <c r="E46" s="183">
        <f t="shared" si="8"/>
        <v>-168</v>
      </c>
      <c r="F46" s="183">
        <f t="shared" si="9"/>
        <v>6443</v>
      </c>
      <c r="G46" s="183">
        <f t="shared" si="10"/>
        <v>2350</v>
      </c>
      <c r="H46" s="183">
        <f t="shared" si="11"/>
        <v>857</v>
      </c>
      <c r="I46" s="174">
        <v>91</v>
      </c>
      <c r="J46" s="174">
        <v>-24</v>
      </c>
      <c r="K46" s="174">
        <v>242</v>
      </c>
      <c r="L46" s="174">
        <v>117</v>
      </c>
      <c r="M46" s="174">
        <v>161</v>
      </c>
      <c r="N46" s="174">
        <v>251</v>
      </c>
      <c r="O46" s="174">
        <v>-318</v>
      </c>
      <c r="P46" s="174">
        <v>311</v>
      </c>
      <c r="Q46" s="174">
        <v>55</v>
      </c>
      <c r="R46" s="174">
        <v>109</v>
      </c>
      <c r="S46" s="174">
        <v>92</v>
      </c>
      <c r="T46" s="174">
        <v>-114</v>
      </c>
      <c r="U46" s="174">
        <v>260</v>
      </c>
      <c r="V46" s="174">
        <v>163</v>
      </c>
      <c r="W46" s="174">
        <v>178</v>
      </c>
      <c r="X46" s="174">
        <v>131</v>
      </c>
      <c r="Y46" s="174">
        <v>-147</v>
      </c>
      <c r="Z46" s="174">
        <v>307</v>
      </c>
      <c r="AA46" s="174">
        <v>173</v>
      </c>
      <c r="AB46" s="174">
        <v>47</v>
      </c>
      <c r="AC46" s="174">
        <v>354</v>
      </c>
      <c r="AD46" s="174">
        <v>-32</v>
      </c>
      <c r="AE46" s="174">
        <v>510</v>
      </c>
      <c r="AF46" s="174">
        <v>172</v>
      </c>
      <c r="AG46" s="174">
        <v>30</v>
      </c>
      <c r="AH46" s="174">
        <v>259</v>
      </c>
      <c r="AI46" s="174">
        <v>-67</v>
      </c>
      <c r="AJ46" s="174">
        <v>615</v>
      </c>
      <c r="AK46" s="174">
        <v>180</v>
      </c>
      <c r="AL46" s="174">
        <v>110</v>
      </c>
      <c r="AM46" s="174">
        <v>380</v>
      </c>
      <c r="AN46" s="174">
        <v>-86</v>
      </c>
      <c r="AO46" s="174">
        <v>705</v>
      </c>
      <c r="AP46" s="174">
        <v>288</v>
      </c>
      <c r="AQ46" s="174">
        <v>-9</v>
      </c>
      <c r="AR46" s="174">
        <v>228</v>
      </c>
      <c r="AS46" s="174">
        <v>-115</v>
      </c>
      <c r="AT46" s="174">
        <v>657</v>
      </c>
      <c r="AU46" s="174">
        <v>407</v>
      </c>
      <c r="AV46" s="174">
        <v>122</v>
      </c>
      <c r="AW46" s="174">
        <v>440</v>
      </c>
      <c r="AX46" s="174">
        <v>253</v>
      </c>
      <c r="AY46" s="174">
        <v>712</v>
      </c>
      <c r="AZ46" s="174">
        <v>322</v>
      </c>
      <c r="BA46" s="174">
        <v>109</v>
      </c>
      <c r="BB46" s="174">
        <v>249</v>
      </c>
      <c r="BC46" s="174">
        <v>4</v>
      </c>
      <c r="BD46" s="174">
        <v>668</v>
      </c>
      <c r="BE46" s="174">
        <v>215</v>
      </c>
      <c r="BF46" s="174">
        <v>38</v>
      </c>
      <c r="BG46" s="174">
        <v>509</v>
      </c>
      <c r="BH46" s="174">
        <v>478</v>
      </c>
      <c r="BI46" s="174">
        <v>1456</v>
      </c>
      <c r="BJ46" s="174">
        <v>258</v>
      </c>
      <c r="BK46" s="174">
        <v>-38</v>
      </c>
    </row>
    <row r="47" spans="1:63" ht="15.75" customHeight="1">
      <c r="A47" s="178" t="s">
        <v>85</v>
      </c>
      <c r="B47" s="177" t="s">
        <v>42</v>
      </c>
      <c r="C47" s="183">
        <f t="shared" si="6"/>
        <v>5764</v>
      </c>
      <c r="D47" s="183">
        <f t="shared" si="7"/>
        <v>2468</v>
      </c>
      <c r="E47" s="183">
        <f t="shared" si="8"/>
        <v>60</v>
      </c>
      <c r="F47" s="183">
        <f t="shared" si="9"/>
        <v>2587</v>
      </c>
      <c r="G47" s="183">
        <f t="shared" si="10"/>
        <v>860</v>
      </c>
      <c r="H47" s="183">
        <f t="shared" si="11"/>
        <v>-211</v>
      </c>
      <c r="I47" s="174">
        <v>215</v>
      </c>
      <c r="J47" s="174">
        <v>601</v>
      </c>
      <c r="K47" s="174">
        <v>210</v>
      </c>
      <c r="L47" s="174">
        <v>11</v>
      </c>
      <c r="M47" s="174">
        <v>-16</v>
      </c>
      <c r="N47" s="174">
        <v>281</v>
      </c>
      <c r="O47" s="174">
        <v>137</v>
      </c>
      <c r="P47" s="174">
        <v>241</v>
      </c>
      <c r="Q47" s="174">
        <v>147</v>
      </c>
      <c r="R47" s="174">
        <v>-32</v>
      </c>
      <c r="S47" s="174">
        <v>109</v>
      </c>
      <c r="T47" s="174">
        <v>69</v>
      </c>
      <c r="U47" s="174">
        <v>157</v>
      </c>
      <c r="V47" s="174">
        <v>7</v>
      </c>
      <c r="W47" s="174">
        <v>-89</v>
      </c>
      <c r="X47" s="174">
        <v>229</v>
      </c>
      <c r="Y47" s="174">
        <v>-132</v>
      </c>
      <c r="Z47" s="174">
        <v>233</v>
      </c>
      <c r="AA47" s="174">
        <v>135</v>
      </c>
      <c r="AB47" s="174">
        <v>2</v>
      </c>
      <c r="AC47" s="174">
        <v>343</v>
      </c>
      <c r="AD47" s="174">
        <v>553</v>
      </c>
      <c r="AE47" s="174">
        <v>376</v>
      </c>
      <c r="AF47" s="174">
        <v>177</v>
      </c>
      <c r="AG47" s="174">
        <v>-37</v>
      </c>
      <c r="AH47" s="174">
        <v>280</v>
      </c>
      <c r="AI47" s="174">
        <v>372</v>
      </c>
      <c r="AJ47" s="174">
        <v>243</v>
      </c>
      <c r="AK47" s="174">
        <v>125</v>
      </c>
      <c r="AL47" s="174">
        <v>-8</v>
      </c>
      <c r="AM47" s="174">
        <v>215</v>
      </c>
      <c r="AN47" s="174">
        <v>-166</v>
      </c>
      <c r="AO47" s="174">
        <v>201</v>
      </c>
      <c r="AP47" s="174">
        <v>107</v>
      </c>
      <c r="AQ47" s="174">
        <v>-22</v>
      </c>
      <c r="AR47" s="174">
        <v>266</v>
      </c>
      <c r="AS47" s="174">
        <v>-22</v>
      </c>
      <c r="AT47" s="174">
        <v>268</v>
      </c>
      <c r="AU47" s="174">
        <v>36</v>
      </c>
      <c r="AV47" s="174">
        <v>-43</v>
      </c>
      <c r="AW47" s="174">
        <v>204</v>
      </c>
      <c r="AX47" s="174">
        <v>-365</v>
      </c>
      <c r="AY47" s="174">
        <v>205</v>
      </c>
      <c r="AZ47" s="174">
        <v>27</v>
      </c>
      <c r="BA47" s="174">
        <v>11</v>
      </c>
      <c r="BB47" s="174">
        <v>137</v>
      </c>
      <c r="BC47" s="174">
        <v>-127</v>
      </c>
      <c r="BD47" s="174">
        <v>126</v>
      </c>
      <c r="BE47" s="174">
        <v>5</v>
      </c>
      <c r="BF47" s="174">
        <v>-10</v>
      </c>
      <c r="BG47" s="174">
        <v>189</v>
      </c>
      <c r="BH47" s="174">
        <v>-860</v>
      </c>
      <c r="BI47" s="174">
        <v>327</v>
      </c>
      <c r="BJ47" s="174">
        <v>83</v>
      </c>
      <c r="BK47" s="174">
        <v>33</v>
      </c>
    </row>
    <row r="48" spans="1:63" ht="15.75" customHeight="1">
      <c r="A48" s="178" t="s">
        <v>84</v>
      </c>
      <c r="B48" s="177" t="s">
        <v>43</v>
      </c>
      <c r="C48" s="183">
        <f t="shared" si="6"/>
        <v>-1316</v>
      </c>
      <c r="D48" s="183">
        <f t="shared" si="7"/>
        <v>-245</v>
      </c>
      <c r="E48" s="183">
        <f t="shared" si="8"/>
        <v>-466</v>
      </c>
      <c r="F48" s="183">
        <f t="shared" si="9"/>
        <v>-387</v>
      </c>
      <c r="G48" s="183">
        <f t="shared" si="10"/>
        <v>48</v>
      </c>
      <c r="H48" s="183">
        <f t="shared" si="11"/>
        <v>-266</v>
      </c>
      <c r="I48" s="174">
        <v>-68</v>
      </c>
      <c r="J48" s="174">
        <v>-69</v>
      </c>
      <c r="K48" s="174">
        <v>-69</v>
      </c>
      <c r="L48" s="174">
        <v>20</v>
      </c>
      <c r="M48" s="174">
        <v>13</v>
      </c>
      <c r="N48" s="174">
        <v>-31</v>
      </c>
      <c r="O48" s="174">
        <v>-122</v>
      </c>
      <c r="P48" s="174">
        <v>-75</v>
      </c>
      <c r="Q48" s="174">
        <v>25</v>
      </c>
      <c r="R48" s="174">
        <v>-77</v>
      </c>
      <c r="S48" s="174">
        <v>-118</v>
      </c>
      <c r="T48" s="174">
        <v>-93</v>
      </c>
      <c r="U48" s="174">
        <v>-150</v>
      </c>
      <c r="V48" s="174">
        <v>-14</v>
      </c>
      <c r="W48" s="174">
        <v>-49</v>
      </c>
      <c r="X48" s="174">
        <v>-29</v>
      </c>
      <c r="Y48" s="174">
        <v>-40</v>
      </c>
      <c r="Z48" s="174">
        <v>0</v>
      </c>
      <c r="AA48" s="174">
        <v>-9</v>
      </c>
      <c r="AB48" s="174">
        <v>-20</v>
      </c>
      <c r="AC48" s="174">
        <v>68</v>
      </c>
      <c r="AD48" s="174">
        <v>-29</v>
      </c>
      <c r="AE48" s="174">
        <v>42</v>
      </c>
      <c r="AF48" s="174">
        <v>9</v>
      </c>
      <c r="AG48" s="174">
        <v>-11</v>
      </c>
      <c r="AH48" s="174">
        <v>55</v>
      </c>
      <c r="AI48" s="174">
        <v>94</v>
      </c>
      <c r="AJ48" s="174">
        <v>59</v>
      </c>
      <c r="AK48" s="174">
        <v>68</v>
      </c>
      <c r="AL48" s="174">
        <v>12</v>
      </c>
      <c r="AM48" s="174">
        <v>6</v>
      </c>
      <c r="AN48" s="174">
        <v>-91</v>
      </c>
      <c r="AO48" s="174">
        <v>37</v>
      </c>
      <c r="AP48" s="174">
        <v>-23</v>
      </c>
      <c r="AQ48" s="174">
        <v>-25</v>
      </c>
      <c r="AR48" s="174">
        <v>-57</v>
      </c>
      <c r="AS48" s="174">
        <v>-14</v>
      </c>
      <c r="AT48" s="174">
        <v>-99</v>
      </c>
      <c r="AU48" s="174">
        <v>-4</v>
      </c>
      <c r="AV48" s="174">
        <v>-38</v>
      </c>
      <c r="AW48" s="174">
        <v>-20</v>
      </c>
      <c r="AX48" s="174">
        <v>-24</v>
      </c>
      <c r="AY48" s="174">
        <v>-44</v>
      </c>
      <c r="AZ48" s="174">
        <v>14</v>
      </c>
      <c r="BA48" s="174">
        <v>13</v>
      </c>
      <c r="BB48" s="174">
        <v>-37</v>
      </c>
      <c r="BC48" s="174">
        <v>-54</v>
      </c>
      <c r="BD48" s="174">
        <v>-38</v>
      </c>
      <c r="BE48" s="174">
        <v>-33</v>
      </c>
      <c r="BF48" s="174">
        <v>-43</v>
      </c>
      <c r="BG48" s="174">
        <v>-14</v>
      </c>
      <c r="BH48" s="174">
        <v>-24</v>
      </c>
      <c r="BI48" s="174">
        <v>-50</v>
      </c>
      <c r="BJ48" s="174">
        <v>-5</v>
      </c>
      <c r="BK48" s="174">
        <v>-41</v>
      </c>
    </row>
    <row r="49" spans="1:63" ht="15.75" customHeight="1">
      <c r="A49" s="176" t="s">
        <v>83</v>
      </c>
      <c r="B49" s="175" t="s">
        <v>44</v>
      </c>
      <c r="C49" s="183">
        <f t="shared" si="6"/>
        <v>7201</v>
      </c>
      <c r="D49" s="183">
        <f t="shared" si="7"/>
        <v>2317</v>
      </c>
      <c r="E49" s="183">
        <f t="shared" si="8"/>
        <v>652</v>
      </c>
      <c r="F49" s="183">
        <f t="shared" si="9"/>
        <v>4408</v>
      </c>
      <c r="G49" s="183">
        <f t="shared" si="10"/>
        <v>-647</v>
      </c>
      <c r="H49" s="183">
        <f t="shared" si="11"/>
        <v>471</v>
      </c>
      <c r="I49" s="174">
        <v>59</v>
      </c>
      <c r="J49" s="174">
        <v>108</v>
      </c>
      <c r="K49" s="174">
        <v>23</v>
      </c>
      <c r="L49" s="174">
        <v>-16</v>
      </c>
      <c r="M49" s="174">
        <v>45</v>
      </c>
      <c r="N49" s="174">
        <v>41</v>
      </c>
      <c r="O49" s="174">
        <v>75</v>
      </c>
      <c r="P49" s="174">
        <v>129</v>
      </c>
      <c r="Q49" s="174">
        <v>-120</v>
      </c>
      <c r="R49" s="174">
        <v>29</v>
      </c>
      <c r="S49" s="174">
        <v>-42</v>
      </c>
      <c r="T49" s="174">
        <v>-221</v>
      </c>
      <c r="U49" s="174">
        <v>-53</v>
      </c>
      <c r="V49" s="174">
        <v>-142</v>
      </c>
      <c r="W49" s="174">
        <v>71</v>
      </c>
      <c r="X49" s="174">
        <v>198</v>
      </c>
      <c r="Y49" s="174">
        <v>-48</v>
      </c>
      <c r="Z49" s="174">
        <v>381</v>
      </c>
      <c r="AA49" s="174">
        <v>-139</v>
      </c>
      <c r="AB49" s="174">
        <v>52</v>
      </c>
      <c r="AC49" s="174">
        <v>297</v>
      </c>
      <c r="AD49" s="174">
        <v>87</v>
      </c>
      <c r="AE49" s="174">
        <v>478</v>
      </c>
      <c r="AF49" s="174">
        <v>-35</v>
      </c>
      <c r="AG49" s="174">
        <v>63</v>
      </c>
      <c r="AH49" s="174">
        <v>301</v>
      </c>
      <c r="AI49" s="174">
        <v>130</v>
      </c>
      <c r="AJ49" s="174">
        <v>640</v>
      </c>
      <c r="AK49" s="174">
        <v>-15</v>
      </c>
      <c r="AL49" s="174">
        <v>71</v>
      </c>
      <c r="AM49" s="174">
        <v>275</v>
      </c>
      <c r="AN49" s="174">
        <v>11</v>
      </c>
      <c r="AO49" s="174">
        <v>552</v>
      </c>
      <c r="AP49" s="174">
        <v>-81</v>
      </c>
      <c r="AQ49" s="174">
        <v>29</v>
      </c>
      <c r="AR49" s="174">
        <v>234</v>
      </c>
      <c r="AS49" s="174">
        <v>41</v>
      </c>
      <c r="AT49" s="174">
        <v>379</v>
      </c>
      <c r="AU49" s="174">
        <v>-89</v>
      </c>
      <c r="AV49" s="174">
        <v>16</v>
      </c>
      <c r="AW49" s="174">
        <v>273</v>
      </c>
      <c r="AX49" s="174">
        <v>-15</v>
      </c>
      <c r="AY49" s="174">
        <v>487</v>
      </c>
      <c r="AZ49" s="174">
        <v>-60</v>
      </c>
      <c r="BA49" s="174">
        <v>21</v>
      </c>
      <c r="BB49" s="174">
        <v>258</v>
      </c>
      <c r="BC49" s="174">
        <v>36</v>
      </c>
      <c r="BD49" s="174">
        <v>559</v>
      </c>
      <c r="BE49" s="174">
        <v>25</v>
      </c>
      <c r="BF49" s="174">
        <v>8</v>
      </c>
      <c r="BG49" s="174">
        <v>423</v>
      </c>
      <c r="BH49" s="174">
        <v>448</v>
      </c>
      <c r="BI49" s="174">
        <v>833</v>
      </c>
      <c r="BJ49" s="174">
        <v>25</v>
      </c>
      <c r="BK49" s="174">
        <v>66</v>
      </c>
    </row>
    <row r="50" spans="1:63" ht="15.75" customHeight="1">
      <c r="B50" s="173"/>
    </row>
  </sheetData>
  <dataConsolidate/>
  <mergeCells count="13">
    <mergeCell ref="BG3:BK4"/>
    <mergeCell ref="A3:B4"/>
    <mergeCell ref="D3:H4"/>
    <mergeCell ref="I3:M4"/>
    <mergeCell ref="BB3:BF4"/>
    <mergeCell ref="N3:R4"/>
    <mergeCell ref="AW3:BA4"/>
    <mergeCell ref="S3:W4"/>
    <mergeCell ref="X3:AB4"/>
    <mergeCell ref="AC3:AG4"/>
    <mergeCell ref="AH3:AL4"/>
    <mergeCell ref="AM3:AQ4"/>
    <mergeCell ref="AR3:AV4"/>
  </mergeCells>
  <pageMargins left="0.23622047244094491" right="0.23622047244094491" top="0.74803149606299213" bottom="0.74803149606299213" header="0.31496062992125984" footer="0.31496062992125984"/>
  <pageSetup paperSize="9" scale="40" fitToHeight="0"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tint="0.79998168889431442"/>
    <pageSetUpPr autoPageBreaks="0"/>
  </sheetPr>
  <dimension ref="A1:Q126"/>
  <sheetViews>
    <sheetView zoomScale="80" zoomScaleNormal="80" workbookViewId="0">
      <selection activeCell="G2" sqref="G2:H2"/>
    </sheetView>
  </sheetViews>
  <sheetFormatPr defaultColWidth="9.1796875" defaultRowHeight="12.5"/>
  <cols>
    <col min="1" max="1" width="43" style="66" customWidth="1" collapsed="1"/>
    <col min="2" max="2" width="23.26953125" style="66" customWidth="1"/>
    <col min="3" max="3" width="12.1796875" style="66" customWidth="1"/>
    <col min="4" max="4" width="12.1796875" style="66" customWidth="1" collapsed="1"/>
    <col min="5" max="7" width="12.1796875" style="66" customWidth="1"/>
    <col min="8" max="8" width="12.1796875" style="66" customWidth="1" collapsed="1"/>
    <col min="9" max="11" width="12.1796875" style="66" customWidth="1"/>
    <col min="12" max="12" width="12.1796875" style="66" customWidth="1" collapsed="1"/>
    <col min="13" max="19" width="12.1796875" style="66" customWidth="1"/>
    <col min="20" max="16384" width="9.1796875" style="66"/>
  </cols>
  <sheetData>
    <row r="1" spans="1:17" ht="13">
      <c r="A1" s="72" t="s">
        <v>240</v>
      </c>
      <c r="B1" s="72" t="s">
        <v>241</v>
      </c>
      <c r="C1" s="72" t="s">
        <v>242</v>
      </c>
      <c r="D1" s="73">
        <v>2019</v>
      </c>
      <c r="E1" s="73"/>
      <c r="F1" s="72" t="s">
        <v>241</v>
      </c>
      <c r="G1" s="72" t="s">
        <v>242</v>
      </c>
      <c r="H1" s="73">
        <v>2020</v>
      </c>
      <c r="I1" s="73"/>
      <c r="J1" s="72" t="s">
        <v>241</v>
      </c>
      <c r="K1" s="72" t="s">
        <v>242</v>
      </c>
      <c r="L1" s="73">
        <v>2021</v>
      </c>
      <c r="M1" s="73"/>
      <c r="N1" s="72" t="s">
        <v>241</v>
      </c>
      <c r="O1" s="72" t="s">
        <v>242</v>
      </c>
      <c r="P1" s="72">
        <v>2022</v>
      </c>
      <c r="Q1" s="72"/>
    </row>
    <row r="2" spans="1:17" ht="13">
      <c r="A2" s="75"/>
      <c r="B2" s="75"/>
      <c r="C2" s="75"/>
      <c r="D2" s="76"/>
      <c r="E2" s="76"/>
      <c r="F2" s="76"/>
      <c r="G2" s="76"/>
      <c r="H2" s="76"/>
      <c r="I2" s="76"/>
      <c r="J2" s="76"/>
      <c r="K2" s="76"/>
      <c r="L2" s="76"/>
      <c r="M2" s="76"/>
      <c r="N2" s="76"/>
      <c r="O2" s="76"/>
      <c r="P2" s="76"/>
      <c r="Q2" s="76"/>
    </row>
    <row r="3" spans="1:17" ht="13">
      <c r="A3" s="75"/>
      <c r="B3" s="75"/>
      <c r="C3" s="75"/>
      <c r="D3" s="76"/>
      <c r="E3" s="76"/>
      <c r="F3" s="76"/>
      <c r="G3" s="76"/>
      <c r="H3" s="76"/>
      <c r="I3" s="76"/>
      <c r="J3" s="76"/>
      <c r="K3" s="76"/>
      <c r="L3" s="76"/>
      <c r="M3" s="76"/>
      <c r="N3" s="76"/>
      <c r="O3" s="76"/>
      <c r="P3" s="76"/>
      <c r="Q3" s="76"/>
    </row>
    <row r="4" spans="1:17" ht="13">
      <c r="A4" s="75"/>
      <c r="B4" s="75"/>
      <c r="C4" s="75"/>
      <c r="D4" s="76"/>
      <c r="E4" s="76"/>
      <c r="F4" s="76"/>
      <c r="G4" s="76"/>
      <c r="H4" s="76"/>
      <c r="I4" s="76"/>
      <c r="J4" s="76"/>
      <c r="K4" s="76"/>
      <c r="L4" s="76"/>
      <c r="M4" s="76"/>
      <c r="N4" s="76"/>
      <c r="O4" s="76"/>
      <c r="P4" s="76"/>
      <c r="Q4" s="76"/>
    </row>
    <row r="5" spans="1:17" ht="13">
      <c r="A5" s="75"/>
      <c r="B5" s="75"/>
      <c r="C5" s="75"/>
      <c r="D5" s="76"/>
      <c r="E5" s="76"/>
      <c r="F5" s="76"/>
      <c r="G5" s="76"/>
      <c r="H5" s="76"/>
      <c r="I5" s="76"/>
      <c r="J5" s="76"/>
      <c r="K5" s="76"/>
      <c r="L5" s="76"/>
      <c r="M5" s="76"/>
      <c r="N5" s="76"/>
      <c r="O5" s="76"/>
      <c r="P5" s="76"/>
      <c r="Q5" s="76"/>
    </row>
    <row r="6" spans="1:17" ht="13">
      <c r="A6" s="75"/>
      <c r="B6" s="75"/>
      <c r="C6" s="75"/>
      <c r="D6" s="76"/>
      <c r="E6" s="76"/>
      <c r="F6" s="76"/>
      <c r="G6" s="76"/>
      <c r="H6" s="76"/>
      <c r="I6" s="76"/>
      <c r="J6" s="76"/>
      <c r="K6" s="76"/>
      <c r="L6" s="76"/>
      <c r="M6" s="76"/>
      <c r="N6" s="76"/>
      <c r="O6" s="76"/>
      <c r="P6" s="76"/>
      <c r="Q6" s="76"/>
    </row>
    <row r="7" spans="1:17" ht="13">
      <c r="A7" s="75"/>
      <c r="B7" s="75"/>
      <c r="C7" s="75"/>
      <c r="D7" s="76"/>
      <c r="E7" s="76"/>
      <c r="F7" s="76"/>
      <c r="G7" s="76"/>
      <c r="H7" s="76"/>
      <c r="I7" s="76"/>
      <c r="J7" s="76"/>
      <c r="K7" s="76"/>
      <c r="L7" s="76"/>
      <c r="M7" s="76"/>
      <c r="N7" s="76"/>
      <c r="O7" s="76"/>
      <c r="P7" s="76"/>
      <c r="Q7" s="76"/>
    </row>
    <row r="8" spans="1:17" ht="13">
      <c r="A8" s="75"/>
      <c r="B8" s="75"/>
      <c r="C8" s="75"/>
      <c r="D8" s="76"/>
      <c r="E8" s="76"/>
      <c r="F8" s="76"/>
      <c r="G8" s="76"/>
      <c r="H8" s="76"/>
      <c r="I8" s="76"/>
      <c r="J8" s="76"/>
      <c r="K8" s="76"/>
      <c r="L8" s="76"/>
      <c r="M8" s="76"/>
      <c r="N8" s="76" t="s">
        <v>629</v>
      </c>
      <c r="O8" s="76" t="s">
        <v>630</v>
      </c>
      <c r="P8" s="76"/>
      <c r="Q8" s="76"/>
    </row>
    <row r="9" spans="1:17" ht="13">
      <c r="A9" s="74" t="s">
        <v>14</v>
      </c>
      <c r="B9" s="408">
        <f>INDEX($B$92:$F$126,MATCH($A9,$B$92:$B$126,0),MATCH(D$1,$B$92:$F$92,0))</f>
        <v>160000</v>
      </c>
      <c r="C9" s="408">
        <f>INDEX($A$51:$E$83,MATCH($A9,$A$51:$A$83,0),MATCH(D$1,$A$51:$E$51,0))</f>
        <v>21274</v>
      </c>
      <c r="D9" s="76">
        <f>B9/C9</f>
        <v>7.5209175519413369</v>
      </c>
      <c r="E9" s="76"/>
      <c r="F9" s="408">
        <f>INDEX($B$92:$F$126,MATCH($A9,$B$92:$B$126,0),MATCH(H$1,$B$92:$F$92,0))</f>
        <v>156000</v>
      </c>
      <c r="G9" s="408">
        <f>INDEX($A$51:$E$83,MATCH($A9,$A$51:$A$83,0),MATCH(H$1,$A$51:$E$51,0))</f>
        <v>20697</v>
      </c>
      <c r="H9" s="76">
        <f>F9/G9</f>
        <v>7.5373242498912889</v>
      </c>
      <c r="I9" s="76"/>
      <c r="J9" s="408">
        <f>INDEX($B$92:$F$126,MATCH($A9,$B$92:$B$126,0),MATCH(L$1,$B$92:$F$92,0))</f>
        <v>160000</v>
      </c>
      <c r="K9" s="408">
        <f>INDEX($A$51:$E$83,MATCH($A9,$A$51:$A$83,0),MATCH(L$1,$A$51:$E$51,0))</f>
        <v>20871</v>
      </c>
      <c r="L9" s="76">
        <f>J9/K9</f>
        <v>7.6661396195678213</v>
      </c>
      <c r="M9" s="76"/>
      <c r="N9" s="408">
        <f>INDEX($B$92:$F$126,MATCH($A9,$B$92:$B$126,0),MATCH(P$1,$B$92:$F$92,0))</f>
        <v>150000</v>
      </c>
      <c r="O9" s="408">
        <f>INDEX($A$51:$E$83,MATCH($A9,$A$51:$A$83,0),MATCH(L$1,$A$51:$E$51,0))</f>
        <v>20871</v>
      </c>
      <c r="P9" s="76">
        <f>N9/O9</f>
        <v>7.1870058933448329</v>
      </c>
      <c r="Q9" s="76"/>
    </row>
    <row r="10" spans="1:17" ht="13">
      <c r="A10" s="74" t="s">
        <v>15</v>
      </c>
      <c r="B10" s="408">
        <f t="shared" ref="B10:B40" si="0">INDEX($B$92:$F$126,MATCH($A10,$B$92:$B$126,0),MATCH(D$1,$B$92:$F$92,0))</f>
        <v>195000</v>
      </c>
      <c r="C10" s="408">
        <f t="shared" ref="C10:C40" si="1">INDEX($A$51:$E$83,MATCH($A10,$A$51:$A$83,0),MATCH(D$1,$A$51:$E$51,0))</f>
        <v>22258</v>
      </c>
      <c r="D10" s="76">
        <f t="shared" ref="D10:D40" si="2">B10/C10</f>
        <v>8.7608949591158236</v>
      </c>
      <c r="E10" s="76"/>
      <c r="F10" s="408">
        <f t="shared" ref="F10:F11" si="3">INDEX($B$92:$F$126,MATCH($A10,$B$92:$B$126,0),MATCH(H$1,$B$92:$F$92,0))</f>
        <v>195000</v>
      </c>
      <c r="G10" s="408">
        <f t="shared" ref="G10" si="4">INDEX($A$51:$E$83,MATCH($A10,$A$51:$A$83,0),MATCH(H$1,$A$51:$E$51,0))</f>
        <v>21906</v>
      </c>
      <c r="H10" s="76">
        <f t="shared" ref="H10:H40" si="5">F10/G10</f>
        <v>8.9016707751301016</v>
      </c>
      <c r="I10" s="76"/>
      <c r="J10" s="408">
        <f t="shared" ref="J10:J11" si="6">INDEX($B$92:$F$126,MATCH($A10,$B$92:$B$126,0),MATCH(L$1,$B$92:$F$92,0))</f>
        <v>200000</v>
      </c>
      <c r="K10" s="408">
        <f>INDEX($A$51:$E$83,MATCH($A10,$A$51:$A$83,0),MATCH(L$1,$A$51:$E$51,0))</f>
        <v>22259</v>
      </c>
      <c r="L10" s="76">
        <f t="shared" ref="L10:L40" si="7">J10/K10</f>
        <v>8.9851296104946314</v>
      </c>
      <c r="M10" s="76"/>
      <c r="N10" s="408">
        <f t="shared" ref="N10:N11" si="8">INDEX($B$92:$F$126,MATCH($A10,$B$92:$B$126,0),MATCH(P$1,$B$92:$F$92,0))</f>
        <v>210995</v>
      </c>
      <c r="O10" s="408">
        <f t="shared" ref="O10:O40" si="9">INDEX($A$51:$E$83,MATCH($A10,$A$51:$A$83,0),MATCH(L$1,$A$51:$E$51,0))</f>
        <v>22259</v>
      </c>
      <c r="P10" s="76">
        <f t="shared" ref="P10:P40" si="10">N10/O10</f>
        <v>9.4790871108315731</v>
      </c>
      <c r="Q10" s="76"/>
    </row>
    <row r="11" spans="1:17" ht="13">
      <c r="A11" s="74" t="s">
        <v>16</v>
      </c>
      <c r="B11" s="408">
        <f t="shared" si="0"/>
        <v>156000</v>
      </c>
      <c r="C11" s="408">
        <f>INDEX($A$51:$E$83,MATCH($A11,$A$51:$A$83,0),MATCH(D$1,$A$51:$E$51,0))</f>
        <v>19437</v>
      </c>
      <c r="D11" s="76">
        <f t="shared" si="2"/>
        <v>8.0259299274579412</v>
      </c>
      <c r="E11" s="76"/>
      <c r="F11" s="408">
        <f t="shared" si="3"/>
        <v>160000</v>
      </c>
      <c r="G11" s="408">
        <f>INDEX($A$51:$E$83,MATCH($A11,$A$51:$A$83,0),MATCH(H$1,$A$51:$E$51,0))</f>
        <v>19211</v>
      </c>
      <c r="H11" s="76">
        <f t="shared" si="5"/>
        <v>8.3285617614908123</v>
      </c>
      <c r="I11" s="76"/>
      <c r="J11" s="408">
        <f t="shared" si="6"/>
        <v>165000</v>
      </c>
      <c r="K11" s="408">
        <f>INDEX($A$51:$E$83,MATCH($A11,$A$51:$A$83,0),MATCH(L$1,$A$51:$E$51,0))</f>
        <v>19346</v>
      </c>
      <c r="L11" s="76">
        <f t="shared" si="7"/>
        <v>8.5288948619869736</v>
      </c>
      <c r="M11" s="76"/>
      <c r="N11" s="408">
        <f t="shared" si="8"/>
        <v>174500</v>
      </c>
      <c r="O11" s="408">
        <f t="shared" si="9"/>
        <v>19346</v>
      </c>
      <c r="P11" s="76">
        <f t="shared" si="10"/>
        <v>9.01995244494986</v>
      </c>
      <c r="Q11" s="76"/>
    </row>
    <row r="12" spans="1:17" ht="13">
      <c r="A12" s="74" t="s">
        <v>17</v>
      </c>
      <c r="B12" s="408">
        <f>INDEX($B$92:$F$126,MATCH($A12,$B$92:$B$126,0),MATCH(D$1,$B$92:$F$92,0))</f>
        <v>145925</v>
      </c>
      <c r="C12" s="408">
        <f t="shared" si="1"/>
        <v>19263</v>
      </c>
      <c r="D12" s="76">
        <f>B12/C12</f>
        <v>7.5754036235269684</v>
      </c>
      <c r="E12" s="76"/>
      <c r="F12" s="408">
        <f>INDEX($B$92:$F$126,MATCH($A12,$B$92:$B$126,0),MATCH(H$1,$B$92:$F$92,0))</f>
        <v>150500</v>
      </c>
      <c r="G12" s="408">
        <f t="shared" ref="G12:G40" si="11">INDEX($A$51:$E$83,MATCH($A12,$A$51:$A$83,0),MATCH(H$1,$A$51:$E$51,0))</f>
        <v>19286</v>
      </c>
      <c r="H12" s="76">
        <f t="shared" si="5"/>
        <v>7.8035880949911851</v>
      </c>
      <c r="I12" s="76"/>
      <c r="J12" s="408">
        <f>INDEX($B$92:$F$126,MATCH($A12,$B$92:$B$126,0),MATCH(L$1,$B$92:$F$92,0))</f>
        <v>161161</v>
      </c>
      <c r="K12" s="408">
        <f t="shared" ref="K12:K40" si="12">INDEX($A$51:$E$83,MATCH($A12,$A$51:$A$83,0),MATCH(L$1,$A$51:$E$51,0))</f>
        <v>19536</v>
      </c>
      <c r="L12" s="76">
        <f t="shared" si="7"/>
        <v>8.2494369369369362</v>
      </c>
      <c r="M12" s="76"/>
      <c r="N12" s="408">
        <f>INDEX($B$92:$F$126,MATCH($A12,$B$92:$B$126,0),MATCH(P$1,$B$92:$F$92,0))</f>
        <v>175000</v>
      </c>
      <c r="O12" s="408">
        <f t="shared" si="9"/>
        <v>19536</v>
      </c>
      <c r="P12" s="76">
        <f t="shared" si="10"/>
        <v>8.9578214578214581</v>
      </c>
      <c r="Q12" s="76"/>
    </row>
    <row r="13" spans="1:17" ht="13">
      <c r="A13" s="74" t="s">
        <v>189</v>
      </c>
      <c r="B13" s="408">
        <f t="shared" si="0"/>
        <v>224995</v>
      </c>
      <c r="C13" s="408">
        <f t="shared" si="1"/>
        <v>24418</v>
      </c>
      <c r="D13" s="76">
        <f t="shared" si="2"/>
        <v>9.2143091162257349</v>
      </c>
      <c r="E13" s="76"/>
      <c r="F13" s="408">
        <f t="shared" ref="F13:F40" si="13">INDEX($B$92:$F$126,MATCH($A13,$B$92:$B$126,0),MATCH(H$1,$B$92:$F$92,0))</f>
        <v>235000</v>
      </c>
      <c r="G13" s="408">
        <f t="shared" si="11"/>
        <v>24006</v>
      </c>
      <c r="H13" s="76">
        <f t="shared" si="5"/>
        <v>9.7892193618262109</v>
      </c>
      <c r="I13" s="76"/>
      <c r="J13" s="408">
        <f t="shared" ref="J13:J40" si="14">INDEX($B$92:$F$126,MATCH($A13,$B$92:$B$126,0),MATCH(L$1,$B$92:$F$92,0))</f>
        <v>250000</v>
      </c>
      <c r="K13" s="408">
        <f t="shared" si="12"/>
        <v>25272</v>
      </c>
      <c r="L13" s="76">
        <f t="shared" si="7"/>
        <v>9.8923710034821148</v>
      </c>
      <c r="M13" s="76"/>
      <c r="N13" s="408">
        <f t="shared" ref="N13:N40" si="15">INDEX($B$92:$F$126,MATCH($A13,$B$92:$B$126,0),MATCH(P$1,$B$92:$F$92,0))</f>
        <v>265000</v>
      </c>
      <c r="O13" s="408">
        <f t="shared" si="9"/>
        <v>25272</v>
      </c>
      <c r="P13" s="76">
        <f t="shared" si="10"/>
        <v>10.485913263691041</v>
      </c>
      <c r="Q13" s="76"/>
    </row>
    <row r="14" spans="1:17" ht="13">
      <c r="A14" s="74" t="s">
        <v>18</v>
      </c>
      <c r="B14" s="408">
        <f t="shared" si="0"/>
        <v>133147.5</v>
      </c>
      <c r="C14" s="408">
        <f t="shared" si="1"/>
        <v>19749</v>
      </c>
      <c r="D14" s="76">
        <f t="shared" si="2"/>
        <v>6.741986936047395</v>
      </c>
      <c r="E14" s="76"/>
      <c r="F14" s="408">
        <f t="shared" si="13"/>
        <v>133000</v>
      </c>
      <c r="G14" s="408">
        <f t="shared" si="11"/>
        <v>19318</v>
      </c>
      <c r="H14" s="76">
        <f t="shared" si="5"/>
        <v>6.8847706801946371</v>
      </c>
      <c r="I14" s="76"/>
      <c r="J14" s="408">
        <f t="shared" si="14"/>
        <v>145166</v>
      </c>
      <c r="K14" s="408">
        <f t="shared" si="12"/>
        <v>19171</v>
      </c>
      <c r="L14" s="76">
        <f t="shared" si="7"/>
        <v>7.5721662928381406</v>
      </c>
      <c r="M14" s="76"/>
      <c r="N14" s="408">
        <f t="shared" si="15"/>
        <v>150627.5</v>
      </c>
      <c r="O14" s="408">
        <f t="shared" si="9"/>
        <v>19171</v>
      </c>
      <c r="P14" s="76">
        <f t="shared" si="10"/>
        <v>7.8570497105002346</v>
      </c>
      <c r="Q14" s="76"/>
    </row>
    <row r="15" spans="1:17" ht="13">
      <c r="A15" s="74" t="s">
        <v>19</v>
      </c>
      <c r="B15" s="408">
        <f t="shared" si="0"/>
        <v>130000</v>
      </c>
      <c r="C15" s="408">
        <f t="shared" si="1"/>
        <v>18584</v>
      </c>
      <c r="D15" s="76">
        <f t="shared" si="2"/>
        <v>6.9952647438656905</v>
      </c>
      <c r="E15" s="76"/>
      <c r="F15" s="408">
        <f t="shared" si="13"/>
        <v>130000</v>
      </c>
      <c r="G15" s="408">
        <f t="shared" si="11"/>
        <v>18817</v>
      </c>
      <c r="H15" s="76">
        <f t="shared" si="5"/>
        <v>6.9086464367327416</v>
      </c>
      <c r="I15" s="76"/>
      <c r="J15" s="408">
        <f t="shared" si="14"/>
        <v>140000</v>
      </c>
      <c r="K15" s="408">
        <f t="shared" si="12"/>
        <v>19418</v>
      </c>
      <c r="L15" s="76">
        <f t="shared" si="7"/>
        <v>7.2098053352559477</v>
      </c>
      <c r="M15" s="76"/>
      <c r="N15" s="408">
        <f t="shared" si="15"/>
        <v>150000</v>
      </c>
      <c r="O15" s="408">
        <f t="shared" si="9"/>
        <v>19418</v>
      </c>
      <c r="P15" s="76">
        <f t="shared" si="10"/>
        <v>7.724791430631373</v>
      </c>
      <c r="Q15" s="76"/>
    </row>
    <row r="16" spans="1:17" ht="13">
      <c r="A16" s="74" t="s">
        <v>20</v>
      </c>
      <c r="B16" s="408">
        <f t="shared" si="0"/>
        <v>126893</v>
      </c>
      <c r="C16" s="408">
        <f t="shared" si="1"/>
        <v>16404</v>
      </c>
      <c r="D16" s="76">
        <f t="shared" si="2"/>
        <v>7.7354913435747381</v>
      </c>
      <c r="E16" s="76"/>
      <c r="F16" s="408">
        <f t="shared" si="13"/>
        <v>135000</v>
      </c>
      <c r="G16" s="408">
        <f t="shared" si="11"/>
        <v>16547</v>
      </c>
      <c r="H16" s="76">
        <f t="shared" si="5"/>
        <v>8.1585785943071247</v>
      </c>
      <c r="I16" s="76"/>
      <c r="J16" s="408">
        <f t="shared" si="14"/>
        <v>140000</v>
      </c>
      <c r="K16" s="408">
        <f t="shared" si="12"/>
        <v>17066</v>
      </c>
      <c r="L16" s="76">
        <f t="shared" si="7"/>
        <v>8.2034454470877769</v>
      </c>
      <c r="M16" s="76"/>
      <c r="N16" s="408">
        <f t="shared" si="15"/>
        <v>135000</v>
      </c>
      <c r="O16" s="408">
        <f t="shared" si="9"/>
        <v>17066</v>
      </c>
      <c r="P16" s="76">
        <f t="shared" si="10"/>
        <v>7.9104652525489279</v>
      </c>
      <c r="Q16" s="76"/>
    </row>
    <row r="17" spans="1:17" ht="13">
      <c r="A17" s="74" t="s">
        <v>21</v>
      </c>
      <c r="B17" s="408">
        <f t="shared" si="0"/>
        <v>98235</v>
      </c>
      <c r="C17" s="408">
        <f t="shared" si="1"/>
        <v>17198</v>
      </c>
      <c r="D17" s="76">
        <f t="shared" si="2"/>
        <v>5.7120013955111055</v>
      </c>
      <c r="E17" s="76"/>
      <c r="F17" s="408">
        <f t="shared" si="13"/>
        <v>105000</v>
      </c>
      <c r="G17" s="408">
        <f t="shared" si="11"/>
        <v>17227</v>
      </c>
      <c r="H17" s="76">
        <f t="shared" si="5"/>
        <v>6.0950832994717592</v>
      </c>
      <c r="I17" s="76"/>
      <c r="J17" s="408">
        <f t="shared" si="14"/>
        <v>106178.5</v>
      </c>
      <c r="K17" s="408">
        <f t="shared" si="12"/>
        <v>17712</v>
      </c>
      <c r="L17" s="76">
        <f t="shared" si="7"/>
        <v>5.994721093044264</v>
      </c>
      <c r="M17" s="76"/>
      <c r="N17" s="408">
        <f t="shared" si="15"/>
        <v>120000</v>
      </c>
      <c r="O17" s="408">
        <f t="shared" si="9"/>
        <v>17712</v>
      </c>
      <c r="P17" s="76">
        <f t="shared" si="10"/>
        <v>6.7750677506775068</v>
      </c>
      <c r="Q17" s="76"/>
    </row>
    <row r="18" spans="1:17" ht="13">
      <c r="A18" s="78" t="s">
        <v>22</v>
      </c>
      <c r="B18" s="408">
        <f t="shared" si="0"/>
        <v>217000</v>
      </c>
      <c r="C18" s="408">
        <f t="shared" si="1"/>
        <v>23187</v>
      </c>
      <c r="D18" s="76">
        <f t="shared" si="2"/>
        <v>9.3586923707249756</v>
      </c>
      <c r="E18" s="76"/>
      <c r="F18" s="408">
        <f t="shared" si="13"/>
        <v>216109</v>
      </c>
      <c r="G18" s="408">
        <f t="shared" si="11"/>
        <v>22567</v>
      </c>
      <c r="H18" s="76">
        <f t="shared" si="5"/>
        <v>9.5763282669384502</v>
      </c>
      <c r="I18" s="76"/>
      <c r="J18" s="408">
        <f t="shared" si="14"/>
        <v>235100</v>
      </c>
      <c r="K18" s="408">
        <f t="shared" si="12"/>
        <v>23726</v>
      </c>
      <c r="L18" s="76">
        <f t="shared" si="7"/>
        <v>9.9089606339037335</v>
      </c>
      <c r="M18" s="76"/>
      <c r="N18" s="408">
        <f t="shared" si="15"/>
        <v>250000</v>
      </c>
      <c r="O18" s="408">
        <f t="shared" si="9"/>
        <v>23726</v>
      </c>
      <c r="P18" s="76">
        <f t="shared" si="10"/>
        <v>10.536963668549271</v>
      </c>
      <c r="Q18" s="76"/>
    </row>
    <row r="19" spans="1:17" ht="13">
      <c r="A19" s="74" t="s">
        <v>23</v>
      </c>
      <c r="B19" s="408">
        <f t="shared" si="0"/>
        <v>220000</v>
      </c>
      <c r="C19" s="408">
        <f t="shared" si="1"/>
        <v>22457</v>
      </c>
      <c r="D19" s="76">
        <f t="shared" si="2"/>
        <v>9.7964999777352268</v>
      </c>
      <c r="E19" s="76"/>
      <c r="F19" s="408">
        <f t="shared" si="13"/>
        <v>238000</v>
      </c>
      <c r="G19" s="408">
        <f t="shared" si="11"/>
        <v>22303</v>
      </c>
      <c r="H19" s="76">
        <f t="shared" si="5"/>
        <v>10.671210151100748</v>
      </c>
      <c r="I19" s="76"/>
      <c r="J19" s="408">
        <f t="shared" si="14"/>
        <v>245995</v>
      </c>
      <c r="K19" s="408">
        <f t="shared" si="12"/>
        <v>22842</v>
      </c>
      <c r="L19" s="76">
        <f t="shared" si="7"/>
        <v>10.769415988092112</v>
      </c>
      <c r="M19" s="76"/>
      <c r="N19" s="408">
        <f t="shared" si="15"/>
        <v>262995</v>
      </c>
      <c r="O19" s="408">
        <f t="shared" si="9"/>
        <v>22842</v>
      </c>
      <c r="P19" s="76">
        <f t="shared" si="10"/>
        <v>11.513659049120042</v>
      </c>
      <c r="Q19" s="76"/>
    </row>
    <row r="20" spans="1:17" ht="13">
      <c r="A20" s="78" t="s">
        <v>24</v>
      </c>
      <c r="B20" s="408">
        <f t="shared" si="0"/>
        <v>230000</v>
      </c>
      <c r="C20" s="408">
        <f t="shared" si="1"/>
        <v>22589</v>
      </c>
      <c r="D20" s="76">
        <f t="shared" si="2"/>
        <v>10.181946965337112</v>
      </c>
      <c r="E20" s="76"/>
      <c r="F20" s="408">
        <f t="shared" si="13"/>
        <v>250000</v>
      </c>
      <c r="G20" s="408">
        <f t="shared" si="11"/>
        <v>22402</v>
      </c>
      <c r="H20" s="76">
        <f t="shared" si="5"/>
        <v>11.159717882331934</v>
      </c>
      <c r="I20" s="76"/>
      <c r="J20" s="408">
        <f t="shared" si="14"/>
        <v>257500</v>
      </c>
      <c r="K20" s="408">
        <f t="shared" si="12"/>
        <v>23306</v>
      </c>
      <c r="L20" s="76">
        <f t="shared" si="7"/>
        <v>11.048656998197888</v>
      </c>
      <c r="M20" s="76"/>
      <c r="N20" s="408">
        <f t="shared" si="15"/>
        <v>275000</v>
      </c>
      <c r="O20" s="408">
        <f t="shared" si="9"/>
        <v>23306</v>
      </c>
      <c r="P20" s="76">
        <f t="shared" si="10"/>
        <v>11.799536600017163</v>
      </c>
      <c r="Q20" s="76"/>
    </row>
    <row r="21" spans="1:17" ht="13">
      <c r="A21" s="74" t="s">
        <v>25</v>
      </c>
      <c r="B21" s="408">
        <f t="shared" si="0"/>
        <v>129750</v>
      </c>
      <c r="C21" s="408">
        <f t="shared" si="1"/>
        <v>18319</v>
      </c>
      <c r="D21" s="76">
        <f t="shared" si="2"/>
        <v>7.0828101970631581</v>
      </c>
      <c r="E21" s="76"/>
      <c r="F21" s="408">
        <f t="shared" si="13"/>
        <v>135000</v>
      </c>
      <c r="G21" s="408">
        <f t="shared" si="11"/>
        <v>18276</v>
      </c>
      <c r="H21" s="76">
        <f t="shared" si="5"/>
        <v>7.3867367038739333</v>
      </c>
      <c r="I21" s="76"/>
      <c r="J21" s="408">
        <f t="shared" si="14"/>
        <v>136500</v>
      </c>
      <c r="K21" s="408">
        <f t="shared" si="12"/>
        <v>18611</v>
      </c>
      <c r="L21" s="76">
        <f t="shared" si="7"/>
        <v>7.3343721455053466</v>
      </c>
      <c r="M21" s="76"/>
      <c r="N21" s="408">
        <f t="shared" si="15"/>
        <v>149995</v>
      </c>
      <c r="O21" s="408">
        <f t="shared" si="9"/>
        <v>18611</v>
      </c>
      <c r="P21" s="76">
        <f t="shared" si="10"/>
        <v>8.059480952125087</v>
      </c>
      <c r="Q21" s="76"/>
    </row>
    <row r="22" spans="1:17" ht="13">
      <c r="A22" s="74" t="s">
        <v>26</v>
      </c>
      <c r="B22" s="408">
        <f t="shared" si="0"/>
        <v>137500</v>
      </c>
      <c r="C22" s="408">
        <f t="shared" si="1"/>
        <v>17841</v>
      </c>
      <c r="D22" s="76">
        <f t="shared" si="2"/>
        <v>7.7069670982568246</v>
      </c>
      <c r="E22" s="76"/>
      <c r="F22" s="408">
        <f t="shared" si="13"/>
        <v>146000</v>
      </c>
      <c r="G22" s="408">
        <f t="shared" si="11"/>
        <v>17963</v>
      </c>
      <c r="H22" s="76">
        <f t="shared" si="5"/>
        <v>8.1278182931581586</v>
      </c>
      <c r="I22" s="76"/>
      <c r="J22" s="408">
        <f t="shared" si="14"/>
        <v>151000</v>
      </c>
      <c r="K22" s="408">
        <f t="shared" si="12"/>
        <v>18338</v>
      </c>
      <c r="L22" s="76">
        <f t="shared" si="7"/>
        <v>8.2342676409641182</v>
      </c>
      <c r="M22" s="76"/>
      <c r="N22" s="408">
        <f t="shared" si="15"/>
        <v>155192.5</v>
      </c>
      <c r="O22" s="408">
        <f t="shared" si="9"/>
        <v>18338</v>
      </c>
      <c r="P22" s="76">
        <f t="shared" si="10"/>
        <v>8.4628912640418807</v>
      </c>
      <c r="Q22" s="76"/>
    </row>
    <row r="23" spans="1:17" ht="13">
      <c r="A23" s="78" t="s">
        <v>27</v>
      </c>
      <c r="B23" s="408">
        <f t="shared" si="0"/>
        <v>140000</v>
      </c>
      <c r="C23" s="408">
        <f t="shared" si="1"/>
        <v>17043</v>
      </c>
      <c r="D23" s="76">
        <f t="shared" si="2"/>
        <v>8.2145162236695413</v>
      </c>
      <c r="E23" s="76"/>
      <c r="F23" s="408">
        <f t="shared" si="13"/>
        <v>150000</v>
      </c>
      <c r="G23" s="408">
        <f t="shared" si="11"/>
        <v>17287</v>
      </c>
      <c r="H23" s="76">
        <f t="shared" si="5"/>
        <v>8.6770405507028396</v>
      </c>
      <c r="I23" s="76"/>
      <c r="J23" s="408">
        <f t="shared" si="14"/>
        <v>160000</v>
      </c>
      <c r="K23" s="408">
        <f t="shared" si="12"/>
        <v>17872</v>
      </c>
      <c r="L23" s="76">
        <f t="shared" si="7"/>
        <v>8.952551477170994</v>
      </c>
      <c r="M23" s="76"/>
      <c r="N23" s="408">
        <f t="shared" si="15"/>
        <v>170100</v>
      </c>
      <c r="O23" s="408">
        <f t="shared" si="9"/>
        <v>17872</v>
      </c>
      <c r="P23" s="76">
        <f t="shared" si="10"/>
        <v>9.5176812891674132</v>
      </c>
      <c r="Q23" s="76"/>
    </row>
    <row r="24" spans="1:17" ht="13">
      <c r="A24" s="74" t="s">
        <v>28</v>
      </c>
      <c r="B24" s="408">
        <f t="shared" si="0"/>
        <v>168000</v>
      </c>
      <c r="C24" s="408">
        <f t="shared" si="1"/>
        <v>19805</v>
      </c>
      <c r="D24" s="76">
        <f t="shared" si="2"/>
        <v>8.4827063872759396</v>
      </c>
      <c r="E24" s="76"/>
      <c r="F24" s="408">
        <f t="shared" si="13"/>
        <v>175000</v>
      </c>
      <c r="G24" s="408">
        <f t="shared" si="11"/>
        <v>19656</v>
      </c>
      <c r="H24" s="76">
        <f t="shared" si="5"/>
        <v>8.9031339031339023</v>
      </c>
      <c r="I24" s="76"/>
      <c r="J24" s="408">
        <f t="shared" si="14"/>
        <v>185500</v>
      </c>
      <c r="K24" s="408">
        <f t="shared" si="12"/>
        <v>20194</v>
      </c>
      <c r="L24" s="76">
        <f t="shared" si="7"/>
        <v>9.1858968010300082</v>
      </c>
      <c r="M24" s="76"/>
      <c r="N24" s="408">
        <f t="shared" si="15"/>
        <v>197500</v>
      </c>
      <c r="O24" s="408">
        <f t="shared" si="9"/>
        <v>20194</v>
      </c>
      <c r="P24" s="76">
        <f t="shared" si="10"/>
        <v>9.7801327126869371</v>
      </c>
      <c r="Q24" s="76"/>
    </row>
    <row r="25" spans="1:17" ht="13">
      <c r="A25" s="78" t="s">
        <v>29</v>
      </c>
      <c r="B25" s="408">
        <f t="shared" si="0"/>
        <v>103000</v>
      </c>
      <c r="C25" s="408">
        <f t="shared" si="1"/>
        <v>17620</v>
      </c>
      <c r="D25" s="76">
        <f t="shared" si="2"/>
        <v>5.8456299659477864</v>
      </c>
      <c r="E25" s="76"/>
      <c r="F25" s="408">
        <f t="shared" si="13"/>
        <v>105000</v>
      </c>
      <c r="G25" s="408">
        <f t="shared" si="11"/>
        <v>17347</v>
      </c>
      <c r="H25" s="76">
        <f t="shared" si="5"/>
        <v>6.0529198132241886</v>
      </c>
      <c r="I25" s="76"/>
      <c r="J25" s="408">
        <f t="shared" si="14"/>
        <v>103000</v>
      </c>
      <c r="K25" s="408">
        <f t="shared" si="12"/>
        <v>18321</v>
      </c>
      <c r="L25" s="76">
        <f t="shared" si="7"/>
        <v>5.6219638666011678</v>
      </c>
      <c r="M25" s="76"/>
      <c r="N25" s="408">
        <f t="shared" si="15"/>
        <v>95000</v>
      </c>
      <c r="O25" s="408">
        <f t="shared" si="9"/>
        <v>18321</v>
      </c>
      <c r="P25" s="76">
        <f t="shared" si="10"/>
        <v>5.18530647890399</v>
      </c>
      <c r="Q25" s="76"/>
    </row>
    <row r="26" spans="1:17" ht="13">
      <c r="A26" s="74" t="s">
        <v>30</v>
      </c>
      <c r="B26" s="408">
        <f t="shared" si="0"/>
        <v>195000</v>
      </c>
      <c r="C26" s="408">
        <f t="shared" si="1"/>
        <v>18894</v>
      </c>
      <c r="D26" s="76">
        <f t="shared" si="2"/>
        <v>10.320736741822801</v>
      </c>
      <c r="E26" s="76"/>
      <c r="F26" s="408">
        <f t="shared" si="13"/>
        <v>207000</v>
      </c>
      <c r="G26" s="408">
        <f t="shared" si="11"/>
        <v>19252</v>
      </c>
      <c r="H26" s="76">
        <f t="shared" si="5"/>
        <v>10.752129648867649</v>
      </c>
      <c r="I26" s="76"/>
      <c r="J26" s="408">
        <f t="shared" si="14"/>
        <v>232200</v>
      </c>
      <c r="K26" s="408">
        <f t="shared" si="12"/>
        <v>20060</v>
      </c>
      <c r="L26" s="76">
        <f t="shared" si="7"/>
        <v>11.575274177467596</v>
      </c>
      <c r="M26" s="76"/>
      <c r="N26" s="408">
        <f t="shared" si="15"/>
        <v>247995</v>
      </c>
      <c r="O26" s="408">
        <f t="shared" si="9"/>
        <v>20060</v>
      </c>
      <c r="P26" s="76">
        <f t="shared" si="10"/>
        <v>12.362662013958126</v>
      </c>
      <c r="Q26" s="76"/>
    </row>
    <row r="27" spans="1:17" ht="13">
      <c r="A27" s="74" t="s">
        <v>31</v>
      </c>
      <c r="B27" s="408">
        <f t="shared" si="0"/>
        <v>157500</v>
      </c>
      <c r="C27" s="408">
        <f t="shared" si="1"/>
        <v>18681</v>
      </c>
      <c r="D27" s="76">
        <f t="shared" si="2"/>
        <v>8.4310261763288903</v>
      </c>
      <c r="E27" s="76"/>
      <c r="F27" s="408">
        <f t="shared" si="13"/>
        <v>163000</v>
      </c>
      <c r="G27" s="408">
        <f t="shared" si="11"/>
        <v>18562</v>
      </c>
      <c r="H27" s="76">
        <f t="shared" si="5"/>
        <v>8.7813813166684618</v>
      </c>
      <c r="I27" s="76"/>
      <c r="J27" s="408">
        <f t="shared" si="14"/>
        <v>161044.5</v>
      </c>
      <c r="K27" s="408">
        <f t="shared" si="12"/>
        <v>18856</v>
      </c>
      <c r="L27" s="76">
        <f t="shared" si="7"/>
        <v>8.540756257955028</v>
      </c>
      <c r="M27" s="76"/>
      <c r="N27" s="408">
        <f t="shared" si="15"/>
        <v>176000</v>
      </c>
      <c r="O27" s="408">
        <f t="shared" si="9"/>
        <v>18856</v>
      </c>
      <c r="P27" s="76">
        <f t="shared" si="10"/>
        <v>9.3338990241832835</v>
      </c>
      <c r="Q27" s="76"/>
    </row>
    <row r="28" spans="1:17" ht="13">
      <c r="A28" s="74" t="s">
        <v>32</v>
      </c>
      <c r="B28" s="408">
        <f t="shared" si="0"/>
        <v>117500</v>
      </c>
      <c r="C28" s="408">
        <f t="shared" si="1"/>
        <v>18782</v>
      </c>
      <c r="D28" s="76">
        <f t="shared" si="2"/>
        <v>6.2559897774464917</v>
      </c>
      <c r="E28" s="76"/>
      <c r="F28" s="408">
        <f t="shared" si="13"/>
        <v>125000</v>
      </c>
      <c r="G28" s="408">
        <f t="shared" si="11"/>
        <v>18721</v>
      </c>
      <c r="H28" s="76">
        <f t="shared" si="5"/>
        <v>6.6769937503338497</v>
      </c>
      <c r="I28" s="76"/>
      <c r="J28" s="408">
        <f t="shared" si="14"/>
        <v>125000</v>
      </c>
      <c r="K28" s="408">
        <f t="shared" si="12"/>
        <v>19003</v>
      </c>
      <c r="L28" s="76">
        <f t="shared" si="7"/>
        <v>6.5779087512498027</v>
      </c>
      <c r="M28" s="76"/>
      <c r="N28" s="408">
        <f t="shared" si="15"/>
        <v>136500</v>
      </c>
      <c r="O28" s="408">
        <f t="shared" si="9"/>
        <v>19003</v>
      </c>
      <c r="P28" s="76">
        <f t="shared" si="10"/>
        <v>7.1830763563647846</v>
      </c>
      <c r="Q28" s="76"/>
    </row>
    <row r="29" spans="1:17" ht="13">
      <c r="A29" s="74" t="s">
        <v>33</v>
      </c>
      <c r="B29" s="408">
        <f t="shared" si="0"/>
        <v>103000</v>
      </c>
      <c r="C29" s="408">
        <f t="shared" si="1"/>
        <v>16932</v>
      </c>
      <c r="D29" s="76">
        <f t="shared" si="2"/>
        <v>6.0831561540278765</v>
      </c>
      <c r="E29" s="76"/>
      <c r="F29" s="408">
        <f t="shared" si="13"/>
        <v>110000</v>
      </c>
      <c r="G29" s="408">
        <f t="shared" si="11"/>
        <v>17080</v>
      </c>
      <c r="H29" s="76">
        <f t="shared" si="5"/>
        <v>6.4402810304449645</v>
      </c>
      <c r="I29" s="76"/>
      <c r="J29" s="408">
        <f t="shared" si="14"/>
        <v>110000</v>
      </c>
      <c r="K29" s="408">
        <f t="shared" si="12"/>
        <v>17386</v>
      </c>
      <c r="L29" s="76">
        <f t="shared" si="7"/>
        <v>6.3269297135626363</v>
      </c>
      <c r="M29" s="76"/>
      <c r="N29" s="408">
        <f t="shared" si="15"/>
        <v>120000</v>
      </c>
      <c r="O29" s="408">
        <f t="shared" si="9"/>
        <v>17386</v>
      </c>
      <c r="P29" s="76">
        <f t="shared" si="10"/>
        <v>6.902105142068331</v>
      </c>
      <c r="Q29" s="76"/>
    </row>
    <row r="30" spans="1:17" ht="13">
      <c r="A30" s="78" t="s">
        <v>34</v>
      </c>
      <c r="B30" s="408">
        <f t="shared" si="0"/>
        <v>120000</v>
      </c>
      <c r="C30" s="408">
        <f t="shared" si="1"/>
        <v>16966</v>
      </c>
      <c r="D30" s="76">
        <f t="shared" si="2"/>
        <v>7.0729694683484619</v>
      </c>
      <c r="E30" s="76"/>
      <c r="F30" s="408">
        <f t="shared" si="13"/>
        <v>120000</v>
      </c>
      <c r="G30" s="408">
        <f t="shared" si="11"/>
        <v>17070</v>
      </c>
      <c r="H30" s="76">
        <f t="shared" si="5"/>
        <v>7.0298769771528997</v>
      </c>
      <c r="I30" s="76"/>
      <c r="J30" s="408">
        <f t="shared" si="14"/>
        <v>120000</v>
      </c>
      <c r="K30" s="408">
        <f t="shared" si="12"/>
        <v>17261</v>
      </c>
      <c r="L30" s="76">
        <f t="shared" si="7"/>
        <v>6.9520885232605298</v>
      </c>
      <c r="M30" s="76"/>
      <c r="N30" s="408">
        <f t="shared" si="15"/>
        <v>127000</v>
      </c>
      <c r="O30" s="408">
        <f t="shared" si="9"/>
        <v>17261</v>
      </c>
      <c r="P30" s="76">
        <f t="shared" si="10"/>
        <v>7.3576270204507273</v>
      </c>
      <c r="Q30" s="76"/>
    </row>
    <row r="31" spans="1:17" ht="13">
      <c r="A31" s="74" t="s">
        <v>35</v>
      </c>
      <c r="B31" s="408">
        <f t="shared" si="0"/>
        <v>150000</v>
      </c>
      <c r="C31" s="408">
        <f t="shared" si="1"/>
        <v>19065</v>
      </c>
      <c r="D31" s="76">
        <f t="shared" si="2"/>
        <v>7.8678206136900082</v>
      </c>
      <c r="E31" s="76"/>
      <c r="F31" s="408">
        <f t="shared" si="13"/>
        <v>152750</v>
      </c>
      <c r="G31" s="408">
        <f t="shared" si="11"/>
        <v>19168</v>
      </c>
      <c r="H31" s="76">
        <f t="shared" si="5"/>
        <v>7.9690108514190321</v>
      </c>
      <c r="I31" s="76"/>
      <c r="J31" s="408">
        <f t="shared" si="14"/>
        <v>170908</v>
      </c>
      <c r="K31" s="408">
        <f t="shared" si="12"/>
        <v>19893</v>
      </c>
      <c r="L31" s="76">
        <f t="shared" si="7"/>
        <v>8.5913637963102598</v>
      </c>
      <c r="M31" s="76"/>
      <c r="N31" s="408">
        <f t="shared" si="15"/>
        <v>195000</v>
      </c>
      <c r="O31" s="408">
        <f t="shared" si="9"/>
        <v>19893</v>
      </c>
      <c r="P31" s="76">
        <f t="shared" si="10"/>
        <v>9.8024430704267829</v>
      </c>
      <c r="Q31" s="76"/>
    </row>
    <row r="32" spans="1:17" ht="13">
      <c r="A32" s="74" t="s">
        <v>36</v>
      </c>
      <c r="B32" s="408">
        <f t="shared" si="0"/>
        <v>175580</v>
      </c>
      <c r="C32" s="408">
        <f t="shared" si="1"/>
        <v>21149</v>
      </c>
      <c r="D32" s="76">
        <f t="shared" si="2"/>
        <v>8.3020473781266251</v>
      </c>
      <c r="E32" s="76"/>
      <c r="F32" s="408">
        <f t="shared" si="13"/>
        <v>190000</v>
      </c>
      <c r="G32" s="408">
        <f t="shared" si="11"/>
        <v>21127</v>
      </c>
      <c r="H32" s="76">
        <f t="shared" si="5"/>
        <v>8.9932314100440198</v>
      </c>
      <c r="I32" s="76"/>
      <c r="J32" s="408">
        <f t="shared" si="14"/>
        <v>197500</v>
      </c>
      <c r="K32" s="408">
        <f t="shared" si="12"/>
        <v>21639</v>
      </c>
      <c r="L32" s="76">
        <f t="shared" si="7"/>
        <v>9.1270391422893855</v>
      </c>
      <c r="M32" s="76"/>
      <c r="N32" s="408">
        <f t="shared" si="15"/>
        <v>210325</v>
      </c>
      <c r="O32" s="408">
        <f t="shared" si="9"/>
        <v>21639</v>
      </c>
      <c r="P32" s="76">
        <f t="shared" si="10"/>
        <v>9.7197190258329869</v>
      </c>
      <c r="Q32" s="76"/>
    </row>
    <row r="33" spans="1:17" ht="13">
      <c r="A33" s="74" t="s">
        <v>37</v>
      </c>
      <c r="B33" s="408">
        <f t="shared" si="0"/>
        <v>125000</v>
      </c>
      <c r="C33" s="408">
        <f t="shared" si="1"/>
        <v>18130</v>
      </c>
      <c r="D33" s="76">
        <f t="shared" si="2"/>
        <v>6.8946497517926089</v>
      </c>
      <c r="E33" s="76"/>
      <c r="F33" s="408">
        <f t="shared" si="13"/>
        <v>130000</v>
      </c>
      <c r="G33" s="408">
        <f t="shared" si="11"/>
        <v>18075</v>
      </c>
      <c r="H33" s="76">
        <f t="shared" si="5"/>
        <v>7.1922544951590597</v>
      </c>
      <c r="I33" s="76"/>
      <c r="J33" s="408">
        <f t="shared" si="14"/>
        <v>134375</v>
      </c>
      <c r="K33" s="408">
        <f t="shared" si="12"/>
        <v>18062</v>
      </c>
      <c r="L33" s="76">
        <f t="shared" si="7"/>
        <v>7.439652308714428</v>
      </c>
      <c r="M33" s="76"/>
      <c r="N33" s="408">
        <f t="shared" si="15"/>
        <v>140100</v>
      </c>
      <c r="O33" s="408">
        <f t="shared" si="9"/>
        <v>18062</v>
      </c>
      <c r="P33" s="76">
        <f t="shared" si="10"/>
        <v>7.7566161000996567</v>
      </c>
      <c r="Q33" s="76"/>
    </row>
    <row r="34" spans="1:17" ht="13">
      <c r="A34" s="74" t="s">
        <v>38</v>
      </c>
      <c r="B34" s="408">
        <f t="shared" si="0"/>
        <v>145000</v>
      </c>
      <c r="C34" s="408">
        <f t="shared" si="1"/>
        <v>19711</v>
      </c>
      <c r="D34" s="76">
        <f t="shared" si="2"/>
        <v>7.3562985135203691</v>
      </c>
      <c r="E34" s="76"/>
      <c r="F34" s="408">
        <f t="shared" si="13"/>
        <v>160000</v>
      </c>
      <c r="G34" s="408">
        <f t="shared" si="11"/>
        <v>19817</v>
      </c>
      <c r="H34" s="76">
        <f t="shared" si="5"/>
        <v>8.0738759650804859</v>
      </c>
      <c r="I34" s="76"/>
      <c r="J34" s="408">
        <f t="shared" si="14"/>
        <v>165000</v>
      </c>
      <c r="K34" s="408">
        <f t="shared" si="12"/>
        <v>20174</v>
      </c>
      <c r="L34" s="76">
        <f t="shared" si="7"/>
        <v>8.1788440567066516</v>
      </c>
      <c r="M34" s="76"/>
      <c r="N34" s="408">
        <f t="shared" si="15"/>
        <v>172500</v>
      </c>
      <c r="O34" s="408">
        <f t="shared" si="9"/>
        <v>20174</v>
      </c>
      <c r="P34" s="76">
        <f t="shared" si="10"/>
        <v>8.5506096956478643</v>
      </c>
      <c r="Q34" s="76"/>
    </row>
    <row r="35" spans="1:17" ht="13">
      <c r="A35" s="74" t="s">
        <v>39</v>
      </c>
      <c r="B35" s="408">
        <f t="shared" si="0"/>
        <v>155000</v>
      </c>
      <c r="C35" s="408">
        <f t="shared" si="1"/>
        <v>20622</v>
      </c>
      <c r="D35" s="76">
        <f t="shared" si="2"/>
        <v>7.5162447871205504</v>
      </c>
      <c r="E35" s="76"/>
      <c r="F35" s="408">
        <f t="shared" si="13"/>
        <v>152500</v>
      </c>
      <c r="G35" s="408">
        <f t="shared" si="11"/>
        <v>20659</v>
      </c>
      <c r="H35" s="76">
        <f t="shared" si="5"/>
        <v>7.3817706568565757</v>
      </c>
      <c r="I35" s="76"/>
      <c r="J35" s="408">
        <f t="shared" si="14"/>
        <v>163000</v>
      </c>
      <c r="K35" s="408">
        <f t="shared" si="12"/>
        <v>20907</v>
      </c>
      <c r="L35" s="76">
        <f t="shared" si="7"/>
        <v>7.7964318170947529</v>
      </c>
      <c r="M35" s="76"/>
      <c r="N35" s="408">
        <f t="shared" si="15"/>
        <v>178000</v>
      </c>
      <c r="O35" s="408">
        <f t="shared" si="9"/>
        <v>20907</v>
      </c>
      <c r="P35" s="76">
        <f t="shared" si="10"/>
        <v>8.5138948677476449</v>
      </c>
      <c r="Q35" s="76"/>
    </row>
    <row r="36" spans="1:17" ht="13">
      <c r="A36" s="74" t="s">
        <v>40</v>
      </c>
      <c r="B36" s="408">
        <f t="shared" si="0"/>
        <v>130000</v>
      </c>
      <c r="C36" s="408">
        <f t="shared" si="1"/>
        <v>18775</v>
      </c>
      <c r="D36" s="76">
        <f t="shared" si="2"/>
        <v>6.9241011984021306</v>
      </c>
      <c r="E36" s="76"/>
      <c r="F36" s="408">
        <f t="shared" si="13"/>
        <v>146875</v>
      </c>
      <c r="G36" s="408">
        <f t="shared" si="11"/>
        <v>18762</v>
      </c>
      <c r="H36" s="76">
        <f t="shared" si="5"/>
        <v>7.8283232064811852</v>
      </c>
      <c r="I36" s="76"/>
      <c r="J36" s="408">
        <f t="shared" si="14"/>
        <v>155000</v>
      </c>
      <c r="K36" s="408">
        <f t="shared" si="12"/>
        <v>19760</v>
      </c>
      <c r="L36" s="76">
        <f t="shared" si="7"/>
        <v>7.8441295546558703</v>
      </c>
      <c r="M36" s="76"/>
      <c r="N36" s="408">
        <f t="shared" si="15"/>
        <v>161500</v>
      </c>
      <c r="O36" s="408">
        <f t="shared" si="9"/>
        <v>19760</v>
      </c>
      <c r="P36" s="76">
        <f t="shared" si="10"/>
        <v>8.1730769230769234</v>
      </c>
      <c r="Q36" s="76"/>
    </row>
    <row r="37" spans="1:17" ht="13">
      <c r="A37" s="78" t="s">
        <v>41</v>
      </c>
      <c r="B37" s="408">
        <f t="shared" si="0"/>
        <v>138000</v>
      </c>
      <c r="C37" s="408">
        <f t="shared" si="1"/>
        <v>18797</v>
      </c>
      <c r="D37" s="76">
        <f t="shared" si="2"/>
        <v>7.3415970633611742</v>
      </c>
      <c r="E37" s="76"/>
      <c r="F37" s="408">
        <f t="shared" si="13"/>
        <v>140099</v>
      </c>
      <c r="G37" s="408">
        <f t="shared" si="11"/>
        <v>18926</v>
      </c>
      <c r="H37" s="76">
        <f t="shared" si="5"/>
        <v>7.4024622212828914</v>
      </c>
      <c r="I37" s="76"/>
      <c r="J37" s="408">
        <f t="shared" si="14"/>
        <v>147997.5</v>
      </c>
      <c r="K37" s="408">
        <f t="shared" si="12"/>
        <v>19404</v>
      </c>
      <c r="L37" s="76">
        <f t="shared" si="7"/>
        <v>7.6271645021645025</v>
      </c>
      <c r="M37" s="76"/>
      <c r="N37" s="408">
        <f t="shared" si="15"/>
        <v>156997</v>
      </c>
      <c r="O37" s="408">
        <f t="shared" si="9"/>
        <v>19404</v>
      </c>
      <c r="P37" s="76">
        <f t="shared" si="10"/>
        <v>8.0909606266749119</v>
      </c>
      <c r="Q37" s="76"/>
    </row>
    <row r="38" spans="1:17" ht="13">
      <c r="A38" s="74" t="s">
        <v>42</v>
      </c>
      <c r="B38" s="408">
        <f t="shared" si="0"/>
        <v>168000</v>
      </c>
      <c r="C38" s="408">
        <f t="shared" si="1"/>
        <v>20851</v>
      </c>
      <c r="D38" s="76">
        <f t="shared" si="2"/>
        <v>8.057167521941393</v>
      </c>
      <c r="E38" s="76"/>
      <c r="F38" s="408">
        <f t="shared" si="13"/>
        <v>189995</v>
      </c>
      <c r="G38" s="408">
        <f t="shared" si="11"/>
        <v>20416</v>
      </c>
      <c r="H38" s="76">
        <f t="shared" si="5"/>
        <v>9.3061814263322891</v>
      </c>
      <c r="I38" s="76"/>
      <c r="J38" s="408">
        <f t="shared" si="14"/>
        <v>187500</v>
      </c>
      <c r="K38" s="408">
        <f t="shared" si="12"/>
        <v>21455</v>
      </c>
      <c r="L38" s="76">
        <f t="shared" si="7"/>
        <v>8.7392216266604521</v>
      </c>
      <c r="M38" s="76"/>
      <c r="N38" s="408">
        <f t="shared" si="15"/>
        <v>197100</v>
      </c>
      <c r="O38" s="408">
        <f t="shared" si="9"/>
        <v>21455</v>
      </c>
      <c r="P38" s="76">
        <f t="shared" si="10"/>
        <v>9.1866697739454679</v>
      </c>
      <c r="Q38" s="76"/>
    </row>
    <row r="39" spans="1:17" ht="13">
      <c r="A39" s="78" t="s">
        <v>43</v>
      </c>
      <c r="B39" s="408">
        <f t="shared" si="0"/>
        <v>103000</v>
      </c>
      <c r="C39" s="408">
        <f>INDEX($A$51:$E$83,MATCH($A39,$A$51:$A$83,0),MATCH(D$1,$A$51:$E$51,0))</f>
        <v>16493</v>
      </c>
      <c r="D39" s="76">
        <f t="shared" si="2"/>
        <v>6.2450736676165644</v>
      </c>
      <c r="E39" s="76"/>
      <c r="F39" s="408">
        <f t="shared" si="13"/>
        <v>105000</v>
      </c>
      <c r="G39" s="408">
        <f t="shared" si="11"/>
        <v>16457</v>
      </c>
      <c r="H39" s="76">
        <f t="shared" si="5"/>
        <v>6.3802637175669927</v>
      </c>
      <c r="I39" s="76"/>
      <c r="J39" s="408">
        <f t="shared" si="14"/>
        <v>106050</v>
      </c>
      <c r="K39" s="408">
        <f t="shared" si="12"/>
        <v>16926</v>
      </c>
      <c r="L39" s="76">
        <f t="shared" si="7"/>
        <v>6.2655086848635237</v>
      </c>
      <c r="M39" s="76"/>
      <c r="N39" s="408">
        <f t="shared" si="15"/>
        <v>115000</v>
      </c>
      <c r="O39" s="408">
        <f t="shared" si="9"/>
        <v>16926</v>
      </c>
      <c r="P39" s="76">
        <f t="shared" si="10"/>
        <v>6.7942809878293753</v>
      </c>
      <c r="Q39" s="76"/>
    </row>
    <row r="40" spans="1:17" ht="13">
      <c r="A40" s="74" t="s">
        <v>44</v>
      </c>
      <c r="B40" s="408">
        <f t="shared" si="0"/>
        <v>157500</v>
      </c>
      <c r="C40" s="408">
        <f t="shared" si="1"/>
        <v>18513</v>
      </c>
      <c r="D40" s="76">
        <f t="shared" si="2"/>
        <v>8.5075352455031599</v>
      </c>
      <c r="E40" s="76"/>
      <c r="F40" s="408">
        <f t="shared" si="13"/>
        <v>166972.5</v>
      </c>
      <c r="G40" s="408">
        <f t="shared" si="11"/>
        <v>18624</v>
      </c>
      <c r="H40" s="76">
        <f t="shared" si="5"/>
        <v>8.9654478092783503</v>
      </c>
      <c r="I40" s="76"/>
      <c r="J40" s="408">
        <f t="shared" si="14"/>
        <v>180000</v>
      </c>
      <c r="K40" s="408">
        <f t="shared" si="12"/>
        <v>19010</v>
      </c>
      <c r="L40" s="76">
        <f t="shared" si="7"/>
        <v>9.4687006838506047</v>
      </c>
      <c r="M40" s="76"/>
      <c r="N40" s="408">
        <f t="shared" si="15"/>
        <v>188000</v>
      </c>
      <c r="O40" s="408">
        <f t="shared" si="9"/>
        <v>19010</v>
      </c>
      <c r="P40" s="76">
        <f t="shared" si="10"/>
        <v>9.8895318253550766</v>
      </c>
      <c r="Q40" s="76"/>
    </row>
    <row r="41" spans="1:17" ht="13">
      <c r="A41" s="74"/>
      <c r="B41" s="75"/>
      <c r="C41" s="75"/>
      <c r="D41" s="76"/>
      <c r="E41" s="76"/>
      <c r="F41" s="75"/>
      <c r="G41" s="75"/>
      <c r="H41" s="76"/>
      <c r="I41" s="76"/>
      <c r="J41" s="75"/>
      <c r="K41" s="75"/>
      <c r="L41" s="76"/>
      <c r="M41" s="76"/>
      <c r="N41" s="75"/>
      <c r="O41" s="75"/>
      <c r="P41" s="76"/>
      <c r="Q41" s="76"/>
    </row>
    <row r="42" spans="1:17" ht="13">
      <c r="A42" s="74" t="s">
        <v>543</v>
      </c>
      <c r="B42" s="75"/>
      <c r="C42" s="75"/>
      <c r="D42" s="409" cm="1">
        <f t="array" ref="D42">AVERAGE(AVERAGEIFS(D$9:D$40,$A$9:$A$40,{"Argyll and Bute","Shetland Islands","Highland","Orkney Islands","Scottish Borders","Dumfries and Galloway","Aberdeenshire"}))</f>
        <v>7.793519089730764</v>
      </c>
      <c r="E42" s="76"/>
      <c r="F42" s="75"/>
      <c r="G42" s="75"/>
      <c r="H42" s="409" cm="1">
        <f t="array" ref="H42">AVERAGE(AVERAGEIFS(H$9:H$40,$A$9:$A$40,{"Argyll and Bute","Shetland Islands","Highland","Orkney Islands","Scottish Borders","Dumfries and Galloway","Aberdeenshire"}))</f>
        <v>7.991670954763431</v>
      </c>
      <c r="I42" s="76"/>
      <c r="J42" s="75"/>
      <c r="K42" s="75"/>
      <c r="L42" s="409" cm="1">
        <f t="array" ref="L42">AVERAGE(AVERAGEIFS(L$9:L$40,$A$9:$A$40,{"Argyll and Bute","Shetland Islands","Highland","Orkney Islands","Scottish Borders","Dumfries and Galloway","Aberdeenshire"}))</f>
        <v>8.3138440505470275</v>
      </c>
      <c r="M42" s="76"/>
      <c r="N42" s="75"/>
      <c r="O42" s="75"/>
      <c r="P42" s="409" cm="1">
        <f t="array" ref="P42">AVERAGE(AVERAGEIFS(P$9:P$40,$A$9:$A$40,{"Argyll and Bute","Shetland Islands","Highland","Orkney Islands","Scottish Borders","Dumfries and Galloway","Aberdeenshire"}))</f>
        <v>8.9726829065419462</v>
      </c>
      <c r="Q42" s="76"/>
    </row>
    <row r="43" spans="1:17" ht="13">
      <c r="A43" s="74" t="s">
        <v>544</v>
      </c>
      <c r="B43" s="75"/>
      <c r="C43" s="75"/>
      <c r="D43" s="409" cm="1">
        <f t="array" ref="D43">AVERAGE(AVERAGEIFS(D$9:D$40,$A$9:$A$40,{"Perth and Kinross","Stirling","Moray","South Ayrshire","East Ayrshire","East Lothian","North Ayrshire","Fife"}))</f>
        <v>7.6266208625412588</v>
      </c>
      <c r="E43" s="76"/>
      <c r="F43" s="75"/>
      <c r="G43" s="75"/>
      <c r="H43" s="409" cm="1">
        <f t="array" ref="H43">AVERAGE(AVERAGEIFS(H$9:H$40,$A$9:$A$40,{"Perth and Kinross","Stirling","Moray","South Ayrshire","East Ayrshire","East Lothian","North Ayrshire","Fife"}))</f>
        <v>8.2804387667126989</v>
      </c>
      <c r="I43" s="76"/>
      <c r="J43" s="75"/>
      <c r="K43" s="75"/>
      <c r="L43" s="409" cm="1">
        <f t="array" ref="L43">AVERAGE(AVERAGEIFS(L$9:L$40,$A$9:$A$40,{"Perth and Kinross","Stirling","Moray","South Ayrshire","East Ayrshire","East Lothian","North Ayrshire","Fife"}))</f>
        <v>8.1970601271529819</v>
      </c>
      <c r="M43" s="76"/>
      <c r="N43" s="75"/>
      <c r="O43" s="75"/>
      <c r="P43" s="409" cm="1">
        <f t="array" ref="P43">AVERAGE(AVERAGEIFS(P$9:P$40,$A$9:$A$40,{"Perth and Kinross","Stirling","Moray","South Ayrshire","East Ayrshire","East Lothian","North Ayrshire","Fife"}))</f>
        <v>8.7583859941183029</v>
      </c>
      <c r="Q43" s="76"/>
    </row>
    <row r="44" spans="1:17" ht="13">
      <c r="A44" s="74" t="s">
        <v>545</v>
      </c>
      <c r="B44" s="75"/>
      <c r="C44" s="75"/>
      <c r="D44" s="409" cm="1">
        <f t="array" ref="D44">AVERAGE(AVERAGEIFS(D$9:D$40,$A$9:$A$40,{"Angus","Clackmannanshire","Midlothian","South Lanarkshire","Inverclyde","Renfrewshire","West Lothian","East Renfrewshire"}))</f>
        <v>7.9825015746587473</v>
      </c>
      <c r="E44" s="76"/>
      <c r="F44" s="75"/>
      <c r="G44" s="75"/>
      <c r="H44" s="409" cm="1">
        <f t="array" ref="H44">AVERAGE(AVERAGEIFS(H$9:H$40,$A$9:$A$40,{"Angus","Clackmannanshire","Midlothian","South Lanarkshire","Inverclyde","Renfrewshire","West Lothian","East Renfrewshire"}))</f>
        <v>8.3422830389786906</v>
      </c>
      <c r="I44" s="76"/>
      <c r="J44" s="75"/>
      <c r="K44" s="75"/>
      <c r="L44" s="409" cm="1">
        <f t="array" ref="L44">AVERAGE(AVERAGEIFS(L$9:L$40,$A$9:$A$40,{"Angus","Clackmannanshire","Midlothian","South Lanarkshire","Inverclyde","Renfrewshire","West Lothian","East Renfrewshire"}))</f>
        <v>8.6103092114776629</v>
      </c>
      <c r="M44" s="76"/>
      <c r="N44" s="75"/>
      <c r="O44" s="75"/>
      <c r="P44" s="409" cm="1">
        <f t="array" ref="P44">AVERAGE(AVERAGEIFS(P$9:P$40,$A$9:$A$40,{"Angus","Clackmannanshire","Midlothian","South Lanarkshire","Inverclyde","Renfrewshire","West Lothian","East Renfrewshire"}))</f>
        <v>8.9952019750573768</v>
      </c>
      <c r="Q44" s="76"/>
    </row>
    <row r="45" spans="1:17" ht="13">
      <c r="A45" s="74" t="s">
        <v>546</v>
      </c>
      <c r="B45" s="75"/>
      <c r="C45" s="75"/>
      <c r="D45" s="409" cm="1">
        <f t="array" ref="D45">AVERAGE(AVERAGEIFS(D$9:D$40,$A$9:$A$40,{"North Lanarkshire","Falkirk","East Dunbartonshire","Aberdeen City","Edinburgh, City of","West Dunbartonshire","Dundee City","Glasgow City"}))</f>
        <v>7.805597492395564</v>
      </c>
      <c r="E45" s="76"/>
      <c r="F45" s="75"/>
      <c r="G45" s="75"/>
      <c r="H45" s="409" cm="1">
        <f t="array" ref="H45">AVERAGE(AVERAGEIFS(H$9:H$40,$A$9:$A$40,{"North Lanarkshire","Falkirk","East Dunbartonshire","Aberdeen City","Edinburgh, City of","West Dunbartonshire","Dundee City","Glasgow City"}))</f>
        <v>8.0669210527824671</v>
      </c>
      <c r="I45" s="76"/>
      <c r="J45" s="75"/>
      <c r="K45" s="75"/>
      <c r="L45" s="409" cm="1">
        <f t="array" ref="L45">AVERAGE(AVERAGEIFS(L$9:L$40,$A$9:$A$40,{"North Lanarkshire","Falkirk","East Dunbartonshire","Aberdeen City","Edinburgh, City of","West Dunbartonshire","Dundee City","Glasgow City"}))</f>
        <v>8.146929691855231</v>
      </c>
      <c r="M45" s="76"/>
      <c r="N45" s="75"/>
      <c r="O45" s="75"/>
      <c r="P45" s="409" cm="1">
        <f t="array" ref="P45">AVERAGE(AVERAGEIFS(P$9:P$40,$A$9:$A$40,{"North Lanarkshire","Falkirk","East Dunbartonshire","Aberdeen City","Edinburgh, City of","West Dunbartonshire","Dundee City","Glasgow City"}))</f>
        <v>8.4811772909633341</v>
      </c>
      <c r="Q45" s="76"/>
    </row>
    <row r="46" spans="1:17" ht="13">
      <c r="A46" s="74"/>
      <c r="B46" s="75"/>
      <c r="C46" s="75"/>
      <c r="D46" s="76"/>
      <c r="E46" s="76"/>
      <c r="F46" s="75"/>
      <c r="G46" s="75"/>
      <c r="H46" s="76"/>
      <c r="I46" s="76"/>
      <c r="J46" s="75"/>
      <c r="K46" s="75"/>
      <c r="L46" s="76"/>
      <c r="M46" s="76"/>
      <c r="N46" s="75"/>
      <c r="O46" s="75"/>
      <c r="P46" s="76"/>
      <c r="Q46" s="76"/>
    </row>
    <row r="47" spans="1:17" ht="13">
      <c r="A47" s="77" t="s">
        <v>47</v>
      </c>
      <c r="B47" s="75">
        <f>AVERAGE(B39,B37,B30,B25,B23,B20,B33,B18)</f>
        <v>147000</v>
      </c>
      <c r="C47" s="75">
        <f>AVERAGE(C39,C37,C30,C25,C23,C20,C33,C18)</f>
        <v>18853.125</v>
      </c>
      <c r="D47" s="76">
        <f t="shared" ref="D47:D48" si="16">B47/C47</f>
        <v>7.7971158627548487</v>
      </c>
      <c r="E47" s="76"/>
      <c r="F47" s="75">
        <f>AVERAGE(F39,F37,F30,F25,F23,F20,F33,F18)</f>
        <v>152026</v>
      </c>
      <c r="G47" s="75">
        <f>AVERAGE(G39,G37,G30,G25,G23,G20,G33,G18)</f>
        <v>18766.375</v>
      </c>
      <c r="H47" s="76">
        <f t="shared" ref="H47:H48" si="17">F47/G47</f>
        <v>8.1009784787951862</v>
      </c>
      <c r="I47" s="76"/>
      <c r="J47" s="75">
        <f>AVERAGE(J39,J37,J30,J25,J23,J20,J33,J18)</f>
        <v>158002.8125</v>
      </c>
      <c r="K47" s="75">
        <f>AVERAGE(K39,K37,K30,K25,K23,K20,K33,K18)</f>
        <v>19359.75</v>
      </c>
      <c r="L47" s="76">
        <f t="shared" ref="L47:L48" si="18">J47/K47</f>
        <v>8.1614076886323428</v>
      </c>
      <c r="M47" s="76"/>
      <c r="N47" s="75">
        <f>AVERAGE(N39,N37,N30,N25,N23,N20,N33,N18)</f>
        <v>166149.625</v>
      </c>
      <c r="O47" s="75">
        <f>AVERAGE(O39,O37,O30,O25,O23,O20,O33,O18)</f>
        <v>19359.75</v>
      </c>
      <c r="P47" s="76">
        <f>N47/O47</f>
        <v>8.5822195534549781</v>
      </c>
      <c r="Q47" s="76"/>
    </row>
    <row r="48" spans="1:17" ht="13">
      <c r="A48" s="79" t="s">
        <v>45</v>
      </c>
      <c r="B48" s="408">
        <f>INDEX($B$92:$F$126,MATCH($A48,$B$92:$B$126,0),MATCH(D$1,$B$92:$F$92,0))</f>
        <v>155000</v>
      </c>
      <c r="C48" s="75">
        <v>18628</v>
      </c>
      <c r="D48" s="76">
        <f t="shared" si="16"/>
        <v>8.3208073867296548</v>
      </c>
      <c r="E48" s="76"/>
      <c r="F48" s="408">
        <f t="shared" ref="F48" si="19">INDEX($B$92:$F$126,MATCH($A48,$B$92:$B$126,0),MATCH(H$1,$B$92:$F$92,0))</f>
        <v>162000</v>
      </c>
      <c r="G48" s="435">
        <v>19291</v>
      </c>
      <c r="H48" s="76">
        <f t="shared" si="17"/>
        <v>8.3976984085843132</v>
      </c>
      <c r="I48" s="76"/>
      <c r="J48" s="408">
        <f t="shared" ref="J48" si="20">INDEX($B$92:$F$126,MATCH($A48,$B$92:$B$126,0),MATCH(L$1,$B$92:$F$92,0))</f>
        <v>171000</v>
      </c>
      <c r="K48" s="435">
        <v>19173</v>
      </c>
      <c r="L48" s="76">
        <f t="shared" si="18"/>
        <v>8.9187920513221712</v>
      </c>
      <c r="M48" s="76"/>
      <c r="N48" s="408">
        <f t="shared" ref="N48" si="21">INDEX($B$92:$F$126,MATCH($A48,$B$92:$B$126,0),MATCH(P$1,$B$92:$F$92,0))</f>
        <v>180000</v>
      </c>
      <c r="O48" s="435">
        <v>19630</v>
      </c>
      <c r="P48" s="76">
        <f t="shared" ref="P48" si="22">N48/O48</f>
        <v>9.169638308711157</v>
      </c>
      <c r="Q48" s="76"/>
    </row>
    <row r="50" spans="1:5" ht="15.5">
      <c r="A50" s="373" t="s">
        <v>635</v>
      </c>
      <c r="B50" s="150" t="s">
        <v>636</v>
      </c>
      <c r="C50" s="374"/>
      <c r="D50" s="375"/>
      <c r="E50" s="376"/>
    </row>
    <row r="51" spans="1:5" ht="15.5">
      <c r="A51" s="377" t="s">
        <v>634</v>
      </c>
      <c r="B51" s="73">
        <v>2019</v>
      </c>
      <c r="C51" s="73">
        <v>2020</v>
      </c>
      <c r="D51" s="73">
        <v>2021</v>
      </c>
      <c r="E51" s="73">
        <v>2022</v>
      </c>
    </row>
    <row r="52" spans="1:5" ht="15.5">
      <c r="A52" s="149" t="s">
        <v>14</v>
      </c>
      <c r="B52" s="378">
        <v>21274</v>
      </c>
      <c r="C52" s="378">
        <v>20697</v>
      </c>
      <c r="D52" s="378">
        <v>20871</v>
      </c>
      <c r="E52" s="378">
        <v>21004</v>
      </c>
    </row>
    <row r="53" spans="1:5" ht="15.5">
      <c r="A53" s="149" t="s">
        <v>15</v>
      </c>
      <c r="B53" s="378">
        <v>22258</v>
      </c>
      <c r="C53" s="378">
        <v>21906</v>
      </c>
      <c r="D53" s="378">
        <v>22259</v>
      </c>
      <c r="E53" s="378">
        <v>23174</v>
      </c>
    </row>
    <row r="54" spans="1:5" ht="15.5">
      <c r="A54" s="149" t="s">
        <v>28</v>
      </c>
      <c r="B54" s="378">
        <v>19805</v>
      </c>
      <c r="C54" s="378">
        <v>19656</v>
      </c>
      <c r="D54" s="378">
        <v>20194</v>
      </c>
      <c r="E54" s="378">
        <v>21303</v>
      </c>
    </row>
    <row r="55" spans="1:5" ht="15.5">
      <c r="A55" s="149" t="s">
        <v>31</v>
      </c>
      <c r="B55" s="378">
        <v>18681</v>
      </c>
      <c r="C55" s="378">
        <v>18562</v>
      </c>
      <c r="D55" s="378">
        <v>18856</v>
      </c>
      <c r="E55" s="378">
        <v>19844</v>
      </c>
    </row>
    <row r="56" spans="1:5" ht="15.5">
      <c r="A56" s="149" t="s">
        <v>33</v>
      </c>
      <c r="B56" s="378">
        <v>16932</v>
      </c>
      <c r="C56" s="378">
        <v>17080</v>
      </c>
      <c r="D56" s="378">
        <v>17386</v>
      </c>
      <c r="E56" s="378">
        <v>18353</v>
      </c>
    </row>
    <row r="57" spans="1:5" ht="15.5">
      <c r="A57" s="149" t="s">
        <v>17</v>
      </c>
      <c r="B57" s="378">
        <v>19263</v>
      </c>
      <c r="C57" s="378">
        <v>19286</v>
      </c>
      <c r="D57" s="378">
        <v>19536</v>
      </c>
      <c r="E57" s="378">
        <v>20701</v>
      </c>
    </row>
    <row r="58" spans="1:5" ht="15.5">
      <c r="A58" s="149" t="s">
        <v>32</v>
      </c>
      <c r="B58" s="378">
        <v>18782</v>
      </c>
      <c r="C58" s="378">
        <v>18721</v>
      </c>
      <c r="D58" s="378">
        <v>19003</v>
      </c>
      <c r="E58" s="378">
        <v>20233</v>
      </c>
    </row>
    <row r="59" spans="1:5" ht="15.5">
      <c r="A59" s="149" t="s">
        <v>35</v>
      </c>
      <c r="B59" s="378">
        <v>19065</v>
      </c>
      <c r="C59" s="378">
        <v>19168</v>
      </c>
      <c r="D59" s="378">
        <v>19893</v>
      </c>
      <c r="E59" s="378">
        <v>21132</v>
      </c>
    </row>
    <row r="60" spans="1:5" ht="15.5">
      <c r="A60" s="149" t="s">
        <v>39</v>
      </c>
      <c r="B60" s="378">
        <v>20622</v>
      </c>
      <c r="C60" s="378">
        <v>20659</v>
      </c>
      <c r="D60" s="378">
        <v>20907</v>
      </c>
      <c r="E60" s="378">
        <v>22025</v>
      </c>
    </row>
    <row r="61" spans="1:5" ht="15.5">
      <c r="A61" s="149" t="s">
        <v>16</v>
      </c>
      <c r="B61" s="378">
        <v>19437</v>
      </c>
      <c r="C61" s="378">
        <v>19211</v>
      </c>
      <c r="D61" s="378">
        <v>19346</v>
      </c>
      <c r="E61" s="378">
        <v>20352</v>
      </c>
    </row>
    <row r="62" spans="1:5" ht="15.5">
      <c r="A62" s="149" t="s">
        <v>20</v>
      </c>
      <c r="B62" s="378">
        <v>16404</v>
      </c>
      <c r="C62" s="378">
        <v>16547</v>
      </c>
      <c r="D62" s="378">
        <v>17066</v>
      </c>
      <c r="E62" s="378">
        <v>17653</v>
      </c>
    </row>
    <row r="63" spans="1:5" ht="15.5">
      <c r="A63" s="149" t="s">
        <v>18</v>
      </c>
      <c r="B63" s="378">
        <v>19749</v>
      </c>
      <c r="C63" s="378">
        <v>19318</v>
      </c>
      <c r="D63" s="378">
        <v>19171</v>
      </c>
      <c r="E63" s="378">
        <v>19846</v>
      </c>
    </row>
    <row r="64" spans="1:5" ht="15.5">
      <c r="A64" s="149" t="s">
        <v>26</v>
      </c>
      <c r="B64" s="378">
        <v>17841</v>
      </c>
      <c r="C64" s="378">
        <v>17963</v>
      </c>
      <c r="D64" s="378">
        <v>18338</v>
      </c>
      <c r="E64" s="378">
        <v>19314</v>
      </c>
    </row>
    <row r="65" spans="1:5" ht="15.5">
      <c r="A65" s="149" t="s">
        <v>23</v>
      </c>
      <c r="B65" s="378">
        <v>22457</v>
      </c>
      <c r="C65" s="378">
        <v>22303</v>
      </c>
      <c r="D65" s="378">
        <v>22842</v>
      </c>
      <c r="E65" s="378">
        <v>23988</v>
      </c>
    </row>
    <row r="66" spans="1:5" ht="15.5">
      <c r="A66" s="149" t="s">
        <v>30</v>
      </c>
      <c r="B66" s="378">
        <v>18894</v>
      </c>
      <c r="C66" s="378">
        <v>19252</v>
      </c>
      <c r="D66" s="378">
        <v>20060</v>
      </c>
      <c r="E66" s="378">
        <v>20997</v>
      </c>
    </row>
    <row r="67" spans="1:5" ht="15.5">
      <c r="A67" s="74" t="s">
        <v>189</v>
      </c>
      <c r="B67" s="378">
        <v>24418</v>
      </c>
      <c r="C67" s="378">
        <v>24006</v>
      </c>
      <c r="D67" s="378">
        <v>25272</v>
      </c>
      <c r="E67" s="378">
        <v>26565</v>
      </c>
    </row>
    <row r="68" spans="1:5" ht="15.5">
      <c r="A68" s="149" t="s">
        <v>25</v>
      </c>
      <c r="B68" s="378">
        <v>18319</v>
      </c>
      <c r="C68" s="378">
        <v>18276</v>
      </c>
      <c r="D68" s="378">
        <v>18611</v>
      </c>
      <c r="E68" s="378">
        <v>19559</v>
      </c>
    </row>
    <row r="69" spans="1:5" ht="15.5">
      <c r="A69" s="149" t="s">
        <v>36</v>
      </c>
      <c r="B69" s="378">
        <v>21149</v>
      </c>
      <c r="C69" s="378">
        <v>21127</v>
      </c>
      <c r="D69" s="378">
        <v>21639</v>
      </c>
      <c r="E69" s="378">
        <v>22833</v>
      </c>
    </row>
    <row r="70" spans="1:5" ht="15.5">
      <c r="A70" s="149" t="s">
        <v>42</v>
      </c>
      <c r="B70" s="378">
        <v>20851</v>
      </c>
      <c r="C70" s="378">
        <v>20416</v>
      </c>
      <c r="D70" s="378">
        <v>21455</v>
      </c>
      <c r="E70" s="378">
        <v>22756</v>
      </c>
    </row>
    <row r="71" spans="1:5" ht="15.5">
      <c r="A71" s="149" t="s">
        <v>44</v>
      </c>
      <c r="B71" s="378">
        <v>18513</v>
      </c>
      <c r="C71" s="378">
        <v>18624</v>
      </c>
      <c r="D71" s="378">
        <v>19010</v>
      </c>
      <c r="E71" s="378">
        <v>20355</v>
      </c>
    </row>
    <row r="72" spans="1:5" ht="15.5">
      <c r="A72" s="149" t="s">
        <v>43</v>
      </c>
      <c r="B72" s="378">
        <v>16493</v>
      </c>
      <c r="C72" s="378">
        <v>16457</v>
      </c>
      <c r="D72" s="378">
        <v>16926</v>
      </c>
      <c r="E72" s="378">
        <v>17602</v>
      </c>
    </row>
    <row r="73" spans="1:5" ht="15.5">
      <c r="A73" s="149" t="s">
        <v>22</v>
      </c>
      <c r="B73" s="378">
        <v>23187</v>
      </c>
      <c r="C73" s="378">
        <v>22567</v>
      </c>
      <c r="D73" s="378">
        <v>23726</v>
      </c>
      <c r="E73" s="378">
        <v>25270</v>
      </c>
    </row>
    <row r="74" spans="1:5" ht="15.5">
      <c r="A74" s="149" t="s">
        <v>27</v>
      </c>
      <c r="B74" s="378">
        <v>17043</v>
      </c>
      <c r="C74" s="378">
        <v>17287</v>
      </c>
      <c r="D74" s="378">
        <v>17872</v>
      </c>
      <c r="E74" s="378">
        <v>18571</v>
      </c>
    </row>
    <row r="75" spans="1:5" ht="15.5">
      <c r="A75" s="149" t="s">
        <v>24</v>
      </c>
      <c r="B75" s="378">
        <v>22589</v>
      </c>
      <c r="C75" s="378">
        <v>22402</v>
      </c>
      <c r="D75" s="378">
        <v>23306</v>
      </c>
      <c r="E75" s="378">
        <v>24829</v>
      </c>
    </row>
    <row r="76" spans="1:5" ht="15.5">
      <c r="A76" s="149" t="s">
        <v>37</v>
      </c>
      <c r="B76" s="378">
        <v>18130</v>
      </c>
      <c r="C76" s="378">
        <v>18075</v>
      </c>
      <c r="D76" s="378">
        <v>18062</v>
      </c>
      <c r="E76" s="378">
        <v>18905</v>
      </c>
    </row>
    <row r="77" spans="1:5" ht="15.5">
      <c r="A77" s="149" t="s">
        <v>29</v>
      </c>
      <c r="B77" s="378">
        <v>17620</v>
      </c>
      <c r="C77" s="378">
        <v>17347</v>
      </c>
      <c r="D77" s="378">
        <v>18321</v>
      </c>
      <c r="E77" s="378">
        <v>18982</v>
      </c>
    </row>
    <row r="78" spans="1:5" ht="15.5">
      <c r="A78" s="149" t="s">
        <v>34</v>
      </c>
      <c r="B78" s="378">
        <v>16966</v>
      </c>
      <c r="C78" s="378">
        <v>17070</v>
      </c>
      <c r="D78" s="378">
        <v>17261</v>
      </c>
      <c r="E78" s="378">
        <v>18143</v>
      </c>
    </row>
    <row r="79" spans="1:5" ht="15.5">
      <c r="A79" s="149" t="s">
        <v>38</v>
      </c>
      <c r="B79" s="378">
        <v>19711</v>
      </c>
      <c r="C79" s="378">
        <v>19817</v>
      </c>
      <c r="D79" s="378">
        <v>20174</v>
      </c>
      <c r="E79" s="378">
        <v>21187</v>
      </c>
    </row>
    <row r="80" spans="1:5" ht="15.5">
      <c r="A80" s="149" t="s">
        <v>19</v>
      </c>
      <c r="B80" s="378">
        <v>18584</v>
      </c>
      <c r="C80" s="378">
        <v>18817</v>
      </c>
      <c r="D80" s="378">
        <v>19418</v>
      </c>
      <c r="E80" s="378">
        <v>20326</v>
      </c>
    </row>
    <row r="81" spans="1:6" ht="15.5">
      <c r="A81" s="149" t="s">
        <v>21</v>
      </c>
      <c r="B81" s="378">
        <v>17198</v>
      </c>
      <c r="C81" s="378">
        <v>17227</v>
      </c>
      <c r="D81" s="378">
        <v>17712</v>
      </c>
      <c r="E81" s="378">
        <v>18961</v>
      </c>
    </row>
    <row r="82" spans="1:6" ht="15.5">
      <c r="A82" s="149" t="s">
        <v>40</v>
      </c>
      <c r="B82" s="378">
        <v>18775</v>
      </c>
      <c r="C82" s="378">
        <v>18762</v>
      </c>
      <c r="D82" s="378">
        <v>19760</v>
      </c>
      <c r="E82" s="378">
        <v>20983</v>
      </c>
    </row>
    <row r="83" spans="1:6" ht="15.5">
      <c r="A83" s="149" t="s">
        <v>41</v>
      </c>
      <c r="B83" s="378">
        <v>18797</v>
      </c>
      <c r="C83" s="378">
        <v>18926</v>
      </c>
      <c r="D83" s="378">
        <v>19404</v>
      </c>
      <c r="E83" s="378">
        <v>20445</v>
      </c>
    </row>
    <row r="86" spans="1:6" ht="14.5">
      <c r="A86" t="s">
        <v>678</v>
      </c>
      <c r="B86" t="s">
        <v>677</v>
      </c>
      <c r="C86"/>
    </row>
    <row r="87" spans="1:6" ht="14.5">
      <c r="A87" t="s">
        <v>676</v>
      </c>
      <c r="B87" t="s">
        <v>675</v>
      </c>
      <c r="C87"/>
    </row>
    <row r="88" spans="1:6" ht="14.5">
      <c r="A88" t="s">
        <v>674</v>
      </c>
      <c r="B88">
        <v>2020</v>
      </c>
      <c r="C88"/>
    </row>
    <row r="89" spans="1:6" ht="14.5">
      <c r="A89" t="s">
        <v>673</v>
      </c>
      <c r="B89" t="s">
        <v>679</v>
      </c>
      <c r="C89"/>
    </row>
    <row r="90" spans="1:6" ht="14.5">
      <c r="A90" t="s">
        <v>672</v>
      </c>
      <c r="B90" t="s">
        <v>671</v>
      </c>
      <c r="C90"/>
    </row>
    <row r="91" spans="1:6" ht="14.5">
      <c r="A91"/>
      <c r="B91"/>
      <c r="C91"/>
    </row>
    <row r="92" spans="1:6" ht="14.5">
      <c r="A92"/>
      <c r="B92"/>
      <c r="C92" s="66">
        <v>2019</v>
      </c>
      <c r="D92">
        <v>2020</v>
      </c>
      <c r="E92" s="66">
        <v>2021</v>
      </c>
      <c r="F92">
        <v>2022</v>
      </c>
    </row>
    <row r="93" spans="1:6" ht="14.5">
      <c r="A93" t="s">
        <v>670</v>
      </c>
      <c r="B93" t="s">
        <v>240</v>
      </c>
      <c r="C93" t="s">
        <v>74</v>
      </c>
      <c r="D93" t="s">
        <v>74</v>
      </c>
      <c r="E93" t="s">
        <v>74</v>
      </c>
      <c r="F93" t="s">
        <v>74</v>
      </c>
    </row>
    <row r="94" spans="1:6" ht="14.5">
      <c r="A94" t="s">
        <v>669</v>
      </c>
      <c r="B94" t="s">
        <v>45</v>
      </c>
      <c r="C94" s="66">
        <v>155000</v>
      </c>
      <c r="D94" s="66">
        <v>162000</v>
      </c>
      <c r="E94" s="66">
        <v>171000</v>
      </c>
      <c r="F94">
        <v>180000</v>
      </c>
    </row>
    <row r="95" spans="1:6" ht="14.5">
      <c r="A95" t="s">
        <v>668</v>
      </c>
      <c r="B95" t="s">
        <v>14</v>
      </c>
      <c r="C95" s="66">
        <v>160000</v>
      </c>
      <c r="D95" s="66">
        <v>156000</v>
      </c>
      <c r="E95" s="66">
        <v>160000</v>
      </c>
      <c r="F95">
        <v>150000</v>
      </c>
    </row>
    <row r="96" spans="1:6" ht="14.5">
      <c r="A96" t="s">
        <v>667</v>
      </c>
      <c r="B96" t="s">
        <v>15</v>
      </c>
      <c r="C96" s="66">
        <v>195000</v>
      </c>
      <c r="D96" s="66">
        <v>195000</v>
      </c>
      <c r="E96" s="66">
        <v>200000</v>
      </c>
      <c r="F96">
        <v>210995</v>
      </c>
    </row>
    <row r="97" spans="1:6" ht="14.5">
      <c r="A97" t="s">
        <v>666</v>
      </c>
      <c r="B97" t="s">
        <v>16</v>
      </c>
      <c r="C97" s="66">
        <v>156000</v>
      </c>
      <c r="D97" s="66">
        <v>160000</v>
      </c>
      <c r="E97" s="66">
        <v>165000</v>
      </c>
      <c r="F97">
        <v>174500</v>
      </c>
    </row>
    <row r="98" spans="1:6" ht="14.5">
      <c r="A98" t="s">
        <v>665</v>
      </c>
      <c r="B98" t="s">
        <v>17</v>
      </c>
      <c r="C98" s="66">
        <v>145925</v>
      </c>
      <c r="D98" s="66">
        <v>150500</v>
      </c>
      <c r="E98" s="66">
        <v>161161</v>
      </c>
      <c r="F98">
        <v>175000</v>
      </c>
    </row>
    <row r="99" spans="1:6" ht="14.5">
      <c r="A99" t="s">
        <v>664</v>
      </c>
      <c r="B99" s="74" t="s">
        <v>189</v>
      </c>
      <c r="C99" s="66">
        <v>224995</v>
      </c>
      <c r="D99" s="66">
        <v>235000</v>
      </c>
      <c r="E99" s="66">
        <v>250000</v>
      </c>
      <c r="F99">
        <v>265000</v>
      </c>
    </row>
    <row r="100" spans="1:6" ht="14.5">
      <c r="A100" t="s">
        <v>663</v>
      </c>
      <c r="B100" t="s">
        <v>18</v>
      </c>
      <c r="C100" s="66">
        <v>133147.5</v>
      </c>
      <c r="D100" s="66">
        <v>133000</v>
      </c>
      <c r="E100" s="66">
        <v>145166</v>
      </c>
      <c r="F100">
        <v>150627.5</v>
      </c>
    </row>
    <row r="101" spans="1:6" ht="14.5">
      <c r="A101" t="s">
        <v>662</v>
      </c>
      <c r="B101" t="s">
        <v>19</v>
      </c>
      <c r="C101" s="66">
        <v>130000</v>
      </c>
      <c r="D101" s="66">
        <v>130000</v>
      </c>
      <c r="E101" s="66">
        <v>140000</v>
      </c>
      <c r="F101">
        <v>150000</v>
      </c>
    </row>
    <row r="102" spans="1:6" ht="14.5">
      <c r="A102" t="s">
        <v>661</v>
      </c>
      <c r="B102" t="s">
        <v>20</v>
      </c>
      <c r="C102" s="66">
        <v>126893</v>
      </c>
      <c r="D102" s="66">
        <v>135000</v>
      </c>
      <c r="E102" s="66">
        <v>140000</v>
      </c>
      <c r="F102">
        <v>135000</v>
      </c>
    </row>
    <row r="103" spans="1:6" ht="14.5">
      <c r="A103" t="s">
        <v>660</v>
      </c>
      <c r="B103" t="s">
        <v>21</v>
      </c>
      <c r="C103" s="66">
        <v>98235</v>
      </c>
      <c r="D103" s="66">
        <v>105000</v>
      </c>
      <c r="E103" s="66">
        <v>106178.5</v>
      </c>
      <c r="F103">
        <v>120000</v>
      </c>
    </row>
    <row r="104" spans="1:6" ht="14.5">
      <c r="A104" t="s">
        <v>659</v>
      </c>
      <c r="B104" t="s">
        <v>22</v>
      </c>
      <c r="C104" s="66">
        <v>217000</v>
      </c>
      <c r="D104" s="66">
        <v>216109</v>
      </c>
      <c r="E104" s="66">
        <v>235100</v>
      </c>
      <c r="F104">
        <v>250000</v>
      </c>
    </row>
    <row r="105" spans="1:6" ht="14.5">
      <c r="A105" t="s">
        <v>658</v>
      </c>
      <c r="B105" t="s">
        <v>23</v>
      </c>
      <c r="C105" s="66">
        <v>220000</v>
      </c>
      <c r="D105" s="66">
        <v>238000</v>
      </c>
      <c r="E105" s="66">
        <v>245995</v>
      </c>
      <c r="F105">
        <v>262995</v>
      </c>
    </row>
    <row r="106" spans="1:6" ht="14.5">
      <c r="A106" t="s">
        <v>657</v>
      </c>
      <c r="B106" t="s">
        <v>24</v>
      </c>
      <c r="C106" s="66">
        <v>230000</v>
      </c>
      <c r="D106" s="66">
        <v>250000</v>
      </c>
      <c r="E106" s="66">
        <v>257500</v>
      </c>
      <c r="F106">
        <v>275000</v>
      </c>
    </row>
    <row r="107" spans="1:6" ht="14.5">
      <c r="A107" t="s">
        <v>656</v>
      </c>
      <c r="B107" t="s">
        <v>25</v>
      </c>
      <c r="C107" s="66">
        <v>129750</v>
      </c>
      <c r="D107" s="66">
        <v>135000</v>
      </c>
      <c r="E107" s="66">
        <v>136500</v>
      </c>
      <c r="F107">
        <v>149995</v>
      </c>
    </row>
    <row r="108" spans="1:6" ht="14.5">
      <c r="A108" t="s">
        <v>655</v>
      </c>
      <c r="B108" t="s">
        <v>26</v>
      </c>
      <c r="C108" s="66">
        <v>137500</v>
      </c>
      <c r="D108" s="66">
        <v>146000</v>
      </c>
      <c r="E108" s="66">
        <v>151000</v>
      </c>
      <c r="F108">
        <v>155192.5</v>
      </c>
    </row>
    <row r="109" spans="1:6" ht="14.5">
      <c r="A109" t="s">
        <v>654</v>
      </c>
      <c r="B109" t="s">
        <v>27</v>
      </c>
      <c r="C109" s="66">
        <v>140000</v>
      </c>
      <c r="D109" s="66">
        <v>150000</v>
      </c>
      <c r="E109" s="66">
        <v>160000</v>
      </c>
      <c r="F109">
        <v>170100</v>
      </c>
    </row>
    <row r="110" spans="1:6" ht="14.5">
      <c r="A110" t="s">
        <v>653</v>
      </c>
      <c r="B110" t="s">
        <v>28</v>
      </c>
      <c r="C110" s="66">
        <v>168000</v>
      </c>
      <c r="D110" s="66">
        <v>175000</v>
      </c>
      <c r="E110" s="66">
        <v>185500</v>
      </c>
      <c r="F110">
        <v>197500</v>
      </c>
    </row>
    <row r="111" spans="1:6" ht="14.5">
      <c r="A111" t="s">
        <v>652</v>
      </c>
      <c r="B111" t="s">
        <v>29</v>
      </c>
      <c r="C111" s="66">
        <v>103000</v>
      </c>
      <c r="D111" s="66">
        <v>105000</v>
      </c>
      <c r="E111" s="66">
        <v>103000</v>
      </c>
      <c r="F111">
        <v>95000</v>
      </c>
    </row>
    <row r="112" spans="1:6" ht="14.5">
      <c r="A112" t="s">
        <v>651</v>
      </c>
      <c r="B112" t="s">
        <v>30</v>
      </c>
      <c r="C112" s="66">
        <v>195000</v>
      </c>
      <c r="D112" s="66">
        <v>207000</v>
      </c>
      <c r="E112" s="66">
        <v>232200</v>
      </c>
      <c r="F112">
        <v>247995</v>
      </c>
    </row>
    <row r="113" spans="1:6" ht="14.5">
      <c r="A113" t="s">
        <v>650</v>
      </c>
      <c r="B113" t="s">
        <v>31</v>
      </c>
      <c r="C113" s="66">
        <v>157500</v>
      </c>
      <c r="D113" s="66">
        <v>163000</v>
      </c>
      <c r="E113" s="66">
        <v>161044.5</v>
      </c>
      <c r="F113">
        <v>176000</v>
      </c>
    </row>
    <row r="114" spans="1:6" ht="14.5">
      <c r="A114" t="s">
        <v>649</v>
      </c>
      <c r="B114" t="s">
        <v>32</v>
      </c>
      <c r="C114" s="66">
        <v>117500</v>
      </c>
      <c r="D114" s="66">
        <v>125000</v>
      </c>
      <c r="E114" s="66">
        <v>125000</v>
      </c>
      <c r="F114">
        <v>136500</v>
      </c>
    </row>
    <row r="115" spans="1:6" ht="14.5">
      <c r="A115" t="s">
        <v>648</v>
      </c>
      <c r="B115" t="s">
        <v>33</v>
      </c>
      <c r="C115" s="66">
        <v>103000</v>
      </c>
      <c r="D115" s="66">
        <v>110000</v>
      </c>
      <c r="E115" s="66">
        <v>110000</v>
      </c>
      <c r="F115">
        <v>120000</v>
      </c>
    </row>
    <row r="116" spans="1:6" ht="14.5">
      <c r="A116" t="s">
        <v>647</v>
      </c>
      <c r="B116" t="s">
        <v>34</v>
      </c>
      <c r="C116" s="66">
        <v>120000</v>
      </c>
      <c r="D116" s="66">
        <v>120000</v>
      </c>
      <c r="E116" s="66">
        <v>120000</v>
      </c>
      <c r="F116">
        <v>127000</v>
      </c>
    </row>
    <row r="117" spans="1:6" ht="14.5">
      <c r="A117" t="s">
        <v>646</v>
      </c>
      <c r="B117" t="s">
        <v>35</v>
      </c>
      <c r="C117" s="66">
        <v>150000</v>
      </c>
      <c r="D117" s="66">
        <v>152750</v>
      </c>
      <c r="E117" s="66">
        <v>170908</v>
      </c>
      <c r="F117">
        <v>195000</v>
      </c>
    </row>
    <row r="118" spans="1:6" ht="14.5">
      <c r="A118" t="s">
        <v>645</v>
      </c>
      <c r="B118" t="s">
        <v>36</v>
      </c>
      <c r="C118" s="66">
        <v>175580</v>
      </c>
      <c r="D118" s="66">
        <v>190000</v>
      </c>
      <c r="E118" s="66">
        <v>197500</v>
      </c>
      <c r="F118">
        <v>210325</v>
      </c>
    </row>
    <row r="119" spans="1:6" ht="14.5">
      <c r="A119" t="s">
        <v>644</v>
      </c>
      <c r="B119" t="s">
        <v>37</v>
      </c>
      <c r="C119" s="66">
        <v>125000</v>
      </c>
      <c r="D119" s="66">
        <v>130000</v>
      </c>
      <c r="E119" s="66">
        <v>134375</v>
      </c>
      <c r="F119">
        <v>140100</v>
      </c>
    </row>
    <row r="120" spans="1:6" ht="14.5">
      <c r="A120" t="s">
        <v>643</v>
      </c>
      <c r="B120" t="s">
        <v>38</v>
      </c>
      <c r="C120" s="66">
        <v>145000</v>
      </c>
      <c r="D120" s="66">
        <v>160000</v>
      </c>
      <c r="E120" s="66">
        <v>165000</v>
      </c>
      <c r="F120">
        <v>172500</v>
      </c>
    </row>
    <row r="121" spans="1:6" ht="14.5">
      <c r="A121" t="s">
        <v>642</v>
      </c>
      <c r="B121" t="s">
        <v>39</v>
      </c>
      <c r="C121" s="66">
        <v>155000</v>
      </c>
      <c r="D121" s="66">
        <v>152500</v>
      </c>
      <c r="E121" s="66">
        <v>163000</v>
      </c>
      <c r="F121">
        <v>178000</v>
      </c>
    </row>
    <row r="122" spans="1:6" ht="14.5">
      <c r="A122" t="s">
        <v>641</v>
      </c>
      <c r="B122" t="s">
        <v>40</v>
      </c>
      <c r="C122" s="66">
        <v>130000</v>
      </c>
      <c r="D122" s="66">
        <v>146875</v>
      </c>
      <c r="E122" s="66">
        <v>155000</v>
      </c>
      <c r="F122">
        <v>161500</v>
      </c>
    </row>
    <row r="123" spans="1:6" ht="14.5">
      <c r="A123" t="s">
        <v>640</v>
      </c>
      <c r="B123" t="s">
        <v>41</v>
      </c>
      <c r="C123" s="66">
        <v>138000</v>
      </c>
      <c r="D123" s="66">
        <v>140099</v>
      </c>
      <c r="E123" s="66">
        <v>147997.5</v>
      </c>
      <c r="F123">
        <v>156997</v>
      </c>
    </row>
    <row r="124" spans="1:6" ht="14.5">
      <c r="A124" t="s">
        <v>639</v>
      </c>
      <c r="B124" t="s">
        <v>42</v>
      </c>
      <c r="C124" s="66">
        <v>168000</v>
      </c>
      <c r="D124" s="66">
        <v>189995</v>
      </c>
      <c r="E124" s="66">
        <v>187500</v>
      </c>
      <c r="F124">
        <v>197100</v>
      </c>
    </row>
    <row r="125" spans="1:6" ht="14.5">
      <c r="A125" t="s">
        <v>638</v>
      </c>
      <c r="B125" t="s">
        <v>43</v>
      </c>
      <c r="C125" s="66">
        <v>103000</v>
      </c>
      <c r="D125" s="66">
        <v>105000</v>
      </c>
      <c r="E125" s="66">
        <v>106050</v>
      </c>
      <c r="F125">
        <v>115000</v>
      </c>
    </row>
    <row r="126" spans="1:6" ht="14.5">
      <c r="A126" t="s">
        <v>637</v>
      </c>
      <c r="B126" t="s">
        <v>44</v>
      </c>
      <c r="C126" s="66">
        <v>157500</v>
      </c>
      <c r="D126" s="66">
        <v>166972.5</v>
      </c>
      <c r="E126" s="66">
        <v>180000</v>
      </c>
      <c r="F126">
        <v>188000</v>
      </c>
    </row>
  </sheetData>
  <hyperlinks>
    <hyperlink ref="B50" r:id="rId1" display="https://www.ons.gov.uk/economy/regionalaccounts/grossdisposablehouseholdincome" xr:uid="{8A992377-58EB-4E05-94B3-313E213CB478}"/>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autoPageBreaks="0"/>
  </sheetPr>
  <dimension ref="A1:E47"/>
  <sheetViews>
    <sheetView topLeftCell="A26" zoomScale="80" zoomScaleNormal="80" workbookViewId="0">
      <selection activeCell="M43" sqref="M43"/>
    </sheetView>
  </sheetViews>
  <sheetFormatPr defaultColWidth="8.81640625" defaultRowHeight="14.5"/>
  <cols>
    <col min="1" max="1" width="27.54296875" style="100" customWidth="1"/>
    <col min="2" max="16384" width="8.81640625" style="100"/>
  </cols>
  <sheetData>
    <row r="1" spans="1:5" ht="98.25" customHeight="1">
      <c r="A1" s="105"/>
      <c r="B1" s="626" t="s">
        <v>276</v>
      </c>
      <c r="C1" s="627"/>
      <c r="D1" s="627"/>
      <c r="E1" s="628"/>
    </row>
    <row r="2" spans="1:5">
      <c r="A2" s="104" t="s">
        <v>228</v>
      </c>
      <c r="B2" s="234" t="s">
        <v>593</v>
      </c>
      <c r="C2" s="234" t="s">
        <v>617</v>
      </c>
      <c r="D2" s="235" t="s">
        <v>750</v>
      </c>
      <c r="E2" s="235" t="s">
        <v>749</v>
      </c>
    </row>
    <row r="3" spans="1:5">
      <c r="A3" s="104"/>
      <c r="B3" s="98"/>
      <c r="C3" s="106"/>
      <c r="D3" s="107"/>
      <c r="E3" s="107"/>
    </row>
    <row r="4" spans="1:5">
      <c r="A4" s="104"/>
      <c r="B4" s="98"/>
      <c r="C4" s="106"/>
      <c r="D4" s="107"/>
      <c r="E4" s="107"/>
    </row>
    <row r="5" spans="1:5">
      <c r="A5" s="104"/>
      <c r="B5" s="98"/>
      <c r="C5" s="106"/>
      <c r="D5" s="107"/>
      <c r="E5" s="107"/>
    </row>
    <row r="6" spans="1:5">
      <c r="A6" s="104"/>
      <c r="B6" s="98"/>
      <c r="C6" s="106"/>
      <c r="D6" s="107"/>
      <c r="E6" s="107"/>
    </row>
    <row r="7" spans="1:5">
      <c r="A7" s="104"/>
      <c r="B7" s="106"/>
      <c r="C7" s="106"/>
      <c r="D7" s="107"/>
      <c r="E7" s="107"/>
    </row>
    <row r="8" spans="1:5">
      <c r="A8" s="104"/>
      <c r="B8" s="106"/>
      <c r="C8" s="106"/>
      <c r="D8" s="107"/>
      <c r="E8" s="107"/>
    </row>
    <row r="9" spans="1:5">
      <c r="A9" s="429" t="s">
        <v>14</v>
      </c>
      <c r="B9" s="103">
        <v>32.2265625</v>
      </c>
      <c r="C9" s="103">
        <v>37.525362299999998</v>
      </c>
      <c r="D9" s="103">
        <v>38.369999999999997</v>
      </c>
      <c r="E9" s="103">
        <v>35.651188629329603</v>
      </c>
    </row>
    <row r="10" spans="1:5">
      <c r="A10" s="430" t="s">
        <v>15</v>
      </c>
      <c r="B10" s="103">
        <v>22.145071299999998</v>
      </c>
      <c r="C10" s="103">
        <v>21.844698100000002</v>
      </c>
      <c r="D10" s="103">
        <v>24.52</v>
      </c>
      <c r="E10" s="103">
        <v>26.858403514591501</v>
      </c>
    </row>
    <row r="11" spans="1:5">
      <c r="A11" s="431" t="s">
        <v>16</v>
      </c>
      <c r="B11" s="103">
        <v>24.39</v>
      </c>
      <c r="C11" s="103">
        <v>26.1</v>
      </c>
      <c r="D11" s="103">
        <v>42.89</v>
      </c>
      <c r="E11" s="103">
        <v>32.009155026395298</v>
      </c>
    </row>
    <row r="12" spans="1:5">
      <c r="A12" s="430" t="s">
        <v>17</v>
      </c>
      <c r="B12" s="103">
        <v>28.425999600000001</v>
      </c>
      <c r="C12" s="103">
        <v>25.4144048</v>
      </c>
      <c r="D12" s="103">
        <v>29.23</v>
      </c>
      <c r="E12" s="103">
        <v>36.247887938582501</v>
      </c>
    </row>
    <row r="13" spans="1:5">
      <c r="A13" s="432" t="s">
        <v>18</v>
      </c>
      <c r="B13" s="103">
        <v>19.688213399999999</v>
      </c>
      <c r="C13" s="103">
        <v>23.354529900000003</v>
      </c>
      <c r="D13" s="103">
        <v>22.720000000000002</v>
      </c>
      <c r="E13" s="103">
        <v>23.2888610217211</v>
      </c>
    </row>
    <row r="14" spans="1:5">
      <c r="A14" s="430" t="s">
        <v>19</v>
      </c>
      <c r="B14" s="103">
        <v>33.599907800000004</v>
      </c>
      <c r="C14" s="103">
        <v>34.355106299999996</v>
      </c>
      <c r="D14" s="103">
        <v>31.15</v>
      </c>
      <c r="E14" s="103">
        <v>31.236207894709199</v>
      </c>
    </row>
    <row r="15" spans="1:5">
      <c r="A15" s="431" t="s">
        <v>20</v>
      </c>
      <c r="B15" s="103">
        <v>39.395326400000002</v>
      </c>
      <c r="C15" s="103">
        <v>37.490202700000005</v>
      </c>
      <c r="D15" s="103">
        <v>36.01</v>
      </c>
      <c r="E15" s="103">
        <v>38.854143976895799</v>
      </c>
    </row>
    <row r="16" spans="1:5">
      <c r="A16" s="430" t="s">
        <v>21</v>
      </c>
      <c r="B16" s="103">
        <v>15.457506400000002</v>
      </c>
      <c r="C16" s="103">
        <v>22.8556192</v>
      </c>
      <c r="D16" s="103">
        <v>23.41</v>
      </c>
      <c r="E16" s="103">
        <v>20.2933218172561</v>
      </c>
    </row>
    <row r="17" spans="1:5">
      <c r="A17" s="431" t="s">
        <v>22</v>
      </c>
      <c r="B17" s="103">
        <v>18.270622700000001</v>
      </c>
      <c r="C17" s="103">
        <v>12.2332637</v>
      </c>
      <c r="D17" s="103">
        <v>12.19</v>
      </c>
      <c r="E17" s="103">
        <v>12.1828387867206</v>
      </c>
    </row>
    <row r="18" spans="1:5">
      <c r="A18" s="430" t="s">
        <v>23</v>
      </c>
      <c r="B18" s="103">
        <v>24.898776300000002</v>
      </c>
      <c r="C18" s="103">
        <v>21.105486800000001</v>
      </c>
      <c r="D18" s="103">
        <v>18.509999999999998</v>
      </c>
      <c r="E18" s="103">
        <v>17.719179133877699</v>
      </c>
    </row>
    <row r="19" spans="1:5">
      <c r="A19" s="431" t="s">
        <v>24</v>
      </c>
      <c r="B19" s="103">
        <v>9.6146000999999988</v>
      </c>
      <c r="C19" s="103">
        <v>11.2555549</v>
      </c>
      <c r="D19" s="103">
        <v>13.719999999999999</v>
      </c>
      <c r="E19" s="103">
        <v>11.906399350746199</v>
      </c>
    </row>
    <row r="20" spans="1:5">
      <c r="A20" s="430" t="s">
        <v>189</v>
      </c>
      <c r="B20" s="103">
        <v>39.032422400000002</v>
      </c>
      <c r="C20" s="103">
        <v>40.898764</v>
      </c>
      <c r="D20" s="103">
        <v>36.79</v>
      </c>
      <c r="E20" s="103">
        <v>36.495360586318697</v>
      </c>
    </row>
    <row r="21" spans="1:5">
      <c r="A21" s="431" t="s">
        <v>32</v>
      </c>
      <c r="B21" s="103">
        <v>37.374816799999998</v>
      </c>
      <c r="C21" s="103">
        <v>30.241410299999998</v>
      </c>
      <c r="D21" s="103">
        <v>26.86</v>
      </c>
      <c r="E21" s="103">
        <v>28.427368308190896</v>
      </c>
    </row>
    <row r="22" spans="1:5">
      <c r="A22" s="430" t="s">
        <v>25</v>
      </c>
      <c r="B22" s="103">
        <v>32.996319800000002</v>
      </c>
      <c r="C22" s="103">
        <v>36.204939899999999</v>
      </c>
      <c r="D22" s="103">
        <v>27.800000000000004</v>
      </c>
      <c r="E22" s="103">
        <v>27.0371272419079</v>
      </c>
    </row>
    <row r="23" spans="1:5">
      <c r="A23" s="431" t="s">
        <v>26</v>
      </c>
      <c r="B23" s="103">
        <v>31.900458999999998</v>
      </c>
      <c r="C23" s="103">
        <v>37.149608099999995</v>
      </c>
      <c r="D23" s="103">
        <v>40.17</v>
      </c>
      <c r="E23" s="103">
        <v>33.919534452324299</v>
      </c>
    </row>
    <row r="24" spans="1:5">
      <c r="A24" s="430" t="s">
        <v>27</v>
      </c>
      <c r="B24" s="103">
        <v>33.250495100000002</v>
      </c>
      <c r="C24" s="103">
        <v>35.937619399999996</v>
      </c>
      <c r="D24" s="103">
        <v>37.059999999999995</v>
      </c>
      <c r="E24" s="103">
        <v>36.7532025012733</v>
      </c>
    </row>
    <row r="25" spans="1:5">
      <c r="A25" s="431" t="s">
        <v>28</v>
      </c>
      <c r="B25" s="103">
        <v>47.2623897</v>
      </c>
      <c r="C25" s="103">
        <v>46.994190000000003</v>
      </c>
      <c r="D25" s="103">
        <v>49.76</v>
      </c>
      <c r="E25" s="103">
        <v>49.0877880076903</v>
      </c>
    </row>
    <row r="26" spans="1:5">
      <c r="A26" s="430" t="s">
        <v>29</v>
      </c>
      <c r="B26" s="103">
        <v>27.491274199999999</v>
      </c>
      <c r="C26" s="103">
        <v>25.038154000000002</v>
      </c>
      <c r="D26" s="103">
        <v>21.44</v>
      </c>
      <c r="E26" s="103">
        <v>24.001207465267697</v>
      </c>
    </row>
    <row r="27" spans="1:5">
      <c r="A27" s="431" t="s">
        <v>30</v>
      </c>
      <c r="B27" s="103">
        <v>14.680338000000001</v>
      </c>
      <c r="C27" s="103">
        <v>16.8084539</v>
      </c>
      <c r="D27" s="103">
        <v>13.780000000000001</v>
      </c>
      <c r="E27" s="103">
        <v>13.7856984976404</v>
      </c>
    </row>
    <row r="28" spans="1:5">
      <c r="A28" s="430" t="s">
        <v>31</v>
      </c>
      <c r="B28" s="103">
        <v>21.9011307</v>
      </c>
      <c r="C28" s="103">
        <v>23.555381499999999</v>
      </c>
      <c r="D28" s="103">
        <v>25.19</v>
      </c>
      <c r="E28" s="103">
        <v>24.806751407359201</v>
      </c>
    </row>
    <row r="29" spans="1:5">
      <c r="A29" s="431" t="s">
        <v>33</v>
      </c>
      <c r="B29" s="103">
        <v>16.648050900000001</v>
      </c>
      <c r="C29" s="103">
        <v>17.889299399999999</v>
      </c>
      <c r="D29" s="103">
        <v>19.75</v>
      </c>
      <c r="E29" s="103">
        <v>24.096377780026</v>
      </c>
    </row>
    <row r="30" spans="1:5">
      <c r="A30" s="430" t="s">
        <v>34</v>
      </c>
      <c r="B30" s="103">
        <v>28.262777400000001</v>
      </c>
      <c r="C30" s="103">
        <v>26.160042000000001</v>
      </c>
      <c r="D30" s="103">
        <v>25.36</v>
      </c>
      <c r="E30" s="103">
        <v>27.806623267733499</v>
      </c>
    </row>
    <row r="31" spans="1:5">
      <c r="A31" s="431" t="s">
        <v>35</v>
      </c>
      <c r="B31" s="103">
        <v>40.640903199999997</v>
      </c>
      <c r="C31" s="103">
        <v>37.852556999999997</v>
      </c>
      <c r="D31" s="103">
        <v>40.64</v>
      </c>
      <c r="E31" s="103">
        <v>40.9067638903269</v>
      </c>
    </row>
    <row r="32" spans="1:5">
      <c r="A32" s="430" t="s">
        <v>36</v>
      </c>
      <c r="B32" s="103">
        <v>22.156801300000001</v>
      </c>
      <c r="C32" s="103">
        <v>22.957838200000001</v>
      </c>
      <c r="D32" s="103">
        <v>23.96</v>
      </c>
      <c r="E32" s="103">
        <v>22.715321444520299</v>
      </c>
    </row>
    <row r="33" spans="1:5">
      <c r="A33" s="431" t="s">
        <v>37</v>
      </c>
      <c r="B33" s="103">
        <v>22.1645985</v>
      </c>
      <c r="C33" s="103">
        <v>19.298495800000001</v>
      </c>
      <c r="D33" s="103">
        <v>18.87</v>
      </c>
      <c r="E33" s="103">
        <v>19.345868070227802</v>
      </c>
    </row>
    <row r="34" spans="1:5">
      <c r="A34" s="430" t="s">
        <v>38</v>
      </c>
      <c r="B34" s="103">
        <v>32.060221599999998</v>
      </c>
      <c r="C34" s="103">
        <v>22.1854789</v>
      </c>
      <c r="D34" s="103">
        <v>19.78</v>
      </c>
      <c r="E34" s="103">
        <v>26.332601983104599</v>
      </c>
    </row>
    <row r="35" spans="1:5">
      <c r="A35" s="431" t="s">
        <v>39</v>
      </c>
      <c r="B35" s="103">
        <v>45.303304500000003</v>
      </c>
      <c r="C35" s="103">
        <v>48.740596099999998</v>
      </c>
      <c r="D35" s="103">
        <v>51.949999999999996</v>
      </c>
      <c r="E35" s="103">
        <v>45.727044678890003</v>
      </c>
    </row>
    <row r="36" spans="1:5">
      <c r="A36" s="430" t="s">
        <v>40</v>
      </c>
      <c r="B36" s="103">
        <v>24.9709805</v>
      </c>
      <c r="C36" s="103">
        <v>27.189462599999999</v>
      </c>
      <c r="D36" s="103">
        <v>28.77</v>
      </c>
      <c r="E36" s="103">
        <v>25.8543475182808</v>
      </c>
    </row>
    <row r="37" spans="1:5">
      <c r="A37" s="431" t="s">
        <v>41</v>
      </c>
      <c r="B37" s="103">
        <v>18.019161499999999</v>
      </c>
      <c r="C37" s="103">
        <v>16.987863699999998</v>
      </c>
      <c r="D37" s="103">
        <v>18.21</v>
      </c>
      <c r="E37" s="103">
        <v>18.114430572975802</v>
      </c>
    </row>
    <row r="38" spans="1:5">
      <c r="A38" s="430" t="s">
        <v>42</v>
      </c>
      <c r="B38" s="103">
        <v>16.353155900000001</v>
      </c>
      <c r="C38" s="103">
        <v>17.306037799999999</v>
      </c>
      <c r="D38" s="103">
        <v>18.22</v>
      </c>
      <c r="E38" s="103">
        <v>20.8077840379107</v>
      </c>
    </row>
    <row r="39" spans="1:5">
      <c r="A39" s="431" t="s">
        <v>43</v>
      </c>
      <c r="B39" s="103">
        <v>8.232311000000001</v>
      </c>
      <c r="C39" s="103">
        <v>9.4760051999999995</v>
      </c>
      <c r="D39" s="103">
        <v>12.67</v>
      </c>
      <c r="E39" s="103">
        <v>16.704052091068601</v>
      </c>
    </row>
    <row r="40" spans="1:5">
      <c r="A40" s="430" t="s">
        <v>44</v>
      </c>
      <c r="B40" s="103">
        <v>27.601407500000004</v>
      </c>
      <c r="C40" s="103">
        <v>23.263734499999998</v>
      </c>
      <c r="D40" s="103">
        <v>24.03</v>
      </c>
      <c r="E40" s="103">
        <v>25.675559355155801</v>
      </c>
    </row>
    <row r="41" spans="1:5">
      <c r="A41" s="102" t="s">
        <v>47</v>
      </c>
      <c r="B41" s="103">
        <v>20.663230062499998</v>
      </c>
      <c r="C41" s="103">
        <v>19.548374837499999</v>
      </c>
      <c r="D41" s="103">
        <v>19.939999999999998</v>
      </c>
      <c r="E41" s="103">
        <v>20.851827763251688</v>
      </c>
    </row>
    <row r="42" spans="1:5">
      <c r="A42" s="101" t="s">
        <v>45</v>
      </c>
      <c r="B42" s="103">
        <v>28.513663700000002</v>
      </c>
      <c r="C42" s="103">
        <v>29.113043999999999</v>
      </c>
      <c r="D42" s="103">
        <v>29.880000000000003</v>
      </c>
      <c r="E42" s="103">
        <v>29.619142281546303</v>
      </c>
    </row>
    <row r="44" spans="1:5">
      <c r="A44" s="108" t="s">
        <v>543</v>
      </c>
      <c r="B44" s="396">
        <f>AVERAGE(AVERAGEIFS(B$9:B$40,$A$9:$A$40,{"Na h-Eileanan Siar","Argyll and Bute","Shetland Islands","Highland","Orkney Islands","Scottish Borders","Dumfries and Galloway","Aberdeenshire"}))</f>
        <v>35.851576812499999</v>
      </c>
      <c r="C44" s="396">
        <f>AVERAGE(AVERAGEIFS(C$9:C$40,$A$9:$A$40,{"Na h-Eileanan Siar","Argyll and Bute","Shetland Islands","Highland","Orkney Islands","Scottish Borders","Dumfries and Galloway","Aberdeenshire"}))</f>
        <v>33.453555187499994</v>
      </c>
      <c r="D44" s="396">
        <f>AVERAGE(AVERAGEIFS(D$9:D$40,$A$9:$A$40,{"Na h-Eileanan Siar","Argyll and Bute","Shetland Islands","Highland","Orkney Islands","Scottish Borders","Dumfries and Galloway","Aberdeenshire"}))</f>
        <v>34.236249999999998</v>
      </c>
      <c r="E44" s="396">
        <f>AVERAGE(AVERAGEIFS(E$9:E$40,$A$9:$A$40,{"Na h-Eileanan Siar","Argyll and Bute","Shetland Islands","Highland","Orkney Islands","Scottish Borders","Dumfries and Galloway","Aberdeenshire"}))</f>
        <v>35.603008277010737</v>
      </c>
    </row>
    <row r="45" spans="1:5">
      <c r="A45" s="108" t="s">
        <v>544</v>
      </c>
      <c r="B45" s="396">
        <f>AVERAGE(AVERAGEIFS(B$9:B$40,$A$9:$A$40,{"Perth and Kinross","Stirling","Moray","South Ayrshire","East Ayrshire","East Lothian","North Ayrshire","Fife"}))</f>
        <v>21.785857624999998</v>
      </c>
      <c r="C45" s="396">
        <f>AVERAGE(AVERAGEIFS(C$9:C$40,$A$9:$A$40,{"Perth and Kinross","Stirling","Moray","South Ayrshire","East Ayrshire","East Lothian","North Ayrshire","Fife"}))</f>
        <v>23.751091699999996</v>
      </c>
      <c r="D45" s="396">
        <f>AVERAGE(AVERAGEIFS(D$9:D$40,$A$9:$A$40,{"Perth and Kinross","Stirling","Moray","South Ayrshire","East Ayrshire","East Lothian","North Ayrshire","Fife"}))</f>
        <v>24.747500000000002</v>
      </c>
      <c r="E45" s="396">
        <f>AVERAGE(AVERAGEIFS(E$9:E$40,$A$9:$A$40,{"Perth and Kinross","Stirling","Moray","South Ayrshire","East Ayrshire","East Lothian","North Ayrshire","Fife"}))</f>
        <v>23.776577198944388</v>
      </c>
    </row>
    <row r="46" spans="1:5">
      <c r="A46" s="108" t="s">
        <v>545</v>
      </c>
      <c r="B46" s="396">
        <f>AVERAGE(AVERAGEIFS(B$9:B$40,$A$9:$A$40,{"Angus","Clackmannanshire","Midlothian","South Lanarkshire","Inverclyde","Renfrewshire","West Lothian","East Renfrewshire"}))</f>
        <v>20.45619915</v>
      </c>
      <c r="C46" s="396">
        <f>AVERAGE(AVERAGEIFS(C$9:C$40,$A$9:$A$40,{"Angus","Clackmannanshire","Midlothian","South Lanarkshire","Inverclyde","Renfrewshire","West Lothian","East Renfrewshire"}))</f>
        <v>20.263348337499998</v>
      </c>
      <c r="D46" s="396">
        <f>AVERAGE(AVERAGEIFS(D$9:D$40,$A$9:$A$40,{"Angus","Clackmannanshire","Midlothian","South Lanarkshire","Inverclyde","Renfrewshire","West Lothian","East Renfrewshire"}))</f>
        <v>21.9575</v>
      </c>
      <c r="E46" s="396">
        <f>AVERAGE(AVERAGEIFS(E$9:E$40,$A$9:$A$40,{"Angus","Clackmannanshire","Midlothian","South Lanarkshire","Inverclyde","Renfrewshire","West Lothian","East Renfrewshire"}))</f>
        <v>21.015897420016262</v>
      </c>
    </row>
    <row r="47" spans="1:5">
      <c r="A47" s="108" t="s">
        <v>546</v>
      </c>
      <c r="B47" s="396">
        <f>AVERAGE(AVERAGEIFS(B$9:B$40,$A$9:$A$40,{"Falkirk","East Dunbartonshire","Aberdeen City","Edinburgh, City of","West Dunbartonshire","Dundee City"}))</f>
        <v>28.358927466666671</v>
      </c>
      <c r="C47" s="396">
        <f>AVERAGE(AVERAGEIFS(C$9:C$40,$A$9:$A$40,{"Falkirk","East Dunbartonshire","Aberdeen City","Edinburgh, City of","West Dunbartonshire","Dundee City"}))</f>
        <v>28.971422966666665</v>
      </c>
      <c r="D47" s="396">
        <f>AVERAGE(AVERAGEIFS(D$9:D$40,$A$9:$A$40,{"Falkirk","East Dunbartonshire","Aberdeen City","Edinburgh, City of","West Dunbartonshire","Dundee City"}))</f>
        <v>27.305000000000003</v>
      </c>
      <c r="E47" s="396">
        <f>AVERAGE(AVERAGEIFS(E$9:E$40,$A$9:$A$40,{"Falkirk","East Dunbartonshire","Aberdeen City","Edinburgh, City of","West Dunbartonshire","Dundee City"}))</f>
        <v>27.820785218706863</v>
      </c>
    </row>
  </sheetData>
  <mergeCells count="1">
    <mergeCell ref="B1:E1"/>
  </mergeCells>
  <conditionalFormatting sqref="A9:E42">
    <cfRule type="expression" dxfId="11" priority="1">
      <formula>MOD(ROW(),2)=0</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B2:L24"/>
  <sheetViews>
    <sheetView zoomScale="90" zoomScaleNormal="90" workbookViewId="0"/>
  </sheetViews>
  <sheetFormatPr defaultColWidth="9.1796875" defaultRowHeight="12"/>
  <cols>
    <col min="1" max="1" width="9.1796875" style="251"/>
    <col min="2" max="2" width="31.81640625" style="251" customWidth="1"/>
    <col min="3" max="3" width="24" style="251" customWidth="1" collapsed="1"/>
    <col min="4" max="7" width="14" style="251" customWidth="1" collapsed="1"/>
    <col min="8" max="12" width="14" style="251" customWidth="1"/>
    <col min="13" max="16384" width="9.1796875" style="251"/>
  </cols>
  <sheetData>
    <row r="2" spans="2:12" ht="13">
      <c r="B2" s="286" t="s">
        <v>48</v>
      </c>
      <c r="C2" s="287" t="s">
        <v>311</v>
      </c>
      <c r="F2" s="595" t="s">
        <v>507</v>
      </c>
      <c r="G2" s="596"/>
    </row>
    <row r="3" spans="2:12" ht="13">
      <c r="B3" s="286" t="s">
        <v>49</v>
      </c>
      <c r="C3" s="288" t="s">
        <v>312</v>
      </c>
    </row>
    <row r="4" spans="2:12" ht="13">
      <c r="B4" s="287"/>
      <c r="C4" s="289" t="s">
        <v>478</v>
      </c>
      <c r="D4" s="290"/>
      <c r="K4" s="591" t="s">
        <v>52</v>
      </c>
      <c r="L4" s="591"/>
    </row>
    <row r="5" spans="2:12" ht="22" customHeight="1">
      <c r="C5" s="291"/>
      <c r="D5" s="292"/>
      <c r="E5" s="292"/>
      <c r="F5" s="292"/>
      <c r="G5" s="292"/>
      <c r="H5" s="292"/>
      <c r="I5" s="592" t="s">
        <v>50</v>
      </c>
      <c r="J5" s="593"/>
      <c r="K5" s="594" t="s">
        <v>51</v>
      </c>
      <c r="L5" s="594"/>
    </row>
    <row r="6" spans="2:12" ht="26.15" customHeight="1">
      <c r="B6" s="293" t="s">
        <v>271</v>
      </c>
      <c r="C6" s="293" t="s">
        <v>5</v>
      </c>
      <c r="D6" s="294">
        <v>2020</v>
      </c>
      <c r="E6" s="294">
        <v>2021</v>
      </c>
      <c r="F6" s="294">
        <v>2022</v>
      </c>
      <c r="G6" s="294">
        <v>2023</v>
      </c>
      <c r="H6" s="294" t="s">
        <v>737</v>
      </c>
      <c r="I6" s="295" t="s">
        <v>53</v>
      </c>
      <c r="J6" s="295" t="s">
        <v>54</v>
      </c>
      <c r="K6" s="295" t="s">
        <v>56</v>
      </c>
      <c r="L6" s="295" t="s">
        <v>57</v>
      </c>
    </row>
    <row r="7" spans="2:12" ht="19.5" customHeight="1">
      <c r="B7" s="296" t="s">
        <v>249</v>
      </c>
      <c r="C7" s="296" t="s">
        <v>22</v>
      </c>
      <c r="D7" s="297">
        <f>VLOOKUP($C7,'Raw - Workless'!$A:$Q,4,FALSE)</f>
        <v>15.81575639055734</v>
      </c>
      <c r="E7" s="297">
        <f>VLOOKUP($C7,'Raw - Workless'!$A:$Q,8,FALSE)</f>
        <v>16.758741378718732</v>
      </c>
      <c r="F7" s="297">
        <f>VLOOKUP($C7,'Raw - Workless'!$A:$Q,12,FALSE)</f>
        <v>15.764046082637929</v>
      </c>
      <c r="G7" s="297">
        <f>VLOOKUP($C7,'Raw - Workless'!$A:$Q,16,FALSE)</f>
        <v>16.832810182470421</v>
      </c>
      <c r="H7" s="318">
        <f>VLOOKUP(C7,'Raw - Workless'!A:Q,14,FALSE)</f>
        <v>4880</v>
      </c>
      <c r="I7" s="299">
        <f>SUM(G7-D7)</f>
        <v>1.0170537919130815</v>
      </c>
      <c r="J7" s="300">
        <f>SUM(VLOOKUP(C7,'Raw - Workless'!A:Q,14,FALSE)-VLOOKUP(C7,'Raw - Workless'!A:Q,2,FALSE))</f>
        <v>351</v>
      </c>
      <c r="K7" s="301">
        <f>IF(IF($K$5="LGBF Family Group",SUM(G$17-G7),IF($K$5="Glasgow City Region",SUM(G$18-G7),IF($K$5="Scotland",SUM(G$19-G7),IF($K$5="United Kingdom",SUM(G$20-G7),SUM(G$16-G7)))))&gt;0,"",IF($K$5="LGBF Family Group",SUM(G$17-G7),IF($K$5="Glasgow City Region",SUM(G$18-G7),IF($K$5="Scotland",SUM(G$19-G7),IF($K$5="United Kingdom",SUM(G$20-G7),SUM(G$16-G7))))))</f>
        <v>-8.7491007036029611</v>
      </c>
      <c r="L7" s="302">
        <f>IF(K7="","",IF($K$5="LGBF Family Group",SUM(MROUND(SUM(SUM(VLOOKUP(C$17,'Raw - Workless'!A:Q,16,FALSE)*VLOOKUP(C7,'Raw - Workless'!A:Q,15,FALSE))/100),100)-MROUND(SUM(SUM(VLOOKUP(C7,'Raw - Workless'!A:Q,16,FALSE)*VLOOKUP(C7,'Raw - Workless'!A:Q,15,FALSE))/100),100)),IF($K$5="Glasgow City Region",SUM(MROUND(SUM(SUM(VLOOKUP(C$18,'Raw - Workless'!A:Q,16,FALSE)*VLOOKUP(C7,'Raw - Workless'!A:Q,15,FALSE))/100),100)-MROUND(SUM(SUM(VLOOKUP(C7,'Raw - Workless'!A:Q,16,FALSE)*VLOOKUP(C7,'Raw - Workless'!A:Q,15,FALSE))/100),100)),IF($K$5="Scotland",SUM(MROUND(SUM(SUM(VLOOKUP(C$19,'Raw - Workless'!A:Q,16,FALSE)*VLOOKUP(C7,'Raw - Workless'!A:Q,15,FALSE))/100),100)-MROUND(SUM(SUM(VLOOKUP(C7,'Raw - Workless'!A:Q,16,FALSE)*VLOOKUP(C7,'Raw - Workless'!A:Q,15,FALSE))/100),100)),IF($K$5="United Kingdom",SUM(MROUND(SUM(SUM(VLOOKUP(C$20,'Raw - Workless'!A:Q,16,FALSE)*VLOOKUP(C7,'Raw - Workless'!A:Q,15,FALSE))/100),100)-MROUND(SUM(SUM(VLOOKUP(C7,'Raw - Workless'!A:Q,16,FALSE)*VLOOKUP(C7,'Raw - Workless'!A:Q,15,FALSE))/100),100)),SUM(MROUND(SUM(SUM(VLOOKUP(C$16,'Raw - Workless'!A:Q,16,FALSE)*VLOOKUP(C7,'Raw - Workless'!A:Q,15,FALSE))/100),100)-MROUND(SUM(SUM(VLOOKUP(C7,'Raw - Workless'!A:Q,16,FALSE)*VLOOKUP(C7,'Raw - Workless'!A:Q,15,FALSE))/100),100)))))))</f>
        <v>-2600</v>
      </c>
    </row>
    <row r="8" spans="2:12" ht="19.5" customHeight="1">
      <c r="B8" s="296" t="s">
        <v>249</v>
      </c>
      <c r="C8" s="296" t="s">
        <v>24</v>
      </c>
      <c r="D8" s="297">
        <f>VLOOKUP($C8,'Raw - Workless'!$A:$Q,4,FALSE)</f>
        <v>18.393782383419687</v>
      </c>
      <c r="E8" s="297">
        <f>VLOOKUP($C8,'Raw - Workless'!$A:$Q,8,FALSE)</f>
        <v>19.90375216181668</v>
      </c>
      <c r="F8" s="297">
        <f>VLOOKUP($C8,'Raw - Workless'!$A:$Q,12,FALSE)</f>
        <v>10.417000801924619</v>
      </c>
      <c r="G8" s="297">
        <f>VLOOKUP($C8,'Raw - Workless'!$A:$Q,16,FALSE)</f>
        <v>11.223728147711649</v>
      </c>
      <c r="H8" s="318">
        <f>VLOOKUP(C8,'Raw - Workless'!A:Q,14,FALSE)</f>
        <v>2857</v>
      </c>
      <c r="I8" s="299">
        <f t="shared" ref="I8:I20" si="0">SUM(G8-D8)</f>
        <v>-7.1700542357080383</v>
      </c>
      <c r="J8" s="300">
        <f>SUM(VLOOKUP(C8,'Raw - Workless'!A:Q,14,FALSE)-VLOOKUP(C8,'Raw - Workless'!A:Q,2,FALSE))</f>
        <v>-2255</v>
      </c>
      <c r="K8" s="301">
        <f t="shared" ref="K8:K14" si="1">IF(IF($K$5="LGBF Family Group",SUM(G$17-G8),IF($K$5="Glasgow City Region",SUM(G$18-G8),IF($K$5="Scotland",SUM(G$19-G8),IF($K$5="United Kingdom",SUM(G$20-G8),SUM(G$16-G8)))))&gt;0,"",IF($K$5="LGBF Family Group",SUM(G$17-G8),IF($K$5="Glasgow City Region",SUM(G$18-G8),IF($K$5="Scotland",SUM(G$19-G8),IF($K$5="United Kingdom",SUM(G$20-G8),SUM(G$16-G8))))))</f>
        <v>-3.1400186688441885</v>
      </c>
      <c r="L8" s="302">
        <f>IF(K8="","",IF($K$5="LGBF Family Group",SUM(MROUND(SUM(SUM(VLOOKUP(C$17,'Raw - Workless'!A:Q,16,FALSE)*VLOOKUP(C8,'Raw - Workless'!A:Q,15,FALSE))/100),100)-MROUND(SUM(SUM(VLOOKUP(C8,'Raw - Workless'!A:Q,16,FALSE)*VLOOKUP(C8,'Raw - Workless'!A:Q,15,FALSE))/100),100)),IF($K$5="Glasgow City Region",SUM(MROUND(SUM(SUM(VLOOKUP(C$18,'Raw - Workless'!A:Q,16,FALSE)*VLOOKUP(C8,'Raw - Workless'!A:Q,15,FALSE))/100),100)-MROUND(SUM(SUM(VLOOKUP(C8,'Raw - Workless'!A:Q,16,FALSE)*VLOOKUP(C8,'Raw - Workless'!A:Q,15,FALSE))/100),100)),IF($K$5="Scotland",SUM(MROUND(SUM(SUM(VLOOKUP(C$19,'Raw - Workless'!A:Q,16,FALSE)*VLOOKUP(C8,'Raw - Workless'!A:Q,15,FALSE))/100),100)-MROUND(SUM(SUM(VLOOKUP(C8,'Raw - Workless'!A:Q,16,FALSE)*VLOOKUP(C8,'Raw - Workless'!A:Q,15,FALSE))/100),100)),IF($K$5="United Kingdom",SUM(MROUND(SUM(SUM(VLOOKUP(C$20,'Raw - Workless'!A:Q,16,FALSE)*VLOOKUP(C8,'Raw - Workless'!A:Q,15,FALSE))/100),100)-MROUND(SUM(SUM(VLOOKUP(C8,'Raw - Workless'!A:Q,16,FALSE)*VLOOKUP(C8,'Raw - Workless'!A:Q,15,FALSE))/100),100)),SUM(MROUND(SUM(SUM(VLOOKUP(C$16,'Raw - Workless'!A:Q,16,FALSE)*VLOOKUP(C8,'Raw - Workless'!A:Q,15,FALSE))/100),100)-MROUND(SUM(SUM(VLOOKUP(C8,'Raw - Workless'!A:Q,16,FALSE)*VLOOKUP(C8,'Raw - Workless'!A:Q,15,FALSE))/100),100)))))))</f>
        <v>-800</v>
      </c>
    </row>
    <row r="9" spans="2:12" ht="19.5" customHeight="1">
      <c r="B9" s="296" t="s">
        <v>249</v>
      </c>
      <c r="C9" s="296" t="s">
        <v>27</v>
      </c>
      <c r="D9" s="297">
        <f>VLOOKUP($C9,'Raw - Workless'!$A:$Q,4,FALSE)</f>
        <v>22.493602886250578</v>
      </c>
      <c r="E9" s="297">
        <f>VLOOKUP($C9,'Raw - Workless'!$A:$Q,8,FALSE)</f>
        <v>24.389772080984567</v>
      </c>
      <c r="F9" s="297">
        <f>VLOOKUP($C9,'Raw - Workless'!$A:$Q,12,FALSE)</f>
        <v>20.583664034208805</v>
      </c>
      <c r="G9" s="297">
        <f>VLOOKUP($C9,'Raw - Workless'!$A:$Q,16,FALSE)</f>
        <v>20.408615136876008</v>
      </c>
      <c r="H9" s="318">
        <f>VLOOKUP(C9,'Raw - Workless'!A:Q,14,FALSE)</f>
        <v>50695</v>
      </c>
      <c r="I9" s="299">
        <f t="shared" si="0"/>
        <v>-2.0849877493745694</v>
      </c>
      <c r="J9" s="300">
        <f>SUM(VLOOKUP(C9,'Raw - Workless'!A:Q,14,FALSE)-VLOOKUP(C9,'Raw - Workless'!A:Q,2,FALSE))</f>
        <v>-5916</v>
      </c>
      <c r="K9" s="301">
        <f t="shared" si="1"/>
        <v>-12.324905658008548</v>
      </c>
      <c r="L9" s="302">
        <f>IF(K9="","",IF($K$5="LGBF Family Group",SUM(MROUND(SUM(SUM(VLOOKUP(C$17,'Raw - Workless'!A:Q,16,FALSE)*VLOOKUP(C9,'Raw - Workless'!A:Q,15,FALSE))/100),100)-MROUND(SUM(SUM(VLOOKUP(C9,'Raw - Workless'!A:Q,16,FALSE)*VLOOKUP(C9,'Raw - Workless'!A:Q,15,FALSE))/100),100)),IF($K$5="Glasgow City Region",SUM(MROUND(SUM(SUM(VLOOKUP(C$18,'Raw - Workless'!A:Q,16,FALSE)*VLOOKUP(C9,'Raw - Workless'!A:Q,15,FALSE))/100),100)-MROUND(SUM(SUM(VLOOKUP(C9,'Raw - Workless'!A:Q,16,FALSE)*VLOOKUP(C9,'Raw - Workless'!A:Q,15,FALSE))/100),100)),IF($K$5="Scotland",SUM(MROUND(SUM(SUM(VLOOKUP(C$19,'Raw - Workless'!A:Q,16,FALSE)*VLOOKUP(C9,'Raw - Workless'!A:Q,15,FALSE))/100),100)-MROUND(SUM(SUM(VLOOKUP(C9,'Raw - Workless'!A:Q,16,FALSE)*VLOOKUP(C9,'Raw - Workless'!A:Q,15,FALSE))/100),100)),IF($K$5="United Kingdom",SUM(MROUND(SUM(SUM(VLOOKUP(C$20,'Raw - Workless'!A:Q,16,FALSE)*VLOOKUP(C9,'Raw - Workless'!A:Q,15,FALSE))/100),100)-MROUND(SUM(SUM(VLOOKUP(C9,'Raw - Workless'!A:Q,16,FALSE)*VLOOKUP(C9,'Raw - Workless'!A:Q,15,FALSE))/100),100)),SUM(MROUND(SUM(SUM(VLOOKUP(C$16,'Raw - Workless'!A:Q,16,FALSE)*VLOOKUP(C9,'Raw - Workless'!A:Q,15,FALSE))/100),100)-MROUND(SUM(SUM(VLOOKUP(C9,'Raw - Workless'!A:Q,16,FALSE)*VLOOKUP(C9,'Raw - Workless'!A:Q,15,FALSE))/100),100)))))))</f>
        <v>-30600</v>
      </c>
    </row>
    <row r="10" spans="2:12" ht="19.5" customHeight="1">
      <c r="B10" s="296" t="s">
        <v>249</v>
      </c>
      <c r="C10" s="296" t="s">
        <v>29</v>
      </c>
      <c r="D10" s="297">
        <f>VLOOKUP($C10,'Raw - Workless'!$A:$Q,4,FALSE)</f>
        <v>22.100499111750274</v>
      </c>
      <c r="E10" s="297">
        <f>VLOOKUP($C10,'Raw - Workless'!$A:$Q,8,FALSE)</f>
        <v>14.967719267425009</v>
      </c>
      <c r="F10" s="297">
        <f>VLOOKUP($C10,'Raw - Workless'!$A:$Q,12,FALSE)</f>
        <v>18.385650224215247</v>
      </c>
      <c r="G10" s="297">
        <f>VLOOKUP($C10,'Raw - Workless'!$A:$Q,16,FALSE)</f>
        <v>18.126657377859679</v>
      </c>
      <c r="H10" s="318">
        <f>VLOOKUP(C10,'Raw - Workless'!A:Q,14,FALSE)</f>
        <v>4033</v>
      </c>
      <c r="I10" s="299">
        <f t="shared" si="0"/>
        <v>-3.9738417338905947</v>
      </c>
      <c r="J10" s="300">
        <f>SUM(VLOOKUP(C10,'Raw - Workless'!A:Q,14,FALSE)-VLOOKUP(C10,'Raw - Workless'!A:Q,2,FALSE))</f>
        <v>-1192</v>
      </c>
      <c r="K10" s="301">
        <f t="shared" si="1"/>
        <v>-10.042947898992219</v>
      </c>
      <c r="L10" s="302">
        <f>IF(K10="","",IF($K$5="LGBF Family Group",SUM(MROUND(SUM(SUM(VLOOKUP(C$17,'Raw - Workless'!A:Q,16,FALSE)*VLOOKUP(C10,'Raw - Workless'!A:Q,15,FALSE))/100),100)-MROUND(SUM(SUM(VLOOKUP(C10,'Raw - Workless'!A:Q,16,FALSE)*VLOOKUP(C10,'Raw - Workless'!A:Q,15,FALSE))/100),100)),IF($K$5="Glasgow City Region",SUM(MROUND(SUM(SUM(VLOOKUP(C$18,'Raw - Workless'!A:Q,16,FALSE)*VLOOKUP(C10,'Raw - Workless'!A:Q,15,FALSE))/100),100)-MROUND(SUM(SUM(VLOOKUP(C10,'Raw - Workless'!A:Q,16,FALSE)*VLOOKUP(C10,'Raw - Workless'!A:Q,15,FALSE))/100),100)),IF($K$5="Scotland",SUM(MROUND(SUM(SUM(VLOOKUP(C$19,'Raw - Workless'!A:Q,16,FALSE)*VLOOKUP(C10,'Raw - Workless'!A:Q,15,FALSE))/100),100)-MROUND(SUM(SUM(VLOOKUP(C10,'Raw - Workless'!A:Q,16,FALSE)*VLOOKUP(C10,'Raw - Workless'!A:Q,15,FALSE))/100),100)),IF($K$5="United Kingdom",SUM(MROUND(SUM(SUM(VLOOKUP(C$20,'Raw - Workless'!A:Q,16,FALSE)*VLOOKUP(C10,'Raw - Workless'!A:Q,15,FALSE))/100),100)-MROUND(SUM(SUM(VLOOKUP(C10,'Raw - Workless'!A:Q,16,FALSE)*VLOOKUP(C10,'Raw - Workless'!A:Q,15,FALSE))/100),100)),SUM(MROUND(SUM(SUM(VLOOKUP(C$16,'Raw - Workless'!A:Q,16,FALSE)*VLOOKUP(C10,'Raw - Workless'!A:Q,15,FALSE))/100),100)-MROUND(SUM(SUM(VLOOKUP(C10,'Raw - Workless'!A:Q,16,FALSE)*VLOOKUP(C10,'Raw - Workless'!A:Q,15,FALSE))/100),100)))))))</f>
        <v>-2200</v>
      </c>
    </row>
    <row r="11" spans="2:12" ht="19.5" customHeight="1">
      <c r="B11" s="296" t="s">
        <v>249</v>
      </c>
      <c r="C11" s="296" t="s">
        <v>34</v>
      </c>
      <c r="D11" s="297">
        <f>VLOOKUP($C11,'Raw - Workless'!$A:$Q,4,FALSE)</f>
        <v>21.019373391857123</v>
      </c>
      <c r="E11" s="297">
        <f>VLOOKUP($C11,'Raw - Workless'!$A:$Q,8,FALSE)</f>
        <v>27.120307516152774</v>
      </c>
      <c r="F11" s="297">
        <f>VLOOKUP($C11,'Raw - Workless'!$A:$Q,12,FALSE)</f>
        <v>23.701267292251138</v>
      </c>
      <c r="G11" s="297">
        <f>VLOOKUP($C11,'Raw - Workless'!$A:$Q,16,FALSE)</f>
        <v>17.776565247139729</v>
      </c>
      <c r="H11" s="318">
        <f>VLOOKUP(C11,'Raw - Workless'!A:Q,14,FALSE)</f>
        <v>20525</v>
      </c>
      <c r="I11" s="299">
        <f t="shared" si="0"/>
        <v>-3.2428081447173938</v>
      </c>
      <c r="J11" s="300">
        <f>SUM(VLOOKUP(C11,'Raw - Workless'!A:Q,14,FALSE)-VLOOKUP(C11,'Raw - Workless'!A:Q,2,FALSE))</f>
        <v>-1695</v>
      </c>
      <c r="K11" s="301">
        <f t="shared" si="1"/>
        <v>-9.6928557682722687</v>
      </c>
      <c r="L11" s="302">
        <f>IF(K11="","",IF($K$5="LGBF Family Group",SUM(MROUND(SUM(SUM(VLOOKUP(C$17,'Raw - Workless'!A:Q,16,FALSE)*VLOOKUP(C11,'Raw - Workless'!A:Q,15,FALSE))/100),100)-MROUND(SUM(SUM(VLOOKUP(C11,'Raw - Workless'!A:Q,16,FALSE)*VLOOKUP(C11,'Raw - Workless'!A:Q,15,FALSE))/100),100)),IF($K$5="Glasgow City Region",SUM(MROUND(SUM(SUM(VLOOKUP(C$18,'Raw - Workless'!A:Q,16,FALSE)*VLOOKUP(C11,'Raw - Workless'!A:Q,15,FALSE))/100),100)-MROUND(SUM(SUM(VLOOKUP(C11,'Raw - Workless'!A:Q,16,FALSE)*VLOOKUP(C11,'Raw - Workless'!A:Q,15,FALSE))/100),100)),IF($K$5="Scotland",SUM(MROUND(SUM(SUM(VLOOKUP(C$19,'Raw - Workless'!A:Q,16,FALSE)*VLOOKUP(C11,'Raw - Workless'!A:Q,15,FALSE))/100),100)-MROUND(SUM(SUM(VLOOKUP(C11,'Raw - Workless'!A:Q,16,FALSE)*VLOOKUP(C11,'Raw - Workless'!A:Q,15,FALSE))/100),100)),IF($K$5="United Kingdom",SUM(MROUND(SUM(SUM(VLOOKUP(C$20,'Raw - Workless'!A:Q,16,FALSE)*VLOOKUP(C11,'Raw - Workless'!A:Q,15,FALSE))/100),100)-MROUND(SUM(SUM(VLOOKUP(C11,'Raw - Workless'!A:Q,16,FALSE)*VLOOKUP(C11,'Raw - Workless'!A:Q,15,FALSE))/100),100)),SUM(MROUND(SUM(SUM(VLOOKUP(C$16,'Raw - Workless'!A:Q,16,FALSE)*VLOOKUP(C11,'Raw - Workless'!A:Q,15,FALSE))/100),100)-MROUND(SUM(SUM(VLOOKUP(C11,'Raw - Workless'!A:Q,16,FALSE)*VLOOKUP(C11,'Raw - Workless'!A:Q,15,FALSE))/100),100)))))))</f>
        <v>-11200</v>
      </c>
    </row>
    <row r="12" spans="2:12" ht="19.5" customHeight="1">
      <c r="B12" s="296" t="s">
        <v>249</v>
      </c>
      <c r="C12" s="296" t="s">
        <v>37</v>
      </c>
      <c r="D12" s="297">
        <f>VLOOKUP($C12,'Raw - Workless'!$A:$Q,4,FALSE)</f>
        <v>16.492499431112044</v>
      </c>
      <c r="E12" s="297">
        <f>VLOOKUP($C12,'Raw - Workless'!$A:$Q,8,FALSE)</f>
        <v>17.869186337684887</v>
      </c>
      <c r="F12" s="297">
        <f>VLOOKUP($C12,'Raw - Workless'!$A:$Q,12,FALSE)</f>
        <v>18.64463867697334</v>
      </c>
      <c r="G12" s="297">
        <f>VLOOKUP($C12,'Raw - Workless'!$A:$Q,16,FALSE)</f>
        <v>17.064513884055955</v>
      </c>
      <c r="H12" s="318">
        <f>VLOOKUP(C12,'Raw - Workless'!A:Q,14,FALSE)</f>
        <v>9808</v>
      </c>
      <c r="I12" s="299">
        <f t="shared" si="0"/>
        <v>0.57201445294391107</v>
      </c>
      <c r="J12" s="300">
        <f>SUM(VLOOKUP(C12,'Raw - Workless'!A:Q,14,FALSE)-VLOOKUP(C12,'Raw - Workless'!A:Q,2,FALSE))</f>
        <v>386</v>
      </c>
      <c r="K12" s="301">
        <f t="shared" si="1"/>
        <v>-8.9808044051884952</v>
      </c>
      <c r="L12" s="302">
        <f>IF(K12="","",IF($K$5="LGBF Family Group",SUM(MROUND(SUM(SUM(VLOOKUP(C$17,'Raw - Workless'!A:Q,16,FALSE)*VLOOKUP(C12,'Raw - Workless'!A:Q,15,FALSE))/100),100)-MROUND(SUM(SUM(VLOOKUP(C12,'Raw - Workless'!A:Q,16,FALSE)*VLOOKUP(C12,'Raw - Workless'!A:Q,15,FALSE))/100),100)),IF($K$5="Glasgow City Region",SUM(MROUND(SUM(SUM(VLOOKUP(C$18,'Raw - Workless'!A:Q,16,FALSE)*VLOOKUP(C12,'Raw - Workless'!A:Q,15,FALSE))/100),100)-MROUND(SUM(SUM(VLOOKUP(C12,'Raw - Workless'!A:Q,16,FALSE)*VLOOKUP(C12,'Raw - Workless'!A:Q,15,FALSE))/100),100)),IF($K$5="Scotland",SUM(MROUND(SUM(SUM(VLOOKUP(C$19,'Raw - Workless'!A:Q,16,FALSE)*VLOOKUP(C12,'Raw - Workless'!A:Q,15,FALSE))/100),100)-MROUND(SUM(SUM(VLOOKUP(C12,'Raw - Workless'!A:Q,16,FALSE)*VLOOKUP(C12,'Raw - Workless'!A:Q,15,FALSE))/100),100)),IF($K$5="United Kingdom",SUM(MROUND(SUM(SUM(VLOOKUP(C$20,'Raw - Workless'!A:Q,16,FALSE)*VLOOKUP(C12,'Raw - Workless'!A:Q,15,FALSE))/100),100)-MROUND(SUM(SUM(VLOOKUP(C12,'Raw - Workless'!A:Q,16,FALSE)*VLOOKUP(C12,'Raw - Workless'!A:Q,15,FALSE))/100),100)),SUM(MROUND(SUM(SUM(VLOOKUP(C$16,'Raw - Workless'!A:Q,16,FALSE)*VLOOKUP(C12,'Raw - Workless'!A:Q,15,FALSE))/100),100)-MROUND(SUM(SUM(VLOOKUP(C12,'Raw - Workless'!A:Q,16,FALSE)*VLOOKUP(C12,'Raw - Workless'!A:Q,15,FALSE))/100),100)))))))</f>
        <v>-5200</v>
      </c>
    </row>
    <row r="13" spans="2:12" ht="19.5" customHeight="1">
      <c r="B13" s="296" t="s">
        <v>249</v>
      </c>
      <c r="C13" s="296" t="s">
        <v>41</v>
      </c>
      <c r="D13" s="297">
        <f>VLOOKUP($C13,'Raw - Workless'!$A:$Q,4,FALSE)</f>
        <v>17.688588380335954</v>
      </c>
      <c r="E13" s="297">
        <f>VLOOKUP($C13,'Raw - Workless'!$A:$Q,8,FALSE)</f>
        <v>18.355557649719646</v>
      </c>
      <c r="F13" s="297">
        <f>VLOOKUP($C13,'Raw - Workless'!$A:$Q,12,FALSE)</f>
        <v>15.820842121120821</v>
      </c>
      <c r="G13" s="297">
        <f>VLOOKUP($C13,'Raw - Workless'!$A:$Q,16,FALSE)</f>
        <v>14.283133799636724</v>
      </c>
      <c r="H13" s="318">
        <f>VLOOKUP(C13,'Raw - Workless'!A:Q,14,FALSE)</f>
        <v>14233</v>
      </c>
      <c r="I13" s="299">
        <f t="shared" si="0"/>
        <v>-3.4054545806992298</v>
      </c>
      <c r="J13" s="300">
        <f>SUM(VLOOKUP(C13,'Raw - Workless'!A:Q,14,FALSE)-VLOOKUP(C13,'Raw - Workless'!A:Q,2,FALSE))</f>
        <v>-4132</v>
      </c>
      <c r="K13" s="301">
        <f t="shared" si="1"/>
        <v>-6.1994243207692641</v>
      </c>
      <c r="L13" s="302">
        <f>IF(K13="","",IF($K$5="LGBF Family Group",SUM(MROUND(SUM(SUM(VLOOKUP(C$17,'Raw - Workless'!A:Q,16,FALSE)*VLOOKUP(C13,'Raw - Workless'!A:Q,15,FALSE))/100),100)-MROUND(SUM(SUM(VLOOKUP(C13,'Raw - Workless'!A:Q,16,FALSE)*VLOOKUP(C13,'Raw - Workless'!A:Q,15,FALSE))/100),100)),IF($K$5="Glasgow City Region",SUM(MROUND(SUM(SUM(VLOOKUP(C$18,'Raw - Workless'!A:Q,16,FALSE)*VLOOKUP(C13,'Raw - Workless'!A:Q,15,FALSE))/100),100)-MROUND(SUM(SUM(VLOOKUP(C13,'Raw - Workless'!A:Q,16,FALSE)*VLOOKUP(C13,'Raw - Workless'!A:Q,15,FALSE))/100),100)),IF($K$5="Scotland",SUM(MROUND(SUM(SUM(VLOOKUP(C$19,'Raw - Workless'!A:Q,16,FALSE)*VLOOKUP(C13,'Raw - Workless'!A:Q,15,FALSE))/100),100)-MROUND(SUM(SUM(VLOOKUP(C13,'Raw - Workless'!A:Q,16,FALSE)*VLOOKUP(C13,'Raw - Workless'!A:Q,15,FALSE))/100),100)),IF($K$5="United Kingdom",SUM(MROUND(SUM(SUM(VLOOKUP(C$20,'Raw - Workless'!A:Q,16,FALSE)*VLOOKUP(C13,'Raw - Workless'!A:Q,15,FALSE))/100),100)-MROUND(SUM(SUM(VLOOKUP(C13,'Raw - Workless'!A:Q,16,FALSE)*VLOOKUP(C13,'Raw - Workless'!A:Q,15,FALSE))/100),100)),SUM(MROUND(SUM(SUM(VLOOKUP(C$16,'Raw - Workless'!A:Q,16,FALSE)*VLOOKUP(C13,'Raw - Workless'!A:Q,15,FALSE))/100),100)-MROUND(SUM(SUM(VLOOKUP(C13,'Raw - Workless'!A:Q,16,FALSE)*VLOOKUP(C13,'Raw - Workless'!A:Q,15,FALSE))/100),100)))))))</f>
        <v>-6100</v>
      </c>
    </row>
    <row r="14" spans="2:12" ht="19.5" customHeight="1">
      <c r="B14" s="296" t="s">
        <v>249</v>
      </c>
      <c r="C14" s="296" t="s">
        <v>43</v>
      </c>
      <c r="D14" s="297">
        <f>VLOOKUP($C14,'Raw - Workless'!$A:$Q,4,FALSE)</f>
        <v>19.021701923735197</v>
      </c>
      <c r="E14" s="297">
        <f>VLOOKUP($C14,'Raw - Workless'!$A:$Q,8,FALSE)</f>
        <v>18.724931391175851</v>
      </c>
      <c r="F14" s="297">
        <f>VLOOKUP($C14,'Raw - Workless'!$A:$Q,12,FALSE)</f>
        <v>17.231008739341188</v>
      </c>
      <c r="G14" s="297">
        <f>VLOOKUP($C14,'Raw - Workless'!$A:$Q,16,FALSE)</f>
        <v>23.917096172825968</v>
      </c>
      <c r="H14" s="318">
        <f>VLOOKUP(C14,'Raw - Workless'!A:Q,14,FALSE)</f>
        <v>6543</v>
      </c>
      <c r="I14" s="299">
        <f t="shared" si="0"/>
        <v>4.8953942490907707</v>
      </c>
      <c r="J14" s="300">
        <f>SUM(VLOOKUP(C14,'Raw - Workless'!A:Q,14,FALSE)-VLOOKUP(C14,'Raw - Workless'!A:Q,2,FALSE))</f>
        <v>986</v>
      </c>
      <c r="K14" s="301">
        <f t="shared" si="1"/>
        <v>-15.833386693958508</v>
      </c>
      <c r="L14" s="302">
        <f>IF(K14="","",IF($K$5="LGBF Family Group",SUM(MROUND(SUM(SUM(VLOOKUP(C$17,'Raw - Workless'!A:Q,16,FALSE)*VLOOKUP(C14,'Raw - Workless'!A:Q,15,FALSE))/100),100)-MROUND(SUM(SUM(VLOOKUP(C14,'Raw - Workless'!A:Q,16,FALSE)*VLOOKUP(C14,'Raw - Workless'!A:Q,15,FALSE))/100),100)),IF($K$5="Glasgow City Region",SUM(MROUND(SUM(SUM(VLOOKUP(C$18,'Raw - Workless'!A:Q,16,FALSE)*VLOOKUP(C14,'Raw - Workless'!A:Q,15,FALSE))/100),100)-MROUND(SUM(SUM(VLOOKUP(C14,'Raw - Workless'!A:Q,16,FALSE)*VLOOKUP(C14,'Raw - Workless'!A:Q,15,FALSE))/100),100)),IF($K$5="Scotland",SUM(MROUND(SUM(SUM(VLOOKUP(C$19,'Raw - Workless'!A:Q,16,FALSE)*VLOOKUP(C14,'Raw - Workless'!A:Q,15,FALSE))/100),100)-MROUND(SUM(SUM(VLOOKUP(C14,'Raw - Workless'!A:Q,16,FALSE)*VLOOKUP(C14,'Raw - Workless'!A:Q,15,FALSE))/100),100)),IF($K$5="United Kingdom",SUM(MROUND(SUM(SUM(VLOOKUP(C$20,'Raw - Workless'!A:Q,16,FALSE)*VLOOKUP(C14,'Raw - Workless'!A:Q,15,FALSE))/100),100)-MROUND(SUM(SUM(VLOOKUP(C14,'Raw - Workless'!A:Q,16,FALSE)*VLOOKUP(C14,'Raw - Workless'!A:Q,15,FALSE))/100),100)),SUM(MROUND(SUM(SUM(VLOOKUP(C$16,'Raw - Workless'!A:Q,16,FALSE)*VLOOKUP(C14,'Raw - Workless'!A:Q,15,FALSE))/100),100)-MROUND(SUM(SUM(VLOOKUP(C14,'Raw - Workless'!A:Q,16,FALSE)*VLOOKUP(C14,'Raw - Workless'!A:Q,15,FALSE))/100),100)))))))</f>
        <v>-4300</v>
      </c>
    </row>
    <row r="15" spans="2:12" ht="19.5" customHeight="1">
      <c r="B15" s="303"/>
      <c r="C15" s="303"/>
      <c r="D15" s="304"/>
      <c r="E15" s="304"/>
      <c r="F15" s="304"/>
      <c r="G15" s="304"/>
      <c r="H15" s="304"/>
      <c r="I15" s="306"/>
      <c r="J15" s="306"/>
      <c r="K15" s="306"/>
      <c r="L15" s="306"/>
    </row>
    <row r="16" spans="2:12" ht="19.5" customHeight="1">
      <c r="B16" s="307" t="s">
        <v>51</v>
      </c>
      <c r="C16" s="296" t="str">
        <f>INDEX('Raw - Workless'!$A$9:$A$40,MATCH(MIN('Raw - Workless'!P9:P40),'Raw - Workless'!P9:P40,0))</f>
        <v>Midlothian</v>
      </c>
      <c r="D16" s="297">
        <f>VLOOKUP($C16,'Raw - Workless'!$A:$Q,4,FALSE)</f>
        <v>13.472118959107807</v>
      </c>
      <c r="E16" s="297">
        <f>VLOOKUP($C16,'Raw - Workless'!$A:$Q,8,FALSE)</f>
        <v>10.770894715250066</v>
      </c>
      <c r="F16" s="297">
        <f>VLOOKUP($C16,'Raw - Workless'!$A:$Q,12,FALSE)</f>
        <v>11.18010140348299</v>
      </c>
      <c r="G16" s="297">
        <f>VLOOKUP($C16,'Raw - Workless'!$A:$Q,16,FALSE)</f>
        <v>8.0837094788674602</v>
      </c>
      <c r="H16" s="318">
        <f>VLOOKUP(C16,'Raw - Workless'!A:Q,14,FALSE)</f>
        <v>2167</v>
      </c>
      <c r="I16" s="299">
        <f>SUM(G16-D16)</f>
        <v>-5.3884094802403464</v>
      </c>
      <c r="J16" s="300">
        <f>SUM(VLOOKUP(C16,'Raw - Workless'!A:Q,14,FALSE)-VLOOKUP(C16,'Raw - Workless'!A:Q,2,FALSE))</f>
        <v>-1457</v>
      </c>
    </row>
    <row r="17" spans="2:12" ht="19.5" customHeight="1">
      <c r="B17" s="307" t="s">
        <v>542</v>
      </c>
      <c r="C17" s="308" t="s">
        <v>546</v>
      </c>
      <c r="D17" s="297">
        <f>VLOOKUP($C17,'Raw - Workless'!$A:$Q,4,FALSE)</f>
        <v>19.082491667254072</v>
      </c>
      <c r="E17" s="297">
        <f>VLOOKUP($C17,'Raw - Workless'!$A:$Q,8,FALSE)</f>
        <v>19.106690563298919</v>
      </c>
      <c r="F17" s="297">
        <f>VLOOKUP($C17,'Raw - Workless'!$A:$Q,12,FALSE)</f>
        <v>18.591632076714092</v>
      </c>
      <c r="G17" s="297">
        <f>VLOOKUP($C17,'Raw - Workless'!$A:$Q,16,FALSE)</f>
        <v>17.785249546975493</v>
      </c>
      <c r="H17" s="318">
        <f>VLOOKUP(C17,'Raw - Workless'!A:Q,14,FALSE)</f>
        <v>142608</v>
      </c>
      <c r="I17" s="299">
        <f>SUM(G17-D17)</f>
        <v>-1.2972421202785789</v>
      </c>
      <c r="J17" s="300">
        <f>SUM(VLOOKUP(C17,'Raw - Workless'!A:Q,14,FALSE)-VLOOKUP(C17,'Raw - Workless'!A:Q,2,FALSE))</f>
        <v>-8994</v>
      </c>
    </row>
    <row r="18" spans="2:12" ht="19.5" customHeight="1">
      <c r="B18" s="307" t="s">
        <v>250</v>
      </c>
      <c r="C18" s="296" t="s">
        <v>47</v>
      </c>
      <c r="D18" s="297">
        <f>VLOOKUP($C18,'Raw - Workless'!$A:$Q,4,FALSE)</f>
        <v>20.241545508862778</v>
      </c>
      <c r="E18" s="297">
        <f>VLOOKUP($C18,'Raw - Workless'!$A:$Q,8,FALSE)</f>
        <v>22.132912211342546</v>
      </c>
      <c r="F18" s="297">
        <f>VLOOKUP($C18,'Raw - Workless'!$A:$Q,12,FALSE)</f>
        <v>19.489958778748665</v>
      </c>
      <c r="G18" s="297">
        <f>VLOOKUP($C18,'Raw - Workless'!$A:$Q,16,FALSE)</f>
        <v>18.235810263284609</v>
      </c>
      <c r="H18" s="318">
        <f>VLOOKUP(C18,'Raw - Workless'!A:Q,14,FALSE)</f>
        <v>108694</v>
      </c>
      <c r="I18" s="299">
        <f t="shared" si="0"/>
        <v>-2.005735245578169</v>
      </c>
      <c r="J18" s="300">
        <f>SUM(VLOOKUP(C18,'Raw - Workless'!A:Q,14,FALSE)-VLOOKUP(C18,'Raw - Workless'!A:Q,2,FALSE))</f>
        <v>-18347</v>
      </c>
    </row>
    <row r="19" spans="2:12" ht="19.5" customHeight="1">
      <c r="B19" s="307" t="s">
        <v>251</v>
      </c>
      <c r="C19" s="296" t="s">
        <v>45</v>
      </c>
      <c r="D19" s="297">
        <f>VLOOKUP($C19,'Raw - Workless'!$A:$Q,4,FALSE)</f>
        <v>21.450703821992789</v>
      </c>
      <c r="E19" s="297">
        <f>VLOOKUP($C19,'Raw - Workless'!$A:$Q,8,FALSE)</f>
        <v>18.57587008531576</v>
      </c>
      <c r="F19" s="297">
        <f>VLOOKUP($C19,'Raw - Workless'!$A:$Q,12,FALSE)</f>
        <v>17.78044039903768</v>
      </c>
      <c r="G19" s="297">
        <f>VLOOKUP($C19,'Raw - Workless'!$A:$Q,16,FALSE)</f>
        <v>17.411213010467797</v>
      </c>
      <c r="H19" s="318">
        <f>VLOOKUP(C19,'Raw - Workless'!A:Q,14,FALSE)</f>
        <v>309060</v>
      </c>
      <c r="I19" s="299">
        <f t="shared" si="0"/>
        <v>-4.0394908115249919</v>
      </c>
      <c r="J19" s="300">
        <f>SUM(VLOOKUP(C19,'Raw - Workless'!A:Q,14,FALSE)-VLOOKUP(C19,'Raw - Workless'!A:Q,2,FALSE))</f>
        <v>-9946</v>
      </c>
    </row>
    <row r="20" spans="2:12" ht="19.5" customHeight="1">
      <c r="B20" s="307" t="s">
        <v>251</v>
      </c>
      <c r="C20" s="296" t="s">
        <v>46</v>
      </c>
      <c r="D20" s="297">
        <f>VLOOKUP($C20,'Raw - Workless'!$A:$Q,4,FALSE)</f>
        <v>16.297118676596011</v>
      </c>
      <c r="E20" s="297">
        <f>VLOOKUP($C20,'Raw - Workless'!$A:$Q,8,FALSE)</f>
        <v>14.135139175997995</v>
      </c>
      <c r="F20" s="297">
        <f>VLOOKUP($C20,'Raw - Workless'!$A:$Q,12,FALSE)</f>
        <v>13.923926041194438</v>
      </c>
      <c r="G20" s="297">
        <f>VLOOKUP($C20,'Raw - Workless'!$A:$Q,16,FALSE)</f>
        <v>13.888453323453035</v>
      </c>
      <c r="H20" s="318">
        <f>VLOOKUP(C20,'Raw - Workless'!A:Q,14,FALSE)</f>
        <v>2955658</v>
      </c>
      <c r="I20" s="299">
        <f t="shared" si="0"/>
        <v>-2.4086653531429754</v>
      </c>
      <c r="J20" s="300">
        <f>SUM(VLOOKUP(C20,'Raw - Workless'!A:Q,14,FALSE)-VLOOKUP(C20,'Raw - Workless'!A:Q,2,FALSE))</f>
        <v>-4373</v>
      </c>
    </row>
    <row r="21" spans="2:12" ht="19.5" customHeight="1">
      <c r="C21" s="309"/>
      <c r="D21" s="310"/>
      <c r="E21" s="310"/>
      <c r="F21" s="310"/>
      <c r="G21" s="310"/>
      <c r="H21" s="310"/>
      <c r="I21" s="310"/>
      <c r="J21" s="310"/>
      <c r="K21" s="310"/>
      <c r="L21" s="310"/>
    </row>
    <row r="22" spans="2:12">
      <c r="B22" s="313"/>
      <c r="D22" s="311"/>
      <c r="E22" s="311"/>
      <c r="F22" s="312" t="str">
        <f>CONCATENATE(G22,H22)</f>
        <v>Volume Change Required to match Geographic Area - Top Performing Scottish Local Authority</v>
      </c>
      <c r="G22" s="312" t="s">
        <v>519</v>
      </c>
      <c r="H22" s="312" t="str">
        <f>K5</f>
        <v>Top Performing Scottish Local Authority</v>
      </c>
    </row>
    <row r="23" spans="2:12">
      <c r="B23" s="313" t="s">
        <v>467</v>
      </c>
    </row>
    <row r="24" spans="2:12">
      <c r="I24" s="314"/>
      <c r="J24" s="314"/>
      <c r="K24" s="314"/>
      <c r="L24" s="311"/>
    </row>
  </sheetData>
  <sheetProtection algorithmName="SHA-512" hashValue="Lfm4hesL86yr5p3UtE6yGwjmIuMF/ug8KuWPNItuC5Dp2SPNC3l33fL9bbWD9mQIfjnC8YkDfOHc96RfeKQ3IA==" saltValue="JxUIM4z5oCymep/l5PD6Kw==" spinCount="100000" sheet="1" objects="1" scenarios="1"/>
  <autoFilter ref="C6:L14" xr:uid="{00000000-0009-0000-0000-000007000000}"/>
  <mergeCells count="4">
    <mergeCell ref="K4:L4"/>
    <mergeCell ref="I5:J5"/>
    <mergeCell ref="K5:L5"/>
    <mergeCell ref="F2:G2"/>
  </mergeCells>
  <dataValidations count="1">
    <dataValidation type="list" allowBlank="1" showInputMessage="1" showErrorMessage="1" sqref="C17" xr:uid="{00000000-0002-0000-0700-000000000000}">
      <formula1>IF(B17="LGBF Family Group 1",LGBF_5,IF(B17="LGBF Family Group 3",LGBF_7,IF(B17="LGBF Family Group 4",LGBF_8,LGBF_6)))</formula1>
    </dataValidation>
  </dataValidations>
  <hyperlinks>
    <hyperlink ref="C3" r:id="rId1" xr:uid="{00000000-0004-0000-0700-000000000000}"/>
    <hyperlink ref="F2:G2" location="'Index RAG'!A1" display="Return to Index RAG" xr:uid="{00000000-0004-0000-07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1000000}">
          <x14:formula1>
            <xm:f>Lookups!$L$8:$O$8</xm:f>
          </x14:formula1>
          <xm:sqref>B17</xm:sqref>
        </x14:dataValidation>
        <x14:dataValidation type="list" allowBlank="1" showInputMessage="1" showErrorMessage="1" xr:uid="{00000000-0002-0000-0700-000002000000}">
          <x14:formula1>
            <xm:f>Lookups!$B$3:$B$7</xm:f>
          </x14:formula1>
          <xm:sqref>K5:L5</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autoPageBreaks="0"/>
  </sheetPr>
  <dimension ref="A1:Q146"/>
  <sheetViews>
    <sheetView zoomScale="55" zoomScaleNormal="55" workbookViewId="0">
      <selection activeCell="F2" sqref="F2:G2"/>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1"/>
      <c r="B1" s="1"/>
      <c r="C1" s="1"/>
    </row>
    <row r="2" spans="1:16">
      <c r="A2" s="2" t="s">
        <v>207</v>
      </c>
      <c r="B2" s="2"/>
      <c r="C2" s="2"/>
    </row>
    <row r="4" spans="1:16">
      <c r="A4" s="6" t="s">
        <v>150</v>
      </c>
      <c r="B4" s="6"/>
      <c r="C4" s="6"/>
      <c r="D4" s="6" t="s">
        <v>82</v>
      </c>
      <c r="E4" s="6"/>
      <c r="F4" s="6"/>
      <c r="G4" s="6"/>
    </row>
    <row r="5" spans="1:16">
      <c r="A5" s="6" t="s">
        <v>149</v>
      </c>
      <c r="B5" s="6"/>
      <c r="C5" s="6"/>
      <c r="D5" s="6" t="s">
        <v>82</v>
      </c>
      <c r="E5" s="6"/>
      <c r="F5" s="6"/>
      <c r="G5" s="6"/>
    </row>
    <row r="6" spans="1:16">
      <c r="A6" s="6" t="s">
        <v>3</v>
      </c>
      <c r="B6" s="6"/>
      <c r="C6" s="6"/>
      <c r="D6" s="6" t="s">
        <v>248</v>
      </c>
      <c r="E6" s="6"/>
      <c r="F6" s="6"/>
      <c r="G6" s="6"/>
    </row>
    <row r="8" spans="1:16" ht="22" customHeight="1">
      <c r="A8" s="12" t="s">
        <v>5</v>
      </c>
      <c r="B8" s="12"/>
      <c r="C8" s="12" t="s">
        <v>217</v>
      </c>
      <c r="D8" s="65">
        <v>2015</v>
      </c>
      <c r="E8" s="65"/>
      <c r="F8" s="65"/>
      <c r="G8" s="12" t="s">
        <v>217</v>
      </c>
      <c r="H8" s="65">
        <v>2017</v>
      </c>
      <c r="I8" s="65"/>
      <c r="J8" s="65"/>
      <c r="K8" s="12" t="s">
        <v>217</v>
      </c>
      <c r="L8" s="65">
        <v>2019</v>
      </c>
      <c r="M8" s="65"/>
      <c r="N8" s="65"/>
      <c r="O8" s="12" t="s">
        <v>217</v>
      </c>
      <c r="P8" s="65">
        <v>2021</v>
      </c>
    </row>
    <row r="9" spans="1:16">
      <c r="A9" s="6" t="s">
        <v>14</v>
      </c>
      <c r="B9" s="410">
        <f t="shared" ref="B9:B37" si="0">VLOOKUP($A9,$A$108:$P$143,4,FALSE)</f>
        <v>127</v>
      </c>
      <c r="C9" s="410">
        <f t="shared" ref="C9:C37" si="1">SUM(VLOOKUP($A9,$A$60:$Q$95,4,FALSE)/10000)</f>
        <v>23.035</v>
      </c>
      <c r="D9" s="388">
        <f>SUM(B9/C9)</f>
        <v>5.5133492511395703</v>
      </c>
      <c r="E9" s="9"/>
      <c r="F9" s="410">
        <f t="shared" ref="F9:F37" si="2">VLOOKUP($A9,$A$108:$P$143,8,FALSE)</f>
        <v>139</v>
      </c>
      <c r="G9" s="410">
        <f t="shared" ref="G9:G37" si="3">SUM(VLOOKUP($A9,$A$60:$Q$95,8,FALSE)/10000)</f>
        <v>22.88</v>
      </c>
      <c r="H9" s="388">
        <f>SUM(F9/G9)</f>
        <v>6.0751748251748259</v>
      </c>
      <c r="I9" s="9"/>
      <c r="J9" s="410">
        <f t="shared" ref="J9:J37" si="4">VLOOKUP($A9,$A$108:$P$143,12,FALSE)</f>
        <v>151</v>
      </c>
      <c r="K9" s="410">
        <f t="shared" ref="K9:K37" si="5">SUM(VLOOKUP($A9,$A$60:$Q$95,12,FALSE)/10000)</f>
        <v>22.867000000000001</v>
      </c>
      <c r="L9" s="388">
        <f>SUM(J9/K9)</f>
        <v>6.6034022827655567</v>
      </c>
      <c r="M9" s="9"/>
      <c r="N9" s="410">
        <f t="shared" ref="N9:N37" si="6">VLOOKUP($A9,$A$108:$P$143,16,FALSE)</f>
        <v>148</v>
      </c>
      <c r="O9" s="410">
        <f t="shared" ref="O9:O37" si="7">SUM(VLOOKUP($A9,$A$60:$Q$95,16,FALSE)/10000)</f>
        <v>22.742999999999999</v>
      </c>
      <c r="P9" s="388">
        <f>SUM(N9/O9)</f>
        <v>6.5074968122059538</v>
      </c>
    </row>
    <row r="10" spans="1:16">
      <c r="A10" s="6" t="s">
        <v>15</v>
      </c>
      <c r="B10" s="410">
        <f t="shared" si="0"/>
        <v>245</v>
      </c>
      <c r="C10" s="410">
        <f t="shared" si="1"/>
        <v>26.196000000000002</v>
      </c>
      <c r="D10" s="388">
        <f t="shared" ref="D10:D49" si="8">SUM(B10/C10)</f>
        <v>9.3525729118949457</v>
      </c>
      <c r="E10" s="9"/>
      <c r="F10" s="410">
        <f t="shared" si="2"/>
        <v>291</v>
      </c>
      <c r="G10" s="410">
        <f t="shared" si="3"/>
        <v>26.18</v>
      </c>
      <c r="H10" s="388">
        <f t="shared" ref="H10:H49" si="9">SUM(F10/G10)</f>
        <v>11.115355233002292</v>
      </c>
      <c r="I10" s="9"/>
      <c r="J10" s="410">
        <f t="shared" si="4"/>
        <v>292</v>
      </c>
      <c r="K10" s="410">
        <f t="shared" si="5"/>
        <v>26.120999999999999</v>
      </c>
      <c r="L10" s="388">
        <f t="shared" ref="L10:L49" si="10">SUM(J10/K10)</f>
        <v>11.178745071015658</v>
      </c>
      <c r="M10" s="9"/>
      <c r="N10" s="410">
        <f t="shared" si="6"/>
        <v>287</v>
      </c>
      <c r="O10" s="410">
        <f t="shared" si="7"/>
        <v>26.268999999999998</v>
      </c>
      <c r="P10" s="388">
        <f t="shared" ref="P10:P41" si="11">SUM(N10/O10)</f>
        <v>10.925425406372531</v>
      </c>
    </row>
    <row r="11" spans="1:16">
      <c r="A11" s="6" t="s">
        <v>16</v>
      </c>
      <c r="B11" s="410">
        <f t="shared" si="0"/>
        <v>93</v>
      </c>
      <c r="C11" s="410">
        <f t="shared" si="1"/>
        <v>11.69</v>
      </c>
      <c r="D11" s="388">
        <f t="shared" si="8"/>
        <v>7.9555175363558597</v>
      </c>
      <c r="E11" s="9"/>
      <c r="F11" s="410">
        <f t="shared" si="2"/>
        <v>109</v>
      </c>
      <c r="G11" s="410">
        <f t="shared" si="3"/>
        <v>11.628</v>
      </c>
      <c r="H11" s="388">
        <f t="shared" si="9"/>
        <v>9.3739250085999313</v>
      </c>
      <c r="I11" s="9"/>
      <c r="J11" s="410">
        <f t="shared" si="4"/>
        <v>119</v>
      </c>
      <c r="K11" s="410">
        <f t="shared" si="5"/>
        <v>11.62</v>
      </c>
      <c r="L11" s="388">
        <f t="shared" si="10"/>
        <v>10.240963855421688</v>
      </c>
      <c r="M11" s="9"/>
      <c r="N11" s="410">
        <f t="shared" si="6"/>
        <v>114</v>
      </c>
      <c r="O11" s="410">
        <f t="shared" si="7"/>
        <v>11.612</v>
      </c>
      <c r="P11" s="388">
        <f t="shared" si="11"/>
        <v>9.8174302445745774</v>
      </c>
    </row>
    <row r="12" spans="1:16">
      <c r="A12" s="6" t="s">
        <v>17</v>
      </c>
      <c r="B12" s="410">
        <f t="shared" si="0"/>
        <v>244</v>
      </c>
      <c r="C12" s="410">
        <f t="shared" si="1"/>
        <v>8.6890000000000001</v>
      </c>
      <c r="D12" s="388">
        <f t="shared" si="8"/>
        <v>28.081482333985498</v>
      </c>
      <c r="E12" s="9"/>
      <c r="F12" s="410">
        <f t="shared" si="2"/>
        <v>246</v>
      </c>
      <c r="G12" s="410">
        <f t="shared" si="3"/>
        <v>8.6809999999999992</v>
      </c>
      <c r="H12" s="388">
        <f t="shared" si="9"/>
        <v>28.337749107245713</v>
      </c>
      <c r="I12" s="9"/>
      <c r="J12" s="410">
        <f t="shared" si="4"/>
        <v>253</v>
      </c>
      <c r="K12" s="410">
        <f t="shared" si="5"/>
        <v>8.5869999999999997</v>
      </c>
      <c r="L12" s="388">
        <f t="shared" si="10"/>
        <v>29.463141958774894</v>
      </c>
      <c r="M12" s="9"/>
      <c r="N12" s="410">
        <f t="shared" si="6"/>
        <v>257</v>
      </c>
      <c r="O12" s="410">
        <f t="shared" si="7"/>
        <v>8.6219999999999999</v>
      </c>
      <c r="P12" s="388">
        <f t="shared" si="11"/>
        <v>29.80746926467177</v>
      </c>
    </row>
    <row r="13" spans="1:16">
      <c r="A13" s="6" t="s">
        <v>189</v>
      </c>
      <c r="B13" s="410">
        <f t="shared" si="0"/>
        <v>670</v>
      </c>
      <c r="C13" s="410">
        <f t="shared" si="1"/>
        <v>49.881</v>
      </c>
      <c r="D13" s="388">
        <f t="shared" si="8"/>
        <v>13.431968084040015</v>
      </c>
      <c r="E13" s="9"/>
      <c r="F13" s="410">
        <f t="shared" si="2"/>
        <v>716</v>
      </c>
      <c r="G13" s="410">
        <f t="shared" si="3"/>
        <v>51.320999999999998</v>
      </c>
      <c r="H13" s="388">
        <f t="shared" si="9"/>
        <v>13.951403908731319</v>
      </c>
      <c r="I13" s="9"/>
      <c r="J13" s="410">
        <f t="shared" si="4"/>
        <v>777</v>
      </c>
      <c r="K13" s="410">
        <f t="shared" si="5"/>
        <v>52.493000000000002</v>
      </c>
      <c r="L13" s="388">
        <f t="shared" si="10"/>
        <v>14.801973596479529</v>
      </c>
      <c r="M13" s="9"/>
      <c r="N13" s="410">
        <f t="shared" si="6"/>
        <v>781</v>
      </c>
      <c r="O13" s="410">
        <f t="shared" si="7"/>
        <v>52.646999999999998</v>
      </c>
      <c r="P13" s="388">
        <f t="shared" si="11"/>
        <v>14.834653446540164</v>
      </c>
    </row>
    <row r="14" spans="1:16">
      <c r="A14" s="6" t="s">
        <v>18</v>
      </c>
      <c r="B14" s="410">
        <f t="shared" si="0"/>
        <v>32</v>
      </c>
      <c r="C14" s="410">
        <f t="shared" si="1"/>
        <v>5.1360000000000001</v>
      </c>
      <c r="D14" s="388">
        <f t="shared" si="8"/>
        <v>6.2305295950155761</v>
      </c>
      <c r="E14" s="9"/>
      <c r="F14" s="410">
        <f t="shared" si="2"/>
        <v>29</v>
      </c>
      <c r="G14" s="410">
        <f t="shared" si="3"/>
        <v>5.1449999999999996</v>
      </c>
      <c r="H14" s="388">
        <f t="shared" si="9"/>
        <v>5.6365403304178816</v>
      </c>
      <c r="I14" s="9"/>
      <c r="J14" s="410">
        <f t="shared" si="4"/>
        <v>38</v>
      </c>
      <c r="K14" s="410">
        <f t="shared" si="5"/>
        <v>5.1539999999999999</v>
      </c>
      <c r="L14" s="388">
        <f t="shared" si="10"/>
        <v>7.3729142413659297</v>
      </c>
      <c r="M14" s="9"/>
      <c r="N14" s="410">
        <f t="shared" si="6"/>
        <v>35</v>
      </c>
      <c r="O14" s="410">
        <f t="shared" si="7"/>
        <v>5.1539999999999999</v>
      </c>
      <c r="P14" s="388">
        <f t="shared" si="11"/>
        <v>6.7908420644159877</v>
      </c>
    </row>
    <row r="15" spans="1:16">
      <c r="A15" s="6" t="s">
        <v>19</v>
      </c>
      <c r="B15" s="410">
        <f t="shared" si="0"/>
        <v>190</v>
      </c>
      <c r="C15" s="410">
        <f t="shared" si="1"/>
        <v>14.967000000000001</v>
      </c>
      <c r="D15" s="388">
        <f t="shared" si="8"/>
        <v>12.694594775172044</v>
      </c>
      <c r="E15" s="9"/>
      <c r="F15" s="410">
        <f t="shared" si="2"/>
        <v>218</v>
      </c>
      <c r="G15" s="410">
        <f t="shared" si="3"/>
        <v>14.92</v>
      </c>
      <c r="H15" s="388">
        <f t="shared" si="9"/>
        <v>14.611260053619302</v>
      </c>
      <c r="I15" s="9"/>
      <c r="J15" s="410">
        <f t="shared" si="4"/>
        <v>239</v>
      </c>
      <c r="K15" s="410">
        <f t="shared" si="5"/>
        <v>14.885999999999999</v>
      </c>
      <c r="L15" s="388">
        <f t="shared" si="10"/>
        <v>16.05535402391509</v>
      </c>
      <c r="M15" s="9"/>
      <c r="N15" s="410">
        <f t="shared" si="6"/>
        <v>239</v>
      </c>
      <c r="O15" s="410">
        <f t="shared" si="7"/>
        <v>14.879</v>
      </c>
      <c r="P15" s="388">
        <f t="shared" si="11"/>
        <v>16.062907453457893</v>
      </c>
    </row>
    <row r="16" spans="1:16">
      <c r="A16" s="6" t="s">
        <v>20</v>
      </c>
      <c r="B16" s="410">
        <f t="shared" si="0"/>
        <v>132</v>
      </c>
      <c r="C16" s="410">
        <f t="shared" si="1"/>
        <v>14.821</v>
      </c>
      <c r="D16" s="388">
        <f t="shared" si="8"/>
        <v>8.9062816274205527</v>
      </c>
      <c r="E16" s="9"/>
      <c r="F16" s="410">
        <f t="shared" si="2"/>
        <v>135</v>
      </c>
      <c r="G16" s="410">
        <f t="shared" si="3"/>
        <v>14.871</v>
      </c>
      <c r="H16" s="388">
        <f t="shared" si="9"/>
        <v>9.0780714141617906</v>
      </c>
      <c r="I16" s="9"/>
      <c r="J16" s="410">
        <f t="shared" si="4"/>
        <v>138</v>
      </c>
      <c r="K16" s="410">
        <f t="shared" si="5"/>
        <v>14.932</v>
      </c>
      <c r="L16" s="388">
        <f t="shared" si="10"/>
        <v>9.241896597910527</v>
      </c>
      <c r="M16" s="9"/>
      <c r="N16" s="410">
        <f t="shared" si="6"/>
        <v>136</v>
      </c>
      <c r="O16" s="410">
        <f t="shared" si="7"/>
        <v>14.772</v>
      </c>
      <c r="P16" s="388">
        <f t="shared" si="11"/>
        <v>9.2066070945031147</v>
      </c>
    </row>
    <row r="17" spans="1:16">
      <c r="A17" s="6" t="s">
        <v>21</v>
      </c>
      <c r="B17" s="410">
        <f t="shared" si="0"/>
        <v>69</v>
      </c>
      <c r="C17" s="410">
        <f t="shared" si="1"/>
        <v>12.206</v>
      </c>
      <c r="D17" s="388">
        <f t="shared" si="8"/>
        <v>5.6529575618548256</v>
      </c>
      <c r="E17" s="9"/>
      <c r="F17" s="410">
        <f t="shared" si="2"/>
        <v>73</v>
      </c>
      <c r="G17" s="410">
        <f t="shared" si="3"/>
        <v>12.194000000000001</v>
      </c>
      <c r="H17" s="388">
        <f t="shared" si="9"/>
        <v>5.9865507626701655</v>
      </c>
      <c r="I17" s="9"/>
      <c r="J17" s="410">
        <f t="shared" si="4"/>
        <v>76</v>
      </c>
      <c r="K17" s="410">
        <f t="shared" si="5"/>
        <v>12.201000000000001</v>
      </c>
      <c r="L17" s="388">
        <f t="shared" si="10"/>
        <v>6.2289976231456432</v>
      </c>
      <c r="M17" s="9"/>
      <c r="N17" s="410">
        <f t="shared" si="6"/>
        <v>76</v>
      </c>
      <c r="O17" s="410">
        <f t="shared" si="7"/>
        <v>12.202</v>
      </c>
      <c r="P17" s="388">
        <f t="shared" si="11"/>
        <v>6.2284871332568432</v>
      </c>
    </row>
    <row r="18" spans="1:16">
      <c r="A18" s="6" t="s">
        <v>22</v>
      </c>
      <c r="B18" s="410">
        <f t="shared" si="0"/>
        <v>51</v>
      </c>
      <c r="C18" s="410">
        <f t="shared" si="1"/>
        <v>10.696</v>
      </c>
      <c r="D18" s="388">
        <f t="shared" si="8"/>
        <v>4.7681376215407631</v>
      </c>
      <c r="E18" s="9"/>
      <c r="F18" s="410">
        <f t="shared" si="2"/>
        <v>52</v>
      </c>
      <c r="G18" s="410">
        <f t="shared" si="3"/>
        <v>10.813000000000001</v>
      </c>
      <c r="H18" s="388">
        <f t="shared" si="9"/>
        <v>4.8090261722001291</v>
      </c>
      <c r="I18" s="9"/>
      <c r="J18" s="410">
        <f t="shared" si="4"/>
        <v>60</v>
      </c>
      <c r="K18" s="410">
        <f t="shared" si="5"/>
        <v>10.864000000000001</v>
      </c>
      <c r="L18" s="388">
        <f t="shared" si="10"/>
        <v>5.5228276877761413</v>
      </c>
      <c r="M18" s="9"/>
      <c r="N18" s="410">
        <f t="shared" si="6"/>
        <v>55</v>
      </c>
      <c r="O18" s="410">
        <f t="shared" si="7"/>
        <v>10.89</v>
      </c>
      <c r="P18" s="388">
        <f t="shared" si="11"/>
        <v>5.0505050505050502</v>
      </c>
    </row>
    <row r="19" spans="1:16">
      <c r="A19" s="6" t="s">
        <v>23</v>
      </c>
      <c r="B19" s="410">
        <f t="shared" si="0"/>
        <v>125</v>
      </c>
      <c r="C19" s="410">
        <f t="shared" si="1"/>
        <v>10.305</v>
      </c>
      <c r="D19" s="388">
        <f t="shared" si="8"/>
        <v>12.1300339640951</v>
      </c>
      <c r="E19" s="9"/>
      <c r="F19" s="410">
        <f t="shared" si="2"/>
        <v>131</v>
      </c>
      <c r="G19" s="410">
        <f t="shared" si="3"/>
        <v>10.484</v>
      </c>
      <c r="H19" s="388">
        <f t="shared" si="9"/>
        <v>12.495230827928271</v>
      </c>
      <c r="I19" s="9"/>
      <c r="J19" s="410">
        <f t="shared" si="4"/>
        <v>155</v>
      </c>
      <c r="K19" s="410">
        <f t="shared" si="5"/>
        <v>10.709</v>
      </c>
      <c r="L19" s="388">
        <f t="shared" si="10"/>
        <v>14.473807078158559</v>
      </c>
      <c r="M19" s="9"/>
      <c r="N19" s="410">
        <f t="shared" si="6"/>
        <v>146</v>
      </c>
      <c r="O19" s="410">
        <f t="shared" si="7"/>
        <v>10.958</v>
      </c>
      <c r="P19" s="388">
        <f t="shared" si="11"/>
        <v>13.323599196933747</v>
      </c>
    </row>
    <row r="20" spans="1:16">
      <c r="A20" s="6" t="s">
        <v>24</v>
      </c>
      <c r="B20" s="410">
        <f t="shared" si="0"/>
        <v>41</v>
      </c>
      <c r="C20" s="410">
        <f t="shared" si="1"/>
        <v>9.2940000000000005</v>
      </c>
      <c r="D20" s="388">
        <f t="shared" si="8"/>
        <v>4.4114482461803313</v>
      </c>
      <c r="E20" s="9"/>
      <c r="F20" s="410">
        <f t="shared" si="2"/>
        <v>42</v>
      </c>
      <c r="G20" s="410">
        <f t="shared" si="3"/>
        <v>9.4760000000000009</v>
      </c>
      <c r="H20" s="388">
        <f t="shared" si="9"/>
        <v>4.4322498944702398</v>
      </c>
      <c r="I20" s="9"/>
      <c r="J20" s="410">
        <f t="shared" si="4"/>
        <v>53</v>
      </c>
      <c r="K20" s="410">
        <f t="shared" si="5"/>
        <v>9.5530000000000008</v>
      </c>
      <c r="L20" s="388">
        <f t="shared" si="10"/>
        <v>5.5479953941170308</v>
      </c>
      <c r="M20" s="9"/>
      <c r="N20" s="410">
        <f t="shared" si="6"/>
        <v>55</v>
      </c>
      <c r="O20" s="410">
        <f t="shared" si="7"/>
        <v>9.6579999999999995</v>
      </c>
      <c r="P20" s="388">
        <f t="shared" si="11"/>
        <v>5.6947608200455582</v>
      </c>
    </row>
    <row r="21" spans="1:16">
      <c r="A21" s="6" t="s">
        <v>25</v>
      </c>
      <c r="B21" s="410">
        <f t="shared" si="0"/>
        <v>79</v>
      </c>
      <c r="C21" s="410">
        <f t="shared" si="1"/>
        <v>15.846</v>
      </c>
      <c r="D21" s="388">
        <f t="shared" si="8"/>
        <v>4.9854852959737475</v>
      </c>
      <c r="E21" s="9"/>
      <c r="F21" s="410">
        <f t="shared" si="2"/>
        <v>87</v>
      </c>
      <c r="G21" s="410">
        <f t="shared" si="3"/>
        <v>16.013000000000002</v>
      </c>
      <c r="H21" s="388">
        <f t="shared" si="9"/>
        <v>5.4330856179354265</v>
      </c>
      <c r="I21" s="9"/>
      <c r="J21" s="410">
        <f t="shared" si="4"/>
        <v>91</v>
      </c>
      <c r="K21" s="410">
        <f t="shared" si="5"/>
        <v>16.088999999999999</v>
      </c>
      <c r="L21" s="388">
        <f t="shared" si="10"/>
        <v>5.6560382870284052</v>
      </c>
      <c r="M21" s="9"/>
      <c r="N21" s="410">
        <f t="shared" si="6"/>
        <v>94</v>
      </c>
      <c r="O21" s="410">
        <f t="shared" si="7"/>
        <v>16.07</v>
      </c>
      <c r="P21" s="388">
        <f t="shared" si="11"/>
        <v>5.8494088363410084</v>
      </c>
    </row>
    <row r="22" spans="1:16">
      <c r="A22" s="6" t="s">
        <v>26</v>
      </c>
      <c r="B22" s="410">
        <f t="shared" si="0"/>
        <v>179</v>
      </c>
      <c r="C22" s="410">
        <f t="shared" si="1"/>
        <v>36.808</v>
      </c>
      <c r="D22" s="388">
        <f t="shared" si="8"/>
        <v>4.8630732449467509</v>
      </c>
      <c r="E22" s="9"/>
      <c r="F22" s="410">
        <f t="shared" si="2"/>
        <v>238</v>
      </c>
      <c r="G22" s="410">
        <f t="shared" si="3"/>
        <v>37.140999999999998</v>
      </c>
      <c r="H22" s="388">
        <f t="shared" si="9"/>
        <v>6.4080127083277247</v>
      </c>
      <c r="I22" s="9"/>
      <c r="J22" s="410">
        <f t="shared" si="4"/>
        <v>242</v>
      </c>
      <c r="K22" s="410">
        <f t="shared" si="5"/>
        <v>37.354999999999997</v>
      </c>
      <c r="L22" s="388">
        <f t="shared" si="10"/>
        <v>6.4783830812474905</v>
      </c>
      <c r="M22" s="9"/>
      <c r="N22" s="410">
        <f t="shared" si="6"/>
        <v>258</v>
      </c>
      <c r="O22" s="410">
        <f t="shared" si="7"/>
        <v>37.472999999999999</v>
      </c>
      <c r="P22" s="388">
        <f t="shared" si="11"/>
        <v>6.8849571691617966</v>
      </c>
    </row>
    <row r="23" spans="1:16">
      <c r="A23" s="6" t="s">
        <v>27</v>
      </c>
      <c r="B23" s="410">
        <f t="shared" si="0"/>
        <v>704</v>
      </c>
      <c r="C23" s="410">
        <f t="shared" si="1"/>
        <v>60.634</v>
      </c>
      <c r="D23" s="388">
        <f t="shared" si="8"/>
        <v>11.610647491506416</v>
      </c>
      <c r="E23" s="9"/>
      <c r="F23" s="410">
        <f t="shared" si="2"/>
        <v>732</v>
      </c>
      <c r="G23" s="410">
        <f t="shared" si="3"/>
        <v>62.101999999999997</v>
      </c>
      <c r="H23" s="388">
        <f t="shared" si="9"/>
        <v>11.787059998067695</v>
      </c>
      <c r="I23" s="9"/>
      <c r="J23" s="410">
        <f t="shared" si="4"/>
        <v>811</v>
      </c>
      <c r="K23" s="410">
        <f t="shared" si="5"/>
        <v>63.311999999999998</v>
      </c>
      <c r="L23" s="388">
        <f t="shared" si="10"/>
        <v>12.809577963103361</v>
      </c>
      <c r="M23" s="9"/>
      <c r="N23" s="410">
        <f t="shared" si="6"/>
        <v>816</v>
      </c>
      <c r="O23" s="410">
        <f t="shared" si="7"/>
        <v>63.512999999999998</v>
      </c>
      <c r="P23" s="388">
        <f t="shared" si="11"/>
        <v>12.847763450002363</v>
      </c>
    </row>
    <row r="24" spans="1:16">
      <c r="A24" s="6" t="s">
        <v>28</v>
      </c>
      <c r="B24" s="410">
        <f t="shared" si="0"/>
        <v>529</v>
      </c>
      <c r="C24" s="410">
        <f t="shared" si="1"/>
        <v>23.411000000000001</v>
      </c>
      <c r="D24" s="388">
        <f t="shared" si="8"/>
        <v>22.596215454273629</v>
      </c>
      <c r="E24" s="9"/>
      <c r="F24" s="410">
        <f t="shared" si="2"/>
        <v>539</v>
      </c>
      <c r="G24" s="410">
        <f t="shared" si="3"/>
        <v>23.518000000000001</v>
      </c>
      <c r="H24" s="388">
        <f t="shared" si="9"/>
        <v>22.918615528531337</v>
      </c>
      <c r="I24" s="9"/>
      <c r="J24" s="410">
        <f t="shared" si="4"/>
        <v>564</v>
      </c>
      <c r="K24" s="410">
        <f t="shared" si="5"/>
        <v>23.582999999999998</v>
      </c>
      <c r="L24" s="388">
        <f t="shared" si="10"/>
        <v>23.915532375015903</v>
      </c>
      <c r="M24" s="9"/>
      <c r="N24" s="410">
        <f t="shared" si="6"/>
        <v>566</v>
      </c>
      <c r="O24" s="410">
        <f t="shared" si="7"/>
        <v>23.806000000000001</v>
      </c>
      <c r="P24" s="388">
        <f t="shared" si="11"/>
        <v>23.775518776778963</v>
      </c>
    </row>
    <row r="25" spans="1:16">
      <c r="A25" s="6" t="s">
        <v>29</v>
      </c>
      <c r="B25" s="410">
        <f t="shared" si="0"/>
        <v>54</v>
      </c>
      <c r="C25" s="410">
        <f t="shared" si="1"/>
        <v>7.95</v>
      </c>
      <c r="D25" s="388">
        <f t="shared" si="8"/>
        <v>6.7924528301886795</v>
      </c>
      <c r="E25" s="9"/>
      <c r="F25" s="410">
        <f t="shared" si="2"/>
        <v>59</v>
      </c>
      <c r="G25" s="410">
        <f t="shared" si="3"/>
        <v>7.8760000000000003</v>
      </c>
      <c r="H25" s="388">
        <f t="shared" si="9"/>
        <v>7.4911122397155916</v>
      </c>
      <c r="I25" s="9"/>
      <c r="J25" s="410">
        <f t="shared" si="4"/>
        <v>63</v>
      </c>
      <c r="K25" s="410">
        <f t="shared" si="5"/>
        <v>7.78</v>
      </c>
      <c r="L25" s="388">
        <f t="shared" si="10"/>
        <v>8.0976863753213362</v>
      </c>
      <c r="M25" s="9"/>
      <c r="N25" s="410">
        <f t="shared" si="6"/>
        <v>62</v>
      </c>
      <c r="O25" s="410">
        <f t="shared" si="7"/>
        <v>7.67</v>
      </c>
      <c r="P25" s="388">
        <f t="shared" si="11"/>
        <v>8.0834419817470664</v>
      </c>
    </row>
    <row r="26" spans="1:16">
      <c r="A26" s="6" t="s">
        <v>30</v>
      </c>
      <c r="B26" s="410">
        <f t="shared" si="0"/>
        <v>57</v>
      </c>
      <c r="C26" s="410">
        <f t="shared" si="1"/>
        <v>8.7390000000000008</v>
      </c>
      <c r="D26" s="388">
        <f t="shared" si="8"/>
        <v>6.5224854102300025</v>
      </c>
      <c r="E26" s="9"/>
      <c r="F26" s="410">
        <f t="shared" si="2"/>
        <v>66</v>
      </c>
      <c r="G26" s="410">
        <f t="shared" si="3"/>
        <v>9.0090000000000003</v>
      </c>
      <c r="H26" s="388">
        <f t="shared" si="9"/>
        <v>7.3260073260073257</v>
      </c>
      <c r="I26" s="9"/>
      <c r="J26" s="410">
        <f t="shared" si="4"/>
        <v>73</v>
      </c>
      <c r="K26" s="410">
        <f t="shared" si="5"/>
        <v>9.2460000000000004</v>
      </c>
      <c r="L26" s="388">
        <f t="shared" si="10"/>
        <v>7.8953060783041309</v>
      </c>
      <c r="M26" s="9"/>
      <c r="N26" s="410">
        <f t="shared" si="6"/>
        <v>74</v>
      </c>
      <c r="O26" s="410">
        <f t="shared" si="7"/>
        <v>9.468</v>
      </c>
      <c r="P26" s="388">
        <f t="shared" si="11"/>
        <v>7.8158005914659912</v>
      </c>
    </row>
    <row r="27" spans="1:16">
      <c r="A27" s="6" t="s">
        <v>31</v>
      </c>
      <c r="B27" s="410">
        <f t="shared" si="0"/>
        <v>124</v>
      </c>
      <c r="C27" s="410">
        <f t="shared" si="1"/>
        <v>9.5510000000000002</v>
      </c>
      <c r="D27" s="388">
        <f t="shared" si="8"/>
        <v>12.982933724217359</v>
      </c>
      <c r="E27" s="9"/>
      <c r="F27" s="410">
        <f t="shared" si="2"/>
        <v>139</v>
      </c>
      <c r="G27" s="410">
        <f t="shared" si="3"/>
        <v>9.5779999999999994</v>
      </c>
      <c r="H27" s="388">
        <f t="shared" si="9"/>
        <v>14.512424305700565</v>
      </c>
      <c r="I27" s="9"/>
      <c r="J27" s="410">
        <f t="shared" si="4"/>
        <v>150</v>
      </c>
      <c r="K27" s="410">
        <f t="shared" si="5"/>
        <v>9.5820000000000007</v>
      </c>
      <c r="L27" s="388">
        <f t="shared" si="10"/>
        <v>15.654351909830932</v>
      </c>
      <c r="M27" s="9"/>
      <c r="N27" s="410">
        <f t="shared" si="6"/>
        <v>147</v>
      </c>
      <c r="O27" s="410">
        <f t="shared" si="7"/>
        <v>9.641</v>
      </c>
      <c r="P27" s="388">
        <f t="shared" si="11"/>
        <v>15.247380977077066</v>
      </c>
    </row>
    <row r="28" spans="1:16">
      <c r="A28" s="6" t="s">
        <v>32</v>
      </c>
      <c r="B28" s="410">
        <f t="shared" si="0"/>
        <v>109</v>
      </c>
      <c r="C28" s="410">
        <f t="shared" si="1"/>
        <v>2.7069999999999999</v>
      </c>
      <c r="D28" s="388">
        <f t="shared" si="8"/>
        <v>40.265977096416698</v>
      </c>
      <c r="E28" s="9"/>
      <c r="F28" s="410">
        <f t="shared" si="2"/>
        <v>109</v>
      </c>
      <c r="G28" s="410">
        <f t="shared" si="3"/>
        <v>2.6949999999999998</v>
      </c>
      <c r="H28" s="388">
        <f t="shared" si="9"/>
        <v>40.445269016697587</v>
      </c>
      <c r="I28" s="9"/>
      <c r="J28" s="410">
        <f t="shared" si="4"/>
        <v>122</v>
      </c>
      <c r="K28" s="410">
        <f t="shared" si="5"/>
        <v>2.6720000000000002</v>
      </c>
      <c r="L28" s="388">
        <f t="shared" si="10"/>
        <v>45.658682634730539</v>
      </c>
      <c r="M28" s="9"/>
      <c r="N28" s="410">
        <f t="shared" si="6"/>
        <v>124</v>
      </c>
      <c r="O28" s="410">
        <f t="shared" si="7"/>
        <v>2.6640000000000001</v>
      </c>
      <c r="P28" s="388">
        <f t="shared" si="11"/>
        <v>46.546546546546544</v>
      </c>
    </row>
    <row r="29" spans="1:16">
      <c r="A29" s="6" t="s">
        <v>33</v>
      </c>
      <c r="B29" s="410">
        <f t="shared" si="0"/>
        <v>98</v>
      </c>
      <c r="C29" s="410">
        <f t="shared" si="1"/>
        <v>13.613</v>
      </c>
      <c r="D29" s="388">
        <f t="shared" si="8"/>
        <v>7.1990009549695149</v>
      </c>
      <c r="E29" s="9"/>
      <c r="F29" s="410">
        <f t="shared" si="2"/>
        <v>111</v>
      </c>
      <c r="G29" s="410">
        <f t="shared" si="3"/>
        <v>13.579000000000001</v>
      </c>
      <c r="H29" s="388">
        <f t="shared" si="9"/>
        <v>8.1743869209809255</v>
      </c>
      <c r="I29" s="9"/>
      <c r="J29" s="410">
        <f t="shared" si="4"/>
        <v>117</v>
      </c>
      <c r="K29" s="410">
        <f t="shared" si="5"/>
        <v>13.474</v>
      </c>
      <c r="L29" s="388">
        <f t="shared" si="10"/>
        <v>8.683390233041413</v>
      </c>
      <c r="M29" s="9"/>
      <c r="N29" s="410">
        <f t="shared" si="6"/>
        <v>120</v>
      </c>
      <c r="O29" s="410">
        <f t="shared" si="7"/>
        <v>13.422000000000001</v>
      </c>
      <c r="P29" s="388">
        <f t="shared" si="11"/>
        <v>8.9405453732677689</v>
      </c>
    </row>
    <row r="30" spans="1:16">
      <c r="A30" s="6" t="s">
        <v>34</v>
      </c>
      <c r="B30" s="410">
        <f t="shared" si="0"/>
        <v>107</v>
      </c>
      <c r="C30" s="410">
        <f t="shared" si="1"/>
        <v>33.826000000000001</v>
      </c>
      <c r="D30" s="388">
        <f t="shared" si="8"/>
        <v>3.1632472062910186</v>
      </c>
      <c r="E30" s="9"/>
      <c r="F30" s="410">
        <f t="shared" si="2"/>
        <v>104</v>
      </c>
      <c r="G30" s="410">
        <f t="shared" si="3"/>
        <v>33.996000000000002</v>
      </c>
      <c r="H30" s="388">
        <f t="shared" si="9"/>
        <v>3.0591834333450993</v>
      </c>
      <c r="I30" s="9"/>
      <c r="J30" s="410">
        <f t="shared" si="4"/>
        <v>109</v>
      </c>
      <c r="K30" s="410">
        <f t="shared" si="5"/>
        <v>34.137</v>
      </c>
      <c r="L30" s="388">
        <f t="shared" si="10"/>
        <v>3.193016375194071</v>
      </c>
      <c r="M30" s="9"/>
      <c r="N30" s="410">
        <f t="shared" si="6"/>
        <v>114</v>
      </c>
      <c r="O30" s="410">
        <f t="shared" si="7"/>
        <v>34.14</v>
      </c>
      <c r="P30" s="388">
        <f t="shared" si="11"/>
        <v>3.3391915641476273</v>
      </c>
    </row>
    <row r="31" spans="1:16">
      <c r="A31" s="6" t="s">
        <v>35</v>
      </c>
      <c r="B31" s="410">
        <f t="shared" si="0"/>
        <v>56</v>
      </c>
      <c r="C31" s="410">
        <f t="shared" si="1"/>
        <v>2.1669999999999998</v>
      </c>
      <c r="D31" s="388">
        <f t="shared" si="8"/>
        <v>25.842178126442089</v>
      </c>
      <c r="E31" s="9"/>
      <c r="F31" s="410">
        <f t="shared" si="2"/>
        <v>64</v>
      </c>
      <c r="G31" s="410">
        <f t="shared" si="3"/>
        <v>2.2000000000000002</v>
      </c>
      <c r="H31" s="388">
        <f t="shared" si="9"/>
        <v>29.09090909090909</v>
      </c>
      <c r="I31" s="9"/>
      <c r="J31" s="410">
        <f t="shared" si="4"/>
        <v>69</v>
      </c>
      <c r="K31" s="410">
        <f t="shared" si="5"/>
        <v>2.2269999999999999</v>
      </c>
      <c r="L31" s="388">
        <f t="shared" si="10"/>
        <v>30.983385720700497</v>
      </c>
      <c r="M31" s="9"/>
      <c r="N31" s="410">
        <f t="shared" si="6"/>
        <v>72</v>
      </c>
      <c r="O31" s="410">
        <f t="shared" si="7"/>
        <v>2.254</v>
      </c>
      <c r="P31" s="388">
        <f t="shared" si="11"/>
        <v>31.94321206743567</v>
      </c>
    </row>
    <row r="32" spans="1:16">
      <c r="A32" s="6" t="s">
        <v>36</v>
      </c>
      <c r="B32" s="410">
        <f t="shared" si="0"/>
        <v>167</v>
      </c>
      <c r="C32" s="410">
        <f t="shared" si="1"/>
        <v>14.993</v>
      </c>
      <c r="D32" s="388">
        <f t="shared" si="8"/>
        <v>11.138531314613486</v>
      </c>
      <c r="E32" s="9"/>
      <c r="F32" s="410">
        <f t="shared" si="2"/>
        <v>195</v>
      </c>
      <c r="G32" s="410">
        <f t="shared" si="3"/>
        <v>15.11</v>
      </c>
      <c r="H32" s="388">
        <f t="shared" si="9"/>
        <v>12.905360688285905</v>
      </c>
      <c r="I32" s="9"/>
      <c r="J32" s="410">
        <f t="shared" si="4"/>
        <v>202</v>
      </c>
      <c r="K32" s="410">
        <f t="shared" si="5"/>
        <v>15.195</v>
      </c>
      <c r="L32" s="388">
        <f t="shared" si="10"/>
        <v>13.293846660085554</v>
      </c>
      <c r="M32" s="9"/>
      <c r="N32" s="410">
        <f t="shared" si="6"/>
        <v>209</v>
      </c>
      <c r="O32" s="410">
        <f t="shared" si="7"/>
        <v>15.381</v>
      </c>
      <c r="P32" s="388">
        <f t="shared" si="11"/>
        <v>13.58819322540797</v>
      </c>
    </row>
    <row r="33" spans="1:17">
      <c r="A33" s="6" t="s">
        <v>37</v>
      </c>
      <c r="B33" s="410">
        <f t="shared" si="0"/>
        <v>84</v>
      </c>
      <c r="C33" s="410">
        <f t="shared" si="1"/>
        <v>17.456</v>
      </c>
      <c r="D33" s="388">
        <f t="shared" si="8"/>
        <v>4.8120989917506876</v>
      </c>
      <c r="E33" s="9"/>
      <c r="F33" s="410">
        <f t="shared" si="2"/>
        <v>83</v>
      </c>
      <c r="G33" s="410">
        <f t="shared" si="3"/>
        <v>17.683</v>
      </c>
      <c r="H33" s="388">
        <f t="shared" si="9"/>
        <v>4.6937736809364932</v>
      </c>
      <c r="I33" s="9"/>
      <c r="J33" s="410">
        <f t="shared" si="4"/>
        <v>98</v>
      </c>
      <c r="K33" s="410">
        <f t="shared" si="5"/>
        <v>17.91</v>
      </c>
      <c r="L33" s="388">
        <f t="shared" si="10"/>
        <v>5.4718034617532103</v>
      </c>
      <c r="M33" s="9"/>
      <c r="N33" s="410">
        <f t="shared" si="6"/>
        <v>99</v>
      </c>
      <c r="O33" s="410">
        <f t="shared" si="7"/>
        <v>17.994</v>
      </c>
      <c r="P33" s="388">
        <f t="shared" si="11"/>
        <v>5.5018339446482161</v>
      </c>
    </row>
    <row r="34" spans="1:17">
      <c r="A34" s="6" t="s">
        <v>38</v>
      </c>
      <c r="B34" s="410">
        <f t="shared" si="0"/>
        <v>195</v>
      </c>
      <c r="C34" s="410">
        <f t="shared" si="1"/>
        <v>11.403</v>
      </c>
      <c r="D34" s="388">
        <f t="shared" si="8"/>
        <v>17.100762957116547</v>
      </c>
      <c r="E34" s="9"/>
      <c r="F34" s="410">
        <f t="shared" si="2"/>
        <v>223</v>
      </c>
      <c r="G34" s="410">
        <f t="shared" si="3"/>
        <v>11.502000000000001</v>
      </c>
      <c r="H34" s="388">
        <f t="shared" si="9"/>
        <v>19.387932533472437</v>
      </c>
      <c r="I34" s="9"/>
      <c r="J34" s="410">
        <f t="shared" si="4"/>
        <v>242</v>
      </c>
      <c r="K34" s="410">
        <f t="shared" si="5"/>
        <v>11.551</v>
      </c>
      <c r="L34" s="388">
        <f t="shared" si="10"/>
        <v>20.950567050471822</v>
      </c>
      <c r="M34" s="9"/>
      <c r="N34" s="410">
        <f t="shared" si="6"/>
        <v>236</v>
      </c>
      <c r="O34" s="410">
        <f t="shared" si="7"/>
        <v>11.602</v>
      </c>
      <c r="P34" s="388">
        <f t="shared" si="11"/>
        <v>20.341320461989312</v>
      </c>
    </row>
    <row r="35" spans="1:17">
      <c r="A35" s="6" t="s">
        <v>39</v>
      </c>
      <c r="B35" s="410">
        <f t="shared" si="0"/>
        <v>95</v>
      </c>
      <c r="C35" s="410">
        <f t="shared" si="1"/>
        <v>2.3199999999999998</v>
      </c>
      <c r="D35" s="388">
        <f t="shared" si="8"/>
        <v>40.948275862068968</v>
      </c>
      <c r="E35" s="9"/>
      <c r="F35" s="410">
        <f t="shared" si="2"/>
        <v>101</v>
      </c>
      <c r="G35" s="410">
        <f t="shared" si="3"/>
        <v>2.3079999999999998</v>
      </c>
      <c r="H35" s="388">
        <f t="shared" si="9"/>
        <v>43.760831889081459</v>
      </c>
      <c r="I35" s="9"/>
      <c r="J35" s="410">
        <f t="shared" si="4"/>
        <v>109</v>
      </c>
      <c r="K35" s="410">
        <f t="shared" si="5"/>
        <v>2.2919999999999998</v>
      </c>
      <c r="L35" s="388">
        <f t="shared" si="10"/>
        <v>47.556719022687616</v>
      </c>
      <c r="M35" s="9"/>
      <c r="N35" s="410">
        <f t="shared" si="6"/>
        <v>107</v>
      </c>
      <c r="O35" s="410">
        <f t="shared" si="7"/>
        <v>2.294</v>
      </c>
      <c r="P35" s="388">
        <f t="shared" si="11"/>
        <v>46.643417611159549</v>
      </c>
    </row>
    <row r="36" spans="1:17">
      <c r="A36" s="6" t="s">
        <v>40</v>
      </c>
      <c r="B36" s="410">
        <f t="shared" si="0"/>
        <v>61</v>
      </c>
      <c r="C36" s="410">
        <f t="shared" si="1"/>
        <v>11.24</v>
      </c>
      <c r="D36" s="388">
        <f t="shared" si="8"/>
        <v>5.4270462633451952</v>
      </c>
      <c r="E36" s="9"/>
      <c r="F36" s="410">
        <f t="shared" si="2"/>
        <v>77</v>
      </c>
      <c r="G36" s="410">
        <f t="shared" si="3"/>
        <v>11.268000000000001</v>
      </c>
      <c r="H36" s="388">
        <f t="shared" si="9"/>
        <v>6.8335108271210503</v>
      </c>
      <c r="I36" s="9"/>
      <c r="J36" s="410">
        <f t="shared" si="4"/>
        <v>85</v>
      </c>
      <c r="K36" s="410">
        <f t="shared" si="5"/>
        <v>11.260999999999999</v>
      </c>
      <c r="L36" s="388">
        <f t="shared" si="10"/>
        <v>7.5481751176627299</v>
      </c>
      <c r="M36" s="9"/>
      <c r="N36" s="410">
        <f t="shared" si="6"/>
        <v>97</v>
      </c>
      <c r="O36" s="410">
        <f t="shared" si="7"/>
        <v>11.244999999999999</v>
      </c>
      <c r="P36" s="388">
        <f t="shared" si="11"/>
        <v>8.626056024899956</v>
      </c>
    </row>
    <row r="37" spans="1:17">
      <c r="A37" s="6" t="s">
        <v>41</v>
      </c>
      <c r="B37" s="410">
        <f t="shared" si="0"/>
        <v>143</v>
      </c>
      <c r="C37" s="410">
        <f t="shared" si="1"/>
        <v>31.623000000000001</v>
      </c>
      <c r="D37" s="388">
        <f t="shared" si="8"/>
        <v>4.5220251083072442</v>
      </c>
      <c r="E37" s="9"/>
      <c r="F37" s="410">
        <f t="shared" si="2"/>
        <v>163</v>
      </c>
      <c r="G37" s="410">
        <f t="shared" si="3"/>
        <v>31.817</v>
      </c>
      <c r="H37" s="388">
        <f t="shared" si="9"/>
        <v>5.1230474274758775</v>
      </c>
      <c r="I37" s="9"/>
      <c r="J37" s="410">
        <f t="shared" si="4"/>
        <v>175</v>
      </c>
      <c r="K37" s="410">
        <f t="shared" si="5"/>
        <v>32.052999999999997</v>
      </c>
      <c r="L37" s="388">
        <f t="shared" si="10"/>
        <v>5.4597073596855212</v>
      </c>
      <c r="M37" s="9"/>
      <c r="N37" s="410">
        <f t="shared" si="6"/>
        <v>177</v>
      </c>
      <c r="O37" s="410">
        <f t="shared" si="7"/>
        <v>32.262999999999998</v>
      </c>
      <c r="P37" s="388">
        <f t="shared" si="11"/>
        <v>5.4861606174255346</v>
      </c>
    </row>
    <row r="38" spans="1:17">
      <c r="A38" s="6" t="s">
        <v>530</v>
      </c>
      <c r="B38" s="410">
        <f>SUM(B37+B30)</f>
        <v>250</v>
      </c>
      <c r="C38" s="410">
        <f>SUM(C37+C30)</f>
        <v>65.448999999999998</v>
      </c>
      <c r="D38" s="388">
        <f t="shared" si="8"/>
        <v>3.8197680636831732</v>
      </c>
      <c r="E38" s="6"/>
      <c r="F38" s="410">
        <f>SUM(F37+F30)</f>
        <v>267</v>
      </c>
      <c r="G38" s="410">
        <f>SUM(G37+G30)</f>
        <v>65.813000000000002</v>
      </c>
      <c r="H38" s="388">
        <f t="shared" si="9"/>
        <v>4.0569492349535805</v>
      </c>
      <c r="I38" s="6"/>
      <c r="J38" s="410">
        <f>SUM(J37+J30)</f>
        <v>284</v>
      </c>
      <c r="K38" s="410">
        <f>SUM(K37+K30)</f>
        <v>66.19</v>
      </c>
      <c r="L38" s="388">
        <f t="shared" si="10"/>
        <v>4.290678350203958</v>
      </c>
      <c r="M38" s="6"/>
      <c r="N38" s="410">
        <f>SUM(N37+N30)</f>
        <v>291</v>
      </c>
      <c r="O38" s="410">
        <f>SUM(O37+O30)</f>
        <v>66.402999999999992</v>
      </c>
      <c r="P38" s="388">
        <f t="shared" si="11"/>
        <v>4.3823321235486352</v>
      </c>
      <c r="Q38" s="6"/>
    </row>
    <row r="39" spans="1:17">
      <c r="A39" s="6" t="s">
        <v>42</v>
      </c>
      <c r="B39" s="410">
        <f>VLOOKUP($A39,$A$108:$P$143,4,FALSE)</f>
        <v>138</v>
      </c>
      <c r="C39" s="410">
        <f>SUM(VLOOKUP($A39,$A$60:$Q$95,4,FALSE)/10000)</f>
        <v>9.2829999999999995</v>
      </c>
      <c r="D39" s="388">
        <f t="shared" si="8"/>
        <v>14.865883873747713</v>
      </c>
      <c r="E39" s="9"/>
      <c r="F39" s="410">
        <f>VLOOKUP($A39,$A$108:$P$143,8,FALSE)</f>
        <v>147</v>
      </c>
      <c r="G39" s="410">
        <f>SUM(VLOOKUP($A39,$A$60:$Q$95,8,FALSE)/10000)</f>
        <v>9.4</v>
      </c>
      <c r="H39" s="388">
        <f t="shared" si="9"/>
        <v>15.638297872340425</v>
      </c>
      <c r="I39" s="9"/>
      <c r="J39" s="410">
        <f>VLOOKUP($A39,$A$108:$P$143,12,FALSE)</f>
        <v>157</v>
      </c>
      <c r="K39" s="410">
        <f>SUM(VLOOKUP($A39,$A$60:$Q$95,12,FALSE)/10000)</f>
        <v>9.4209999999999994</v>
      </c>
      <c r="L39" s="388">
        <f t="shared" si="10"/>
        <v>16.664897569260166</v>
      </c>
      <c r="M39" s="9"/>
      <c r="N39" s="410">
        <f>VLOOKUP($A39,$A$108:$P$143,16,FALSE)</f>
        <v>160</v>
      </c>
      <c r="O39" s="410">
        <f>SUM(VLOOKUP($A39,$A$60:$Q$95,16,FALSE)/10000)</f>
        <v>9.3469999999999995</v>
      </c>
      <c r="P39" s="388">
        <f t="shared" si="11"/>
        <v>17.117791804857173</v>
      </c>
    </row>
    <row r="40" spans="1:17">
      <c r="A40" s="6" t="s">
        <v>43</v>
      </c>
      <c r="B40" s="410">
        <f>VLOOKUP($A40,$A$108:$P$143,4,FALSE)</f>
        <v>64</v>
      </c>
      <c r="C40" s="410">
        <f>SUM(VLOOKUP($A40,$A$60:$Q$95,4,FALSE)/10000)</f>
        <v>8.9589999999999996</v>
      </c>
      <c r="D40" s="388">
        <f t="shared" si="8"/>
        <v>7.1436544257171564</v>
      </c>
      <c r="E40" s="9"/>
      <c r="F40" s="410">
        <f>VLOOKUP($A40,$A$108:$P$143,8,FALSE)</f>
        <v>70</v>
      </c>
      <c r="G40" s="410">
        <f>SUM(VLOOKUP($A40,$A$60:$Q$95,8,FALSE)/10000)</f>
        <v>8.9610000000000003</v>
      </c>
      <c r="H40" s="388">
        <f t="shared" si="9"/>
        <v>7.8116281664992746</v>
      </c>
      <c r="I40" s="9"/>
      <c r="J40" s="410">
        <f>VLOOKUP($A40,$A$108:$P$143,12,FALSE)</f>
        <v>75</v>
      </c>
      <c r="K40" s="410">
        <f>SUM(VLOOKUP($A40,$A$60:$Q$95,12,FALSE)/10000)</f>
        <v>8.8930000000000007</v>
      </c>
      <c r="L40" s="388">
        <f t="shared" si="10"/>
        <v>8.4335994602496331</v>
      </c>
      <c r="M40" s="9"/>
      <c r="N40" s="410">
        <f>VLOOKUP($A40,$A$108:$P$143,16,FALSE)</f>
        <v>70</v>
      </c>
      <c r="O40" s="410">
        <f>SUM(VLOOKUP($A40,$A$60:$Q$95,16,FALSE)/10000)</f>
        <v>8.7789999999999999</v>
      </c>
      <c r="P40" s="388">
        <f t="shared" si="11"/>
        <v>7.9735732999202646</v>
      </c>
    </row>
    <row r="41" spans="1:17">
      <c r="A41" s="6" t="s">
        <v>44</v>
      </c>
      <c r="B41" s="410">
        <f>VLOOKUP($A41,$A$108:$P$143,4,FALSE)</f>
        <v>115</v>
      </c>
      <c r="C41" s="410">
        <f>SUM(VLOOKUP($A41,$A$60:$Q$95,4,FALSE)/10000)</f>
        <v>17.855</v>
      </c>
      <c r="D41" s="388">
        <f t="shared" si="8"/>
        <v>6.4407728927471295</v>
      </c>
      <c r="E41" s="9"/>
      <c r="F41" s="410">
        <f>VLOOKUP($A41,$A$108:$P$143,8,FALSE)</f>
        <v>112</v>
      </c>
      <c r="G41" s="410">
        <f>SUM(VLOOKUP($A41,$A$60:$Q$95,8,FALSE)/10000)</f>
        <v>18.131</v>
      </c>
      <c r="H41" s="388">
        <f t="shared" si="9"/>
        <v>6.1772654569521812</v>
      </c>
      <c r="I41" s="9"/>
      <c r="J41" s="410">
        <f>VLOOKUP($A41,$A$108:$P$143,12,FALSE)</f>
        <v>120</v>
      </c>
      <c r="K41" s="410">
        <f>SUM(VLOOKUP($A41,$A$60:$Q$95,12,FALSE)/10000)</f>
        <v>18.309999999999999</v>
      </c>
      <c r="L41" s="388">
        <f t="shared" si="10"/>
        <v>6.5537957400327693</v>
      </c>
      <c r="M41" s="9"/>
      <c r="N41" s="410">
        <f>VLOOKUP($A41,$A$108:$P$143,16,FALSE)</f>
        <v>116</v>
      </c>
      <c r="O41" s="410">
        <f>SUM(VLOOKUP($A41,$A$60:$Q$95,16,FALSE)/10000)</f>
        <v>18.558</v>
      </c>
      <c r="P41" s="388">
        <f t="shared" si="11"/>
        <v>6.2506735639616338</v>
      </c>
    </row>
    <row r="42" spans="1:17">
      <c r="A42" s="6"/>
      <c r="B42" s="6"/>
      <c r="C42" s="6"/>
      <c r="D42" s="9"/>
      <c r="E42" s="9"/>
      <c r="F42" s="6"/>
      <c r="G42" s="6"/>
      <c r="H42" s="9"/>
      <c r="I42" s="9"/>
      <c r="J42" s="6"/>
      <c r="K42" s="6"/>
      <c r="L42" s="9"/>
      <c r="M42" s="9"/>
      <c r="N42" s="6"/>
      <c r="O42" s="6"/>
      <c r="P42" s="9"/>
    </row>
    <row r="43" spans="1:17">
      <c r="A43" s="6" t="s">
        <v>45</v>
      </c>
      <c r="B43" s="410">
        <f>VLOOKUP($A43,$A$108:$P$143,4,FALSE)</f>
        <v>5177</v>
      </c>
      <c r="C43" s="410">
        <f>SUM(VLOOKUP($A43,$A$60:$Q$95,4,FALSE)/10000)</f>
        <v>537.29999999999995</v>
      </c>
      <c r="D43" s="388">
        <f t="shared" si="8"/>
        <v>9.6352131025497876</v>
      </c>
      <c r="E43" s="9"/>
      <c r="F43" s="410">
        <f>VLOOKUP($A43,$A$108:$P$143,8,FALSE)</f>
        <v>5600</v>
      </c>
      <c r="G43" s="410">
        <f>SUM(VLOOKUP($A43,$A$60:$Q$95,8,FALSE)/10000)</f>
        <v>542.48</v>
      </c>
      <c r="H43" s="388">
        <f t="shared" si="9"/>
        <v>10.322961215160005</v>
      </c>
      <c r="I43" s="9"/>
      <c r="J43" s="410">
        <f>VLOOKUP($A43,$A$108:$P$143,12,FALSE)</f>
        <v>6025</v>
      </c>
      <c r="K43" s="410">
        <f>SUM(VLOOKUP($A43,$A$60:$Q$95,12,FALSE)/10000)</f>
        <v>546.33000000000004</v>
      </c>
      <c r="L43" s="388">
        <f t="shared" si="10"/>
        <v>11.028133179580106</v>
      </c>
      <c r="M43" s="9"/>
      <c r="N43" s="410">
        <f>VLOOKUP($A43,$A$108:$P$143,16,FALSE)</f>
        <v>6047</v>
      </c>
      <c r="O43" s="410">
        <f>SUM(VLOOKUP($A43,$A$60:$Q$95,16,FALSE)/10000)</f>
        <v>547.99</v>
      </c>
      <c r="P43" s="388">
        <f t="shared" ref="P43:P46" si="12">SUM(N43/O43)</f>
        <v>11.034872899140495</v>
      </c>
    </row>
    <row r="44" spans="1:17">
      <c r="A44" s="6" t="s">
        <v>543</v>
      </c>
      <c r="B44" s="385">
        <f>SUM(SUMIFS(B$9:B$41,$A$9:$A$41,{"Na h-Eileanan Siar","Argyll and Bute","Shetland Islands","Highland","Orkney Islands","Scottish Borders","Dumfries and Galloway","Aberdeenshire"}))</f>
        <v>1663</v>
      </c>
      <c r="C44" s="385">
        <f>SUM(SUMIFS(C$9:C$41,$A$9:$A$41,{"Na h-Eileanan Siar","Argyll and Bute","Shetland Islands","Highland","Orkney Islands","Scottish Borders","Dumfries and Galloway","Aberdeenshire"}))</f>
        <v>91.86</v>
      </c>
      <c r="D44" s="388">
        <f t="shared" si="8"/>
        <v>18.103635967777052</v>
      </c>
      <c r="E44" s="9"/>
      <c r="F44" s="385">
        <f>SUM(SUMIFS(F$9:F$41,$A$9:$A$41,{"Na h-Eileanan Siar","Argyll and Bute","Shetland Islands","Highland","Orkney Islands","Scottish Borders","Dumfries and Galloway","Aberdeenshire"}))</f>
        <v>1791</v>
      </c>
      <c r="G44" s="385">
        <f>SUM(SUMIFS(G$9:G$41,$A$9:$A$41,{"Na h-Eileanan Siar","Argyll and Bute","Shetland Islands","Highland","Orkney Islands","Scottish Borders","Dumfries and Galloway","Aberdeenshire"}))</f>
        <v>92.003999999999991</v>
      </c>
      <c r="H44" s="388">
        <f t="shared" si="9"/>
        <v>19.466544932829009</v>
      </c>
      <c r="I44" s="9"/>
      <c r="J44" s="385">
        <f>SUM(SUMIFS(J$9:J$41,$A$9:$A$41,{"Na h-Eileanan Siar","Argyll and Bute","Shetland Islands","Highland","Orkney Islands","Scottish Borders","Dumfries and Galloway","Aberdeenshire"}))</f>
        <v>1890</v>
      </c>
      <c r="K44" s="385">
        <f>SUM(SUMIFS(K$9:K$41,$A$9:$A$41,{"Na h-Eileanan Siar","Argyll and Bute","Shetland Islands","Highland","Orkney Islands","Scottish Borders","Dumfries and Galloway","Aberdeenshire"}))</f>
        <v>91.918999999999997</v>
      </c>
      <c r="L44" s="388">
        <f t="shared" si="10"/>
        <v>20.561581392312799</v>
      </c>
      <c r="M44" s="9"/>
      <c r="N44" s="385">
        <f>SUM(SUMIFS(N$9:N$41,$A$9:$A$41,{"Na h-Eileanan Siar","Argyll and Bute","Shetland Islands","Highland","Orkney Islands","Scottish Borders","Dumfries and Galloway","Aberdeenshire"}))</f>
        <v>1888</v>
      </c>
      <c r="O44" s="385">
        <f>SUM(SUMIFS(O$9:O$41,$A$9:$A$41,{"Na h-Eileanan Siar","Argyll and Bute","Shetland Islands","Highland","Orkney Islands","Scottish Borders","Dumfries and Galloway","Aberdeenshire"}))</f>
        <v>92.390000000000015</v>
      </c>
      <c r="P44" s="388">
        <f t="shared" si="12"/>
        <v>20.435112025110939</v>
      </c>
    </row>
    <row r="45" spans="1:17">
      <c r="A45" s="6" t="s">
        <v>544</v>
      </c>
      <c r="B45" s="385">
        <f>SUM(SUMIFS(B$9:B$41,$A$9:$A$41,{"Perth and Kinross","Stirling","Moray","South Ayrshire","East Ayrshire","East Lothian","North Ayrshire","Fife"}))</f>
        <v>961</v>
      </c>
      <c r="C45" s="385">
        <f>SUM(SUMIFS(C$9:C$41,$A$9:$A$41,{"Perth and Kinross","Stirling","Moray","South Ayrshire","East Ayrshire","East Lothian","North Ayrshire","Fife"}))</f>
        <v>117.999</v>
      </c>
      <c r="D45" s="388">
        <f t="shared" si="8"/>
        <v>8.1441368147187685</v>
      </c>
      <c r="E45" s="9"/>
      <c r="F45" s="385">
        <f>SUM(SUMIFS(F$9:F$41,$A$9:$A$41,{"Perth and Kinross","Stirling","Moray","South Ayrshire","East Ayrshire","East Lothian","North Ayrshire","Fife"}))</f>
        <v>1111</v>
      </c>
      <c r="G45" s="385">
        <f>SUM(SUMIFS(G$9:G$41,$A$9:$A$41,{"Perth and Kinross","Stirling","Moray","South Ayrshire","East Ayrshire","East Lothian","North Ayrshire","Fife"}))</f>
        <v>118.75399999999999</v>
      </c>
      <c r="H45" s="388">
        <f t="shared" si="9"/>
        <v>9.3554743419169046</v>
      </c>
      <c r="I45" s="9"/>
      <c r="J45" s="385">
        <f>SUM(SUMIFS(J$9:J$41,$A$9:$A$41,{"Perth and Kinross","Stirling","Moray","South Ayrshire","East Ayrshire","East Lothian","North Ayrshire","Fife"}))</f>
        <v>1184</v>
      </c>
      <c r="K45" s="385">
        <f>SUM(SUMIFS(K$9:K$41,$A$9:$A$41,{"Perth and Kinross","Stirling","Moray","South Ayrshire","East Ayrshire","East Lothian","North Ayrshire","Fife"}))</f>
        <v>119.19800000000001</v>
      </c>
      <c r="L45" s="388">
        <f t="shared" si="10"/>
        <v>9.933052567996107</v>
      </c>
      <c r="M45" s="9"/>
      <c r="N45" s="385">
        <f>SUM(SUMIFS(N$9:N$41,$A$9:$A$41,{"Perth and Kinross","Stirling","Moray","South Ayrshire","East Ayrshire","East Lothian","North Ayrshire","Fife"}))</f>
        <v>1213</v>
      </c>
      <c r="O45" s="385">
        <f>SUM(SUMIFS(O$9:O$41,$A$9:$A$41,{"Perth and Kinross","Stirling","Moray","South Ayrshire","East Ayrshire","East Lothian","North Ayrshire","Fife"}))</f>
        <v>119.669</v>
      </c>
      <c r="P45" s="388">
        <f t="shared" si="12"/>
        <v>10.13629260710794</v>
      </c>
    </row>
    <row r="46" spans="1:17">
      <c r="A46" s="6" t="s">
        <v>545</v>
      </c>
      <c r="B46" s="385">
        <f>SUM(SUMIFS(B$9:B$41,$A$9:$A$41,{"Angus","Clackmannanshire","Midlothian","South Lanarkshire","Inverclyde","Renfrewshire","West Lothian","East Renfrewshire"}))</f>
        <v>619</v>
      </c>
      <c r="C46" s="385">
        <f>SUM(SUMIFS(C$9:C$41,$A$9:$A$41,{"Angus","Clackmannanshire","Midlothian","South Lanarkshire","Inverclyde","Renfrewshire","West Lothian","East Renfrewshire"}))</f>
        <v>109.74300000000001</v>
      </c>
      <c r="D46" s="388">
        <f>SUM(B46/C46)</f>
        <v>5.6404508715817858</v>
      </c>
      <c r="E46" s="9"/>
      <c r="F46" s="385">
        <f>SUM(SUMIFS(F$9:F$41,$A$9:$A$41,{"Angus","Clackmannanshire","Midlothian","South Lanarkshire","Inverclyde","Renfrewshire","West Lothian","East Renfrewshire"}))</f>
        <v>663</v>
      </c>
      <c r="G46" s="385">
        <f>SUM(SUMIFS(G$9:G$41,$A$9:$A$41,{"Angus","Clackmannanshire","Midlothian","South Lanarkshire","Inverclyde","Renfrewshire","West Lothian","East Renfrewshire"}))</f>
        <v>110.76500000000001</v>
      </c>
      <c r="H46" s="388">
        <f t="shared" si="9"/>
        <v>5.9856452850629704</v>
      </c>
      <c r="I46" s="9"/>
      <c r="J46" s="385">
        <f>SUM(SUMIFS(J$9:J$41,$A$9:$A$41,{"Angus","Clackmannanshire","Midlothian","South Lanarkshire","Inverclyde","Renfrewshire","West Lothian","East Renfrewshire"}))</f>
        <v>739</v>
      </c>
      <c r="K46" s="385">
        <f>SUM(SUMIFS(K$9:K$41,$A$9:$A$41,{"Angus","Clackmannanshire","Midlothian","South Lanarkshire","Inverclyde","Renfrewshire","West Lothian","East Renfrewshire"}))</f>
        <v>111.62599999999999</v>
      </c>
      <c r="L46" s="388">
        <f t="shared" si="10"/>
        <v>6.6203214304911047</v>
      </c>
      <c r="M46" s="9"/>
      <c r="N46" s="385">
        <f>SUM(SUMIFS(N$9:N$41,$A$9:$A$41,{"Angus","Clackmannanshire","Midlothian","South Lanarkshire","Inverclyde","Renfrewshire","West Lothian","East Renfrewshire"}))</f>
        <v>732</v>
      </c>
      <c r="O46" s="385">
        <f>SUM(SUMIFS(O$9:O$41,$A$9:$A$41,{"Angus","Clackmannanshire","Midlothian","South Lanarkshire","Inverclyde","Renfrewshire","West Lothian","East Renfrewshire"}))</f>
        <v>112.377</v>
      </c>
      <c r="P46" s="388">
        <f t="shared" si="12"/>
        <v>6.513788408660135</v>
      </c>
    </row>
    <row r="47" spans="1:17">
      <c r="A47" s="6" t="s">
        <v>546</v>
      </c>
      <c r="B47" s="385">
        <f>SUM(SUMIFS(B$9:B$41,$A$9:$A$41,{"North Lanarkshire","Falkirk","East Dunbartonshire","Aberdeen City","Edinburgh, City of","West Dunbartonshire","Dundee City","Glasgow City"}))</f>
        <v>1934</v>
      </c>
      <c r="C47" s="385">
        <f>SUM(SUMIFS(C$9:C$41,$A$9:$A$41,{"North Lanarkshire","Falkirk","East Dunbartonshire","Aberdeen City","Edinburgh, City of","West Dunbartonshire","Dundee City","Glasgow City"}))</f>
        <v>217.69799999999998</v>
      </c>
      <c r="D47" s="388">
        <f>SUM(B47/C47)</f>
        <v>8.8838666409429585</v>
      </c>
      <c r="E47" s="9"/>
      <c r="F47" s="385">
        <f>SUM(SUMIFS(F$9:F$41,$A$9:$A$41,{"North Lanarkshire","Falkirk","East Dunbartonshire","Aberdeen City","Edinburgh, City of","West Dunbartonshire","Dundee City","Glasgow City"}))</f>
        <v>2035</v>
      </c>
      <c r="G47" s="385">
        <f>SUM(SUMIFS(G$9:G$41,$A$9:$A$41,{"North Lanarkshire","Falkirk","East Dunbartonshire","Aberdeen City","Edinburgh, City of","West Dunbartonshire","Dundee City","Glasgow City"}))</f>
        <v>220.95700000000002</v>
      </c>
      <c r="H47" s="388">
        <f t="shared" si="9"/>
        <v>9.2099367750286252</v>
      </c>
      <c r="I47" s="9"/>
      <c r="J47" s="385">
        <f>SUM(SUMIFS(J$9:J$41,$A$9:$A$41,{"North Lanarkshire","Falkirk","East Dunbartonshire","Aberdeen City","Edinburgh, City of","West Dunbartonshire","Dundee City","Glasgow City"}))</f>
        <v>2212</v>
      </c>
      <c r="K47" s="385">
        <f>SUM(SUMIFS(K$9:K$41,$A$9:$A$41,{"North Lanarkshire","Falkirk","East Dunbartonshire","Aberdeen City","Edinburgh, City of","West Dunbartonshire","Dundee City","Glasgow City"}))</f>
        <v>223.58699999999999</v>
      </c>
      <c r="L47" s="388">
        <f t="shared" si="10"/>
        <v>9.8932406624714329</v>
      </c>
      <c r="M47" s="9"/>
      <c r="N47" s="385">
        <f>SUM(SUMIFS(N$9:N$41,$A$9:$A$41,{"North Lanarkshire","Falkirk","East Dunbartonshire","Aberdeen City","Edinburgh, City of","West Dunbartonshire","Dundee City","Glasgow City"}))</f>
        <v>2214</v>
      </c>
      <c r="O47" s="385" cm="1">
        <f t="array" ref="O47">SUM(SUMIFS(O$9:O$41,$A$9:$A$41,{"North Lanarkshire","Falkirk","East Dunbartonshire","Aberdeen City","Edinburgh, City of","West Dunbartonshire","Dundee City","Glasgow City"}))</f>
        <v>223.554</v>
      </c>
      <c r="P47" s="388">
        <f>SUM(N47/O47)</f>
        <v>9.9036474408867647</v>
      </c>
    </row>
    <row r="48" spans="1:17">
      <c r="A48" s="6" t="s">
        <v>46</v>
      </c>
      <c r="B48" s="6" t="s">
        <v>69</v>
      </c>
      <c r="C48" s="6" t="s">
        <v>69</v>
      </c>
      <c r="D48" s="6" t="s">
        <v>69</v>
      </c>
      <c r="E48" s="6"/>
      <c r="F48" s="6" t="s">
        <v>69</v>
      </c>
      <c r="G48" s="6" t="s">
        <v>69</v>
      </c>
      <c r="H48" s="6" t="s">
        <v>69</v>
      </c>
      <c r="I48" s="6"/>
      <c r="J48" s="6" t="s">
        <v>69</v>
      </c>
      <c r="K48" s="6" t="s">
        <v>69</v>
      </c>
      <c r="L48" s="6" t="s">
        <v>69</v>
      </c>
      <c r="M48" s="6"/>
      <c r="N48" s="6" t="s">
        <v>69</v>
      </c>
      <c r="O48" s="6" t="s">
        <v>69</v>
      </c>
      <c r="P48" s="6" t="s">
        <v>69</v>
      </c>
    </row>
    <row r="49" spans="1:16">
      <c r="A49" s="6" t="s">
        <v>47</v>
      </c>
      <c r="B49" s="410">
        <f>VLOOKUP($A49,$A$108:$P$143,4,FALSE)</f>
        <v>1248</v>
      </c>
      <c r="C49" s="410">
        <f>SUM(VLOOKUP($A49,$A$60:$Q$95,4,FALSE)/10000)</f>
        <v>180.43799999999999</v>
      </c>
      <c r="D49" s="388">
        <f t="shared" si="8"/>
        <v>6.9165031756060262</v>
      </c>
      <c r="E49" s="9"/>
      <c r="F49" s="410">
        <f>VLOOKUP($A49,$A$108:$P$143,8,FALSE)</f>
        <v>1305</v>
      </c>
      <c r="G49" s="410">
        <f>SUM(VLOOKUP($A49,$A$60:$Q$95,8,FALSE)/10000)</f>
        <v>182.72399999999999</v>
      </c>
      <c r="H49" s="388">
        <f t="shared" si="9"/>
        <v>7.1419189597425632</v>
      </c>
      <c r="I49" s="9"/>
      <c r="J49" s="410">
        <f>VLOOKUP($A49,$A$108:$P$143,12,FALSE)</f>
        <v>1444</v>
      </c>
      <c r="K49" s="410">
        <f>SUM(VLOOKUP($A49,$A$60:$Q$95,12,FALSE)/10000)</f>
        <v>184.50200000000001</v>
      </c>
      <c r="L49" s="388">
        <f t="shared" si="10"/>
        <v>7.8264734257623223</v>
      </c>
      <c r="M49" s="9"/>
      <c r="N49" s="410">
        <f>VLOOKUP($A49,$A$108:$P$143,16,FALSE)</f>
        <v>1448</v>
      </c>
      <c r="O49" s="410">
        <f>SUM(VLOOKUP($A49,$A$60:$Q$95,16,FALSE)/10000)</f>
        <v>184.90700000000001</v>
      </c>
      <c r="P49" s="388">
        <f t="shared" ref="P49" si="13">SUM(N49/O49)</f>
        <v>7.830963673630527</v>
      </c>
    </row>
    <row r="53" spans="1:16" ht="15.5">
      <c r="A53" s="1" t="s">
        <v>216</v>
      </c>
      <c r="B53" s="1"/>
      <c r="C53" s="1"/>
    </row>
    <row r="54" spans="1:16">
      <c r="A54" s="2" t="s">
        <v>207</v>
      </c>
      <c r="B54" s="2"/>
      <c r="C54" s="2"/>
    </row>
    <row r="56" spans="1:16">
      <c r="A56" s="6" t="s">
        <v>150</v>
      </c>
      <c r="B56" s="6"/>
      <c r="C56" s="6"/>
      <c r="D56" s="6" t="s">
        <v>82</v>
      </c>
      <c r="E56" s="6"/>
      <c r="F56" s="6"/>
      <c r="G56" s="6"/>
    </row>
    <row r="57" spans="1:16">
      <c r="A57" s="6" t="s">
        <v>149</v>
      </c>
      <c r="B57" s="6"/>
      <c r="C57" s="6"/>
      <c r="D57" s="6" t="s">
        <v>82</v>
      </c>
      <c r="E57" s="6"/>
      <c r="F57" s="6"/>
      <c r="G57" s="6"/>
    </row>
    <row r="59" spans="1:16" ht="22" customHeight="1">
      <c r="A59" s="12" t="s">
        <v>5</v>
      </c>
      <c r="B59" s="12"/>
      <c r="C59" s="12"/>
      <c r="D59" s="65">
        <v>2015</v>
      </c>
      <c r="E59" s="65"/>
      <c r="F59" s="65"/>
      <c r="G59" s="65"/>
      <c r="H59" s="65">
        <v>2017</v>
      </c>
      <c r="I59" s="65"/>
      <c r="J59" s="65"/>
      <c r="K59" s="65"/>
      <c r="L59" s="65">
        <v>2019</v>
      </c>
      <c r="M59" s="65"/>
      <c r="N59" s="65"/>
      <c r="O59" s="65"/>
      <c r="P59" s="65">
        <v>2021</v>
      </c>
    </row>
    <row r="60" spans="1:16">
      <c r="A60" s="6" t="s">
        <v>14</v>
      </c>
      <c r="B60" s="6"/>
      <c r="C60" s="6"/>
      <c r="D60" s="10">
        <v>230350</v>
      </c>
      <c r="G60" s="10"/>
      <c r="H60" s="10">
        <v>228800</v>
      </c>
      <c r="J60" s="10"/>
      <c r="K60" s="10"/>
      <c r="L60" s="10">
        <v>228670</v>
      </c>
      <c r="M60" s="10"/>
      <c r="N60" s="10"/>
      <c r="O60" s="10"/>
      <c r="P60" s="10">
        <v>227430</v>
      </c>
    </row>
    <row r="61" spans="1:16">
      <c r="A61" s="6" t="s">
        <v>15</v>
      </c>
      <c r="B61" s="6"/>
      <c r="C61" s="6"/>
      <c r="D61" s="10">
        <v>261960</v>
      </c>
      <c r="G61" s="10"/>
      <c r="H61" s="10">
        <v>261800</v>
      </c>
      <c r="J61" s="10"/>
      <c r="K61" s="10"/>
      <c r="L61" s="10">
        <v>261210</v>
      </c>
      <c r="M61" s="10"/>
      <c r="N61" s="10"/>
      <c r="O61" s="10"/>
      <c r="P61" s="10">
        <v>262690</v>
      </c>
    </row>
    <row r="62" spans="1:16">
      <c r="A62" s="6" t="s">
        <v>16</v>
      </c>
      <c r="B62" s="6"/>
      <c r="C62" s="6"/>
      <c r="D62" s="10">
        <v>116900</v>
      </c>
      <c r="G62" s="10"/>
      <c r="H62" s="10">
        <v>116280</v>
      </c>
      <c r="J62" s="10"/>
      <c r="K62" s="10"/>
      <c r="L62" s="10">
        <v>116200</v>
      </c>
      <c r="M62" s="10"/>
      <c r="N62" s="10"/>
      <c r="O62" s="10"/>
      <c r="P62" s="10">
        <v>116120</v>
      </c>
    </row>
    <row r="63" spans="1:16">
      <c r="A63" s="6" t="s">
        <v>17</v>
      </c>
      <c r="B63" s="6"/>
      <c r="C63" s="6"/>
      <c r="D63" s="10">
        <v>86890</v>
      </c>
      <c r="G63" s="10"/>
      <c r="H63" s="10">
        <v>86810</v>
      </c>
      <c r="J63" s="10"/>
      <c r="K63" s="10"/>
      <c r="L63" s="10">
        <v>85870</v>
      </c>
      <c r="M63" s="10"/>
      <c r="N63" s="10"/>
      <c r="O63" s="10"/>
      <c r="P63" s="10">
        <v>86220</v>
      </c>
    </row>
    <row r="64" spans="1:16">
      <c r="A64" s="6" t="s">
        <v>189</v>
      </c>
      <c r="B64" s="6"/>
      <c r="C64" s="6"/>
      <c r="D64" s="10">
        <v>498810</v>
      </c>
      <c r="G64" s="10"/>
      <c r="H64" s="10">
        <v>513210</v>
      </c>
      <c r="J64" s="10"/>
      <c r="K64" s="10"/>
      <c r="L64" s="10">
        <v>524930</v>
      </c>
      <c r="M64" s="10"/>
      <c r="N64" s="10"/>
      <c r="O64" s="10"/>
      <c r="P64" s="10">
        <v>526470</v>
      </c>
    </row>
    <row r="65" spans="1:16">
      <c r="A65" s="6" t="s">
        <v>18</v>
      </c>
      <c r="B65" s="6"/>
      <c r="C65" s="6"/>
      <c r="D65" s="10">
        <v>51360</v>
      </c>
      <c r="G65" s="10"/>
      <c r="H65" s="10">
        <v>51450</v>
      </c>
      <c r="J65" s="10"/>
      <c r="K65" s="10"/>
      <c r="L65" s="10">
        <v>51540</v>
      </c>
      <c r="M65" s="10"/>
      <c r="N65" s="10"/>
      <c r="O65" s="10"/>
      <c r="P65" s="10">
        <v>51540</v>
      </c>
    </row>
    <row r="66" spans="1:16">
      <c r="A66" s="6" t="s">
        <v>19</v>
      </c>
      <c r="B66" s="6"/>
      <c r="C66" s="6"/>
      <c r="D66" s="10">
        <v>149670</v>
      </c>
      <c r="G66" s="10"/>
      <c r="H66" s="10">
        <v>149200</v>
      </c>
      <c r="J66" s="10"/>
      <c r="K66" s="10"/>
      <c r="L66" s="10">
        <v>148860</v>
      </c>
      <c r="M66" s="10"/>
      <c r="N66" s="10"/>
      <c r="O66" s="10"/>
      <c r="P66" s="10">
        <v>148790</v>
      </c>
    </row>
    <row r="67" spans="1:16">
      <c r="A67" s="6" t="s">
        <v>20</v>
      </c>
      <c r="B67" s="6"/>
      <c r="C67" s="6"/>
      <c r="D67" s="10">
        <v>148210</v>
      </c>
      <c r="G67" s="10"/>
      <c r="H67" s="10">
        <v>148710</v>
      </c>
      <c r="J67" s="10"/>
      <c r="K67" s="10"/>
      <c r="L67" s="10">
        <v>149320</v>
      </c>
      <c r="M67" s="10"/>
      <c r="N67" s="10"/>
      <c r="O67" s="10"/>
      <c r="P67" s="10">
        <v>147720</v>
      </c>
    </row>
    <row r="68" spans="1:16">
      <c r="A68" s="6" t="s">
        <v>21</v>
      </c>
      <c r="B68" s="6"/>
      <c r="C68" s="6"/>
      <c r="D68" s="10">
        <v>122060</v>
      </c>
      <c r="G68" s="10"/>
      <c r="H68" s="10">
        <v>121940</v>
      </c>
      <c r="J68" s="10"/>
      <c r="K68" s="10"/>
      <c r="L68" s="10">
        <v>122010</v>
      </c>
      <c r="M68" s="10"/>
      <c r="N68" s="10"/>
      <c r="O68" s="10"/>
      <c r="P68" s="10">
        <v>122020</v>
      </c>
    </row>
    <row r="69" spans="1:16">
      <c r="A69" s="6" t="s">
        <v>22</v>
      </c>
      <c r="B69" s="6"/>
      <c r="C69" s="6"/>
      <c r="D69" s="10">
        <v>106960</v>
      </c>
      <c r="G69" s="10"/>
      <c r="H69" s="10">
        <v>108130</v>
      </c>
      <c r="J69" s="10"/>
      <c r="K69" s="10"/>
      <c r="L69" s="10">
        <v>108640</v>
      </c>
      <c r="M69" s="10"/>
      <c r="N69" s="10"/>
      <c r="O69" s="10"/>
      <c r="P69" s="10">
        <v>108900</v>
      </c>
    </row>
    <row r="70" spans="1:16">
      <c r="A70" s="6" t="s">
        <v>23</v>
      </c>
      <c r="B70" s="6"/>
      <c r="C70" s="6"/>
      <c r="D70" s="10">
        <v>103050</v>
      </c>
      <c r="G70" s="10"/>
      <c r="H70" s="10">
        <v>104840</v>
      </c>
      <c r="J70" s="10"/>
      <c r="K70" s="10"/>
      <c r="L70" s="10">
        <v>107090</v>
      </c>
      <c r="M70" s="10"/>
      <c r="N70" s="10"/>
      <c r="O70" s="10"/>
      <c r="P70" s="10">
        <v>109580</v>
      </c>
    </row>
    <row r="71" spans="1:16">
      <c r="A71" s="6" t="s">
        <v>24</v>
      </c>
      <c r="B71" s="6"/>
      <c r="C71" s="6"/>
      <c r="D71" s="10">
        <v>92940</v>
      </c>
      <c r="G71" s="10"/>
      <c r="H71" s="10">
        <v>94760</v>
      </c>
      <c r="J71" s="10"/>
      <c r="K71" s="10"/>
      <c r="L71" s="10">
        <v>95530</v>
      </c>
      <c r="M71" s="10"/>
      <c r="N71" s="10"/>
      <c r="O71" s="10"/>
      <c r="P71" s="10">
        <v>96580</v>
      </c>
    </row>
    <row r="72" spans="1:16">
      <c r="A72" s="6" t="s">
        <v>25</v>
      </c>
      <c r="B72" s="6"/>
      <c r="C72" s="6"/>
      <c r="D72" s="10">
        <v>158460</v>
      </c>
      <c r="G72" s="10"/>
      <c r="H72" s="10">
        <v>160130</v>
      </c>
      <c r="J72" s="10"/>
      <c r="K72" s="10"/>
      <c r="L72" s="10">
        <v>160890</v>
      </c>
      <c r="M72" s="10"/>
      <c r="N72" s="10"/>
      <c r="O72" s="10"/>
      <c r="P72" s="10">
        <v>160700</v>
      </c>
    </row>
    <row r="73" spans="1:16">
      <c r="A73" s="6" t="s">
        <v>26</v>
      </c>
      <c r="B73" s="6"/>
      <c r="C73" s="6"/>
      <c r="D73" s="10">
        <v>368080</v>
      </c>
      <c r="G73" s="10"/>
      <c r="H73" s="10">
        <v>371410</v>
      </c>
      <c r="J73" s="10"/>
      <c r="K73" s="10"/>
      <c r="L73" s="10">
        <v>373550</v>
      </c>
      <c r="M73" s="10"/>
      <c r="N73" s="10"/>
      <c r="O73" s="10"/>
      <c r="P73" s="10">
        <v>374730</v>
      </c>
    </row>
    <row r="74" spans="1:16">
      <c r="A74" s="6" t="s">
        <v>27</v>
      </c>
      <c r="B74" s="6"/>
      <c r="C74" s="6"/>
      <c r="D74" s="10">
        <v>606340</v>
      </c>
      <c r="G74" s="10"/>
      <c r="H74" s="10">
        <v>621020</v>
      </c>
      <c r="J74" s="10"/>
      <c r="K74" s="10"/>
      <c r="L74" s="10">
        <v>633120</v>
      </c>
      <c r="M74" s="10"/>
      <c r="N74" s="10"/>
      <c r="O74" s="10"/>
      <c r="P74" s="10">
        <v>635130</v>
      </c>
    </row>
    <row r="75" spans="1:16">
      <c r="A75" s="6" t="s">
        <v>28</v>
      </c>
      <c r="B75" s="6"/>
      <c r="C75" s="6"/>
      <c r="D75" s="10">
        <v>234110</v>
      </c>
      <c r="G75" s="10"/>
      <c r="H75" s="10">
        <v>235180</v>
      </c>
      <c r="J75" s="10"/>
      <c r="K75" s="10"/>
      <c r="L75" s="10">
        <v>235830</v>
      </c>
      <c r="M75" s="10"/>
      <c r="N75" s="10"/>
      <c r="O75" s="10"/>
      <c r="P75" s="10">
        <v>238060</v>
      </c>
    </row>
    <row r="76" spans="1:16">
      <c r="A76" s="6" t="s">
        <v>29</v>
      </c>
      <c r="B76" s="6"/>
      <c r="C76" s="6"/>
      <c r="D76" s="10">
        <v>79500</v>
      </c>
      <c r="G76" s="10"/>
      <c r="H76" s="10">
        <v>78760</v>
      </c>
      <c r="J76" s="10"/>
      <c r="K76" s="10"/>
      <c r="L76" s="10">
        <v>77800</v>
      </c>
      <c r="M76" s="10"/>
      <c r="N76" s="10"/>
      <c r="O76" s="10"/>
      <c r="P76" s="10">
        <v>76700</v>
      </c>
    </row>
    <row r="77" spans="1:16">
      <c r="A77" s="6" t="s">
        <v>30</v>
      </c>
      <c r="B77" s="6"/>
      <c r="C77" s="6"/>
      <c r="D77" s="10">
        <v>87390</v>
      </c>
      <c r="G77" s="10"/>
      <c r="H77" s="10">
        <v>90090</v>
      </c>
      <c r="J77" s="10"/>
      <c r="K77" s="10"/>
      <c r="L77" s="10">
        <v>92460</v>
      </c>
      <c r="M77" s="10"/>
      <c r="N77" s="10"/>
      <c r="O77" s="10"/>
      <c r="P77" s="10">
        <v>94680</v>
      </c>
    </row>
    <row r="78" spans="1:16">
      <c r="A78" s="6" t="s">
        <v>31</v>
      </c>
      <c r="B78" s="6"/>
      <c r="C78" s="6"/>
      <c r="D78" s="10">
        <v>95510</v>
      </c>
      <c r="G78" s="10"/>
      <c r="H78" s="10">
        <v>95780</v>
      </c>
      <c r="J78" s="10"/>
      <c r="K78" s="10"/>
      <c r="L78" s="10">
        <v>95820</v>
      </c>
      <c r="M78" s="10"/>
      <c r="N78" s="10"/>
      <c r="O78" s="10"/>
      <c r="P78" s="10">
        <v>96410</v>
      </c>
    </row>
    <row r="79" spans="1:16">
      <c r="A79" s="6" t="s">
        <v>32</v>
      </c>
      <c r="B79" s="6"/>
      <c r="C79" s="6"/>
      <c r="D79" s="10">
        <v>27070</v>
      </c>
      <c r="G79" s="10"/>
      <c r="H79" s="10">
        <v>26950</v>
      </c>
      <c r="J79" s="10"/>
      <c r="K79" s="10"/>
      <c r="L79" s="10">
        <v>26720</v>
      </c>
      <c r="M79" s="10"/>
      <c r="N79" s="10"/>
      <c r="O79" s="10"/>
      <c r="P79" s="10">
        <v>26640</v>
      </c>
    </row>
    <row r="80" spans="1:16">
      <c r="A80" s="6" t="s">
        <v>33</v>
      </c>
      <c r="B80" s="6"/>
      <c r="C80" s="6"/>
      <c r="D80" s="10">
        <v>136130</v>
      </c>
      <c r="G80" s="10"/>
      <c r="H80" s="10">
        <v>135790</v>
      </c>
      <c r="J80" s="10"/>
      <c r="K80" s="10"/>
      <c r="L80" s="10">
        <v>134740</v>
      </c>
      <c r="M80" s="10"/>
      <c r="N80" s="10"/>
      <c r="O80" s="10"/>
      <c r="P80" s="10">
        <v>134220</v>
      </c>
    </row>
    <row r="81" spans="1:16">
      <c r="A81" s="6" t="s">
        <v>34</v>
      </c>
      <c r="B81" s="6"/>
      <c r="C81" s="6"/>
      <c r="D81" s="10">
        <v>338260</v>
      </c>
      <c r="G81" s="10"/>
      <c r="H81" s="10">
        <v>339960</v>
      </c>
      <c r="J81" s="10"/>
      <c r="K81" s="10"/>
      <c r="L81" s="10">
        <v>341370</v>
      </c>
      <c r="M81" s="10"/>
      <c r="N81" s="10"/>
      <c r="O81" s="10"/>
      <c r="P81" s="10">
        <v>341400</v>
      </c>
    </row>
    <row r="82" spans="1:16">
      <c r="A82" s="6" t="s">
        <v>35</v>
      </c>
      <c r="B82" s="6"/>
      <c r="C82" s="6"/>
      <c r="D82" s="10">
        <v>21670</v>
      </c>
      <c r="G82" s="10"/>
      <c r="H82" s="10">
        <v>22000</v>
      </c>
      <c r="J82" s="10"/>
      <c r="K82" s="10"/>
      <c r="L82" s="10">
        <v>22270</v>
      </c>
      <c r="M82" s="10"/>
      <c r="N82" s="10"/>
      <c r="O82" s="10"/>
      <c r="P82" s="10">
        <v>22540</v>
      </c>
    </row>
    <row r="83" spans="1:16">
      <c r="A83" s="6" t="s">
        <v>36</v>
      </c>
      <c r="B83" s="6"/>
      <c r="C83" s="6"/>
      <c r="D83" s="10">
        <v>149930</v>
      </c>
      <c r="G83" s="10"/>
      <c r="H83" s="10">
        <v>151100</v>
      </c>
      <c r="J83" s="10"/>
      <c r="K83" s="10"/>
      <c r="L83" s="10">
        <v>151950</v>
      </c>
      <c r="M83" s="10"/>
      <c r="N83" s="10"/>
      <c r="O83" s="10"/>
      <c r="P83" s="10">
        <v>153810</v>
      </c>
    </row>
    <row r="84" spans="1:16">
      <c r="A84" s="6" t="s">
        <v>37</v>
      </c>
      <c r="B84" s="6"/>
      <c r="C84" s="6"/>
      <c r="D84" s="10">
        <v>174560</v>
      </c>
      <c r="G84" s="10"/>
      <c r="H84" s="10">
        <v>176830</v>
      </c>
      <c r="J84" s="10"/>
      <c r="K84" s="10"/>
      <c r="L84" s="10">
        <v>179100</v>
      </c>
      <c r="M84" s="10"/>
      <c r="N84" s="10"/>
      <c r="O84" s="10"/>
      <c r="P84" s="10">
        <v>179940</v>
      </c>
    </row>
    <row r="85" spans="1:16">
      <c r="A85" s="6" t="s">
        <v>38</v>
      </c>
      <c r="B85" s="6"/>
      <c r="C85" s="6"/>
      <c r="D85" s="10">
        <v>114030</v>
      </c>
      <c r="G85" s="10"/>
      <c r="H85" s="10">
        <v>115020</v>
      </c>
      <c r="J85" s="10"/>
      <c r="K85" s="10"/>
      <c r="L85" s="10">
        <v>115510</v>
      </c>
      <c r="M85" s="10"/>
      <c r="N85" s="10"/>
      <c r="O85" s="10"/>
      <c r="P85" s="10">
        <v>116020</v>
      </c>
    </row>
    <row r="86" spans="1:16">
      <c r="A86" s="6" t="s">
        <v>39</v>
      </c>
      <c r="B86" s="6"/>
      <c r="C86" s="6"/>
      <c r="D86" s="10">
        <v>23200</v>
      </c>
      <c r="G86" s="10"/>
      <c r="H86" s="10">
        <v>23080</v>
      </c>
      <c r="J86" s="10"/>
      <c r="K86" s="10"/>
      <c r="L86" s="10">
        <v>22920</v>
      </c>
      <c r="M86" s="10"/>
      <c r="N86" s="10"/>
      <c r="O86" s="10"/>
      <c r="P86" s="10">
        <v>22940</v>
      </c>
    </row>
    <row r="87" spans="1:16">
      <c r="A87" s="6" t="s">
        <v>40</v>
      </c>
      <c r="B87" s="6"/>
      <c r="C87" s="6"/>
      <c r="D87" s="10">
        <v>112400</v>
      </c>
      <c r="G87" s="10"/>
      <c r="H87" s="10">
        <v>112680</v>
      </c>
      <c r="J87" s="10"/>
      <c r="K87" s="10"/>
      <c r="L87" s="10">
        <v>112610</v>
      </c>
      <c r="M87" s="10"/>
      <c r="N87" s="10"/>
      <c r="O87" s="10"/>
      <c r="P87" s="10">
        <v>112450</v>
      </c>
    </row>
    <row r="88" spans="1:16">
      <c r="A88" s="6" t="s">
        <v>41</v>
      </c>
      <c r="B88" s="6"/>
      <c r="C88" s="6"/>
      <c r="D88" s="10">
        <v>316230</v>
      </c>
      <c r="G88" s="10"/>
      <c r="H88" s="10">
        <v>318170</v>
      </c>
      <c r="J88" s="10"/>
      <c r="K88" s="10"/>
      <c r="L88" s="10">
        <v>320530</v>
      </c>
      <c r="M88" s="10"/>
      <c r="N88" s="10"/>
      <c r="O88" s="10"/>
      <c r="P88" s="10">
        <v>322630</v>
      </c>
    </row>
    <row r="89" spans="1:16">
      <c r="A89" s="6" t="s">
        <v>42</v>
      </c>
      <c r="B89" s="6"/>
      <c r="C89" s="6"/>
      <c r="D89" s="10">
        <v>92830</v>
      </c>
      <c r="G89" s="10"/>
      <c r="H89" s="10">
        <v>94000</v>
      </c>
      <c r="J89" s="10"/>
      <c r="K89" s="10"/>
      <c r="L89" s="10">
        <v>94210</v>
      </c>
      <c r="M89" s="10"/>
      <c r="N89" s="10"/>
      <c r="O89" s="10"/>
      <c r="P89" s="10">
        <v>93470</v>
      </c>
    </row>
    <row r="90" spans="1:16">
      <c r="A90" s="6" t="s">
        <v>43</v>
      </c>
      <c r="B90" s="6"/>
      <c r="C90" s="6"/>
      <c r="D90" s="10">
        <v>89590</v>
      </c>
      <c r="G90" s="10"/>
      <c r="H90" s="10">
        <v>89610</v>
      </c>
      <c r="J90" s="10"/>
      <c r="K90" s="10"/>
      <c r="L90" s="10">
        <v>88930</v>
      </c>
      <c r="M90" s="10"/>
      <c r="N90" s="10"/>
      <c r="O90" s="10"/>
      <c r="P90" s="10">
        <v>87790</v>
      </c>
    </row>
    <row r="91" spans="1:16">
      <c r="A91" s="6" t="s">
        <v>44</v>
      </c>
      <c r="B91" s="6"/>
      <c r="C91" s="6"/>
      <c r="D91" s="10">
        <v>178550</v>
      </c>
      <c r="G91" s="10"/>
      <c r="H91" s="10">
        <v>181310</v>
      </c>
      <c r="J91" s="10"/>
      <c r="K91" s="10"/>
      <c r="L91" s="10">
        <v>183100</v>
      </c>
      <c r="M91" s="10"/>
      <c r="N91" s="10"/>
      <c r="O91" s="10"/>
      <c r="P91" s="10">
        <v>185580</v>
      </c>
    </row>
    <row r="92" spans="1:16">
      <c r="A92" s="6"/>
      <c r="B92" s="6"/>
      <c r="C92" s="6"/>
      <c r="D92" s="10"/>
      <c r="G92" s="10"/>
      <c r="H92" s="10"/>
      <c r="J92" s="10"/>
      <c r="K92" s="10"/>
      <c r="L92" s="10"/>
      <c r="M92" s="10"/>
      <c r="N92" s="10"/>
      <c r="O92" s="10"/>
      <c r="P92" s="10"/>
    </row>
    <row r="93" spans="1:16">
      <c r="A93" s="6" t="s">
        <v>45</v>
      </c>
      <c r="B93" s="6"/>
      <c r="C93" s="6"/>
      <c r="D93" s="10">
        <v>5373000</v>
      </c>
      <c r="G93" s="10"/>
      <c r="H93" s="10">
        <v>5424800</v>
      </c>
      <c r="J93" s="10"/>
      <c r="K93" s="10"/>
      <c r="L93" s="10">
        <v>5463300</v>
      </c>
      <c r="M93" s="10"/>
      <c r="N93" s="10"/>
      <c r="O93" s="10"/>
      <c r="P93" s="10">
        <v>5479900</v>
      </c>
    </row>
    <row r="94" spans="1:16">
      <c r="A94" s="6" t="s">
        <v>46</v>
      </c>
      <c r="B94" s="6"/>
      <c r="C94" s="6"/>
      <c r="D94" s="10" t="s">
        <v>69</v>
      </c>
      <c r="G94" s="10"/>
      <c r="H94" s="10" t="s">
        <v>69</v>
      </c>
      <c r="J94" s="10"/>
      <c r="K94" s="10"/>
      <c r="L94" s="10" t="s">
        <v>69</v>
      </c>
      <c r="M94" s="10"/>
      <c r="N94" s="10"/>
      <c r="O94" s="10"/>
      <c r="P94" s="10" t="s">
        <v>69</v>
      </c>
    </row>
    <row r="95" spans="1:16">
      <c r="A95" s="6" t="s">
        <v>47</v>
      </c>
      <c r="B95" s="6"/>
      <c r="C95" s="6"/>
      <c r="D95" s="10">
        <v>1804380</v>
      </c>
      <c r="G95" s="10"/>
      <c r="H95" s="10">
        <v>1827240</v>
      </c>
      <c r="J95" s="10"/>
      <c r="K95" s="10"/>
      <c r="L95" s="10">
        <v>1845020</v>
      </c>
      <c r="M95" s="10"/>
      <c r="N95" s="10"/>
      <c r="O95" s="10"/>
      <c r="P95" s="10">
        <v>1849070</v>
      </c>
    </row>
    <row r="100" spans="1:16" ht="15.5">
      <c r="A100" s="1" t="s">
        <v>214</v>
      </c>
      <c r="B100" s="1"/>
      <c r="C100" s="1"/>
    </row>
    <row r="101" spans="1:16">
      <c r="A101" s="2" t="s">
        <v>207</v>
      </c>
      <c r="B101" s="2"/>
      <c r="C101" s="2"/>
    </row>
    <row r="103" spans="1:16">
      <c r="A103" s="6" t="s">
        <v>213</v>
      </c>
      <c r="B103" s="6"/>
      <c r="C103" s="6"/>
      <c r="D103" s="6" t="s">
        <v>247</v>
      </c>
      <c r="E103" s="6"/>
      <c r="F103" s="6"/>
      <c r="G103" s="6"/>
    </row>
    <row r="104" spans="1:16">
      <c r="A104" s="6" t="s">
        <v>212</v>
      </c>
      <c r="B104" s="6"/>
      <c r="C104" s="6"/>
      <c r="D104" s="6" t="s">
        <v>82</v>
      </c>
      <c r="E104" s="6"/>
      <c r="F104" s="6"/>
      <c r="G104" s="6"/>
    </row>
    <row r="105" spans="1:16">
      <c r="A105" s="6" t="s">
        <v>211</v>
      </c>
      <c r="B105" s="6"/>
      <c r="C105" s="6"/>
      <c r="D105" s="6" t="s">
        <v>82</v>
      </c>
      <c r="E105" s="6"/>
      <c r="F105" s="6"/>
      <c r="G105" s="6"/>
    </row>
    <row r="107" spans="1:16" ht="22" customHeight="1">
      <c r="A107" s="12" t="s">
        <v>5</v>
      </c>
      <c r="B107" s="12"/>
      <c r="C107" s="12"/>
      <c r="D107" s="65">
        <v>2015</v>
      </c>
      <c r="E107" s="65"/>
      <c r="F107" s="65"/>
      <c r="G107" s="65"/>
      <c r="H107" s="65">
        <v>2017</v>
      </c>
      <c r="I107" s="65"/>
      <c r="J107" s="65"/>
      <c r="K107" s="65"/>
      <c r="L107" s="65">
        <v>2019</v>
      </c>
      <c r="M107" s="65"/>
      <c r="N107" s="65"/>
      <c r="O107" s="65"/>
      <c r="P107" s="65">
        <v>2021</v>
      </c>
    </row>
    <row r="108" spans="1:16">
      <c r="A108" s="6" t="s">
        <v>14</v>
      </c>
      <c r="B108" s="6"/>
      <c r="C108" s="6"/>
      <c r="D108" s="10">
        <v>127</v>
      </c>
      <c r="E108" s="10"/>
      <c r="F108" s="10"/>
      <c r="G108" s="10"/>
      <c r="H108" s="10">
        <v>139</v>
      </c>
      <c r="I108" s="10"/>
      <c r="J108" s="10"/>
      <c r="K108" s="10"/>
      <c r="L108" s="10">
        <v>151</v>
      </c>
      <c r="M108" s="10"/>
      <c r="N108" s="10"/>
      <c r="O108" s="10"/>
      <c r="P108">
        <v>148</v>
      </c>
    </row>
    <row r="109" spans="1:16">
      <c r="A109" s="6" t="s">
        <v>15</v>
      </c>
      <c r="B109" s="6"/>
      <c r="C109" s="6"/>
      <c r="D109" s="10">
        <v>245</v>
      </c>
      <c r="E109" s="10"/>
      <c r="F109" s="10"/>
      <c r="G109" s="10"/>
      <c r="H109" s="10">
        <v>291</v>
      </c>
      <c r="I109" s="10"/>
      <c r="J109" s="10"/>
      <c r="K109" s="10"/>
      <c r="L109" s="10">
        <v>292</v>
      </c>
      <c r="M109" s="10"/>
      <c r="N109" s="10"/>
      <c r="O109" s="10"/>
      <c r="P109">
        <v>287</v>
      </c>
    </row>
    <row r="110" spans="1:16">
      <c r="A110" s="6" t="s">
        <v>16</v>
      </c>
      <c r="B110" s="6"/>
      <c r="C110" s="6"/>
      <c r="D110" s="10">
        <v>93</v>
      </c>
      <c r="E110" s="10"/>
      <c r="F110" s="10"/>
      <c r="G110" s="10"/>
      <c r="H110" s="10">
        <v>109</v>
      </c>
      <c r="I110" s="10"/>
      <c r="J110" s="10"/>
      <c r="K110" s="10"/>
      <c r="L110" s="10">
        <v>119</v>
      </c>
      <c r="M110" s="10"/>
      <c r="N110" s="10"/>
      <c r="O110" s="10"/>
      <c r="P110">
        <v>114</v>
      </c>
    </row>
    <row r="111" spans="1:16">
      <c r="A111" s="6" t="s">
        <v>17</v>
      </c>
      <c r="B111" s="6"/>
      <c r="C111" s="6"/>
      <c r="D111" s="10">
        <v>244</v>
      </c>
      <c r="E111" s="10"/>
      <c r="F111" s="10"/>
      <c r="G111" s="10"/>
      <c r="H111" s="10">
        <v>246</v>
      </c>
      <c r="I111" s="10"/>
      <c r="J111" s="10"/>
      <c r="K111" s="10"/>
      <c r="L111" s="10">
        <v>253</v>
      </c>
      <c r="M111" s="10"/>
      <c r="N111" s="10"/>
      <c r="O111" s="10"/>
      <c r="P111">
        <v>257</v>
      </c>
    </row>
    <row r="112" spans="1:16">
      <c r="A112" s="6" t="s">
        <v>189</v>
      </c>
      <c r="B112" s="6"/>
      <c r="C112" s="6"/>
      <c r="D112" s="10">
        <v>670</v>
      </c>
      <c r="E112" s="10"/>
      <c r="F112" s="10"/>
      <c r="G112" s="10"/>
      <c r="H112" s="10">
        <v>716</v>
      </c>
      <c r="I112" s="10"/>
      <c r="J112" s="10"/>
      <c r="K112" s="10"/>
      <c r="L112" s="10">
        <v>777</v>
      </c>
      <c r="M112" s="10"/>
      <c r="N112" s="10"/>
      <c r="O112" s="10"/>
      <c r="P112">
        <v>781</v>
      </c>
    </row>
    <row r="113" spans="1:16">
      <c r="A113" s="6" t="s">
        <v>18</v>
      </c>
      <c r="B113" s="6"/>
      <c r="C113" s="6"/>
      <c r="D113" s="10">
        <v>32</v>
      </c>
      <c r="E113" s="10"/>
      <c r="F113" s="10"/>
      <c r="G113" s="10"/>
      <c r="H113" s="10">
        <v>29</v>
      </c>
      <c r="I113" s="10"/>
      <c r="J113" s="10"/>
      <c r="K113" s="10"/>
      <c r="L113" s="10">
        <v>38</v>
      </c>
      <c r="M113" s="10"/>
      <c r="N113" s="10"/>
      <c r="O113" s="10"/>
      <c r="P113">
        <v>35</v>
      </c>
    </row>
    <row r="114" spans="1:16">
      <c r="A114" s="6" t="s">
        <v>19</v>
      </c>
      <c r="B114" s="6"/>
      <c r="C114" s="6"/>
      <c r="D114" s="10">
        <v>190</v>
      </c>
      <c r="E114" s="10"/>
      <c r="F114" s="10"/>
      <c r="G114" s="10"/>
      <c r="H114" s="10">
        <v>218</v>
      </c>
      <c r="I114" s="10"/>
      <c r="J114" s="10"/>
      <c r="K114" s="10"/>
      <c r="L114" s="10">
        <v>239</v>
      </c>
      <c r="M114" s="10"/>
      <c r="N114" s="10"/>
      <c r="O114" s="10"/>
      <c r="P114">
        <v>239</v>
      </c>
    </row>
    <row r="115" spans="1:16">
      <c r="A115" s="6" t="s">
        <v>20</v>
      </c>
      <c r="B115" s="6"/>
      <c r="C115" s="6"/>
      <c r="D115" s="10">
        <v>132</v>
      </c>
      <c r="E115" s="10"/>
      <c r="F115" s="10"/>
      <c r="G115" s="10"/>
      <c r="H115" s="10">
        <v>135</v>
      </c>
      <c r="I115" s="10"/>
      <c r="J115" s="10"/>
      <c r="K115" s="10"/>
      <c r="L115" s="10">
        <v>138</v>
      </c>
      <c r="M115" s="10"/>
      <c r="N115" s="10"/>
      <c r="O115" s="10"/>
      <c r="P115">
        <v>136</v>
      </c>
    </row>
    <row r="116" spans="1:16">
      <c r="A116" s="6" t="s">
        <v>21</v>
      </c>
      <c r="B116" s="6"/>
      <c r="C116" s="6"/>
      <c r="D116" s="10">
        <v>69</v>
      </c>
      <c r="E116" s="10"/>
      <c r="F116" s="10"/>
      <c r="G116" s="10"/>
      <c r="H116" s="10">
        <v>73</v>
      </c>
      <c r="I116" s="10"/>
      <c r="J116" s="10"/>
      <c r="K116" s="10"/>
      <c r="L116" s="10">
        <v>76</v>
      </c>
      <c r="M116" s="10"/>
      <c r="N116" s="10"/>
      <c r="O116" s="10"/>
      <c r="P116">
        <v>76</v>
      </c>
    </row>
    <row r="117" spans="1:16">
      <c r="A117" s="6" t="s">
        <v>22</v>
      </c>
      <c r="B117" s="6"/>
      <c r="C117" s="6"/>
      <c r="D117" s="10">
        <v>51</v>
      </c>
      <c r="E117" s="10"/>
      <c r="F117" s="10"/>
      <c r="G117" s="10"/>
      <c r="H117" s="10">
        <v>52</v>
      </c>
      <c r="I117" s="10"/>
      <c r="J117" s="10"/>
      <c r="K117" s="10"/>
      <c r="L117" s="10">
        <v>60</v>
      </c>
      <c r="M117" s="10"/>
      <c r="N117" s="10"/>
      <c r="O117" s="10"/>
      <c r="P117">
        <v>55</v>
      </c>
    </row>
    <row r="118" spans="1:16">
      <c r="A118" s="6" t="s">
        <v>23</v>
      </c>
      <c r="B118" s="6"/>
      <c r="C118" s="6"/>
      <c r="D118" s="10">
        <v>125</v>
      </c>
      <c r="E118" s="10"/>
      <c r="F118" s="10"/>
      <c r="G118" s="10"/>
      <c r="H118" s="10">
        <v>131</v>
      </c>
      <c r="I118" s="10"/>
      <c r="J118" s="10"/>
      <c r="K118" s="10"/>
      <c r="L118" s="10">
        <v>155</v>
      </c>
      <c r="M118" s="10"/>
      <c r="N118" s="10"/>
      <c r="O118" s="10"/>
      <c r="P118">
        <v>146</v>
      </c>
    </row>
    <row r="119" spans="1:16">
      <c r="A119" s="6" t="s">
        <v>24</v>
      </c>
      <c r="B119" s="6"/>
      <c r="C119" s="6"/>
      <c r="D119" s="10">
        <v>41</v>
      </c>
      <c r="E119" s="10"/>
      <c r="F119" s="10"/>
      <c r="G119" s="10"/>
      <c r="H119" s="10">
        <v>42</v>
      </c>
      <c r="I119" s="10"/>
      <c r="J119" s="10"/>
      <c r="K119" s="10"/>
      <c r="L119" s="10">
        <v>53</v>
      </c>
      <c r="M119" s="10"/>
      <c r="N119" s="10"/>
      <c r="O119" s="10"/>
      <c r="P119">
        <v>55</v>
      </c>
    </row>
    <row r="120" spans="1:16">
      <c r="A120" s="6" t="s">
        <v>25</v>
      </c>
      <c r="B120" s="6"/>
      <c r="C120" s="6"/>
      <c r="D120" s="10">
        <v>79</v>
      </c>
      <c r="E120" s="10"/>
      <c r="F120" s="10"/>
      <c r="G120" s="10"/>
      <c r="H120" s="10">
        <v>87</v>
      </c>
      <c r="I120" s="10"/>
      <c r="J120" s="10"/>
      <c r="K120" s="10"/>
      <c r="L120" s="10">
        <v>91</v>
      </c>
      <c r="M120" s="10"/>
      <c r="N120" s="10"/>
      <c r="O120" s="10"/>
      <c r="P120">
        <v>94</v>
      </c>
    </row>
    <row r="121" spans="1:16">
      <c r="A121" s="6" t="s">
        <v>26</v>
      </c>
      <c r="B121" s="6"/>
      <c r="C121" s="6"/>
      <c r="D121" s="10">
        <v>179</v>
      </c>
      <c r="E121" s="10"/>
      <c r="F121" s="10"/>
      <c r="G121" s="10"/>
      <c r="H121" s="10">
        <v>238</v>
      </c>
      <c r="I121" s="10"/>
      <c r="J121" s="10"/>
      <c r="K121" s="10"/>
      <c r="L121" s="10">
        <v>242</v>
      </c>
      <c r="M121" s="10"/>
      <c r="N121" s="10"/>
      <c r="O121" s="10"/>
      <c r="P121">
        <v>258</v>
      </c>
    </row>
    <row r="122" spans="1:16">
      <c r="A122" s="6" t="s">
        <v>27</v>
      </c>
      <c r="B122" s="6"/>
      <c r="C122" s="6"/>
      <c r="D122" s="10">
        <v>704</v>
      </c>
      <c r="E122" s="10"/>
      <c r="F122" s="10"/>
      <c r="G122" s="10"/>
      <c r="H122" s="10">
        <v>732</v>
      </c>
      <c r="I122" s="10"/>
      <c r="J122" s="10"/>
      <c r="K122" s="10"/>
      <c r="L122" s="10">
        <v>811</v>
      </c>
      <c r="M122" s="10"/>
      <c r="N122" s="10"/>
      <c r="O122" s="10"/>
      <c r="P122">
        <v>816</v>
      </c>
    </row>
    <row r="123" spans="1:16">
      <c r="A123" s="6" t="s">
        <v>28</v>
      </c>
      <c r="B123" s="6"/>
      <c r="C123" s="6"/>
      <c r="D123" s="10">
        <v>529</v>
      </c>
      <c r="E123" s="10"/>
      <c r="F123" s="10"/>
      <c r="G123" s="10"/>
      <c r="H123" s="10">
        <v>539</v>
      </c>
      <c r="I123" s="10"/>
      <c r="J123" s="10"/>
      <c r="K123" s="10"/>
      <c r="L123" s="10">
        <v>564</v>
      </c>
      <c r="M123" s="10"/>
      <c r="N123" s="10"/>
      <c r="O123" s="10"/>
      <c r="P123">
        <v>566</v>
      </c>
    </row>
    <row r="124" spans="1:16">
      <c r="A124" s="6" t="s">
        <v>29</v>
      </c>
      <c r="B124" s="6"/>
      <c r="C124" s="6"/>
      <c r="D124" s="10">
        <v>54</v>
      </c>
      <c r="E124" s="10"/>
      <c r="F124" s="10"/>
      <c r="G124" s="10"/>
      <c r="H124" s="10">
        <v>59</v>
      </c>
      <c r="I124" s="10"/>
      <c r="J124" s="10"/>
      <c r="K124" s="10"/>
      <c r="L124" s="10">
        <v>63</v>
      </c>
      <c r="M124" s="10"/>
      <c r="N124" s="10"/>
      <c r="O124" s="10"/>
      <c r="P124">
        <v>62</v>
      </c>
    </row>
    <row r="125" spans="1:16">
      <c r="A125" s="6" t="s">
        <v>30</v>
      </c>
      <c r="B125" s="6"/>
      <c r="C125" s="6"/>
      <c r="D125" s="10">
        <v>57</v>
      </c>
      <c r="E125" s="10"/>
      <c r="F125" s="10"/>
      <c r="G125" s="10"/>
      <c r="H125" s="10">
        <v>66</v>
      </c>
      <c r="I125" s="10"/>
      <c r="J125" s="10"/>
      <c r="K125" s="10"/>
      <c r="L125" s="10">
        <v>73</v>
      </c>
      <c r="M125" s="10"/>
      <c r="N125" s="10"/>
      <c r="O125" s="10"/>
      <c r="P125">
        <v>74</v>
      </c>
    </row>
    <row r="126" spans="1:16">
      <c r="A126" s="6" t="s">
        <v>31</v>
      </c>
      <c r="B126" s="6"/>
      <c r="C126" s="6"/>
      <c r="D126" s="10">
        <v>124</v>
      </c>
      <c r="E126" s="10"/>
      <c r="F126" s="10"/>
      <c r="G126" s="10"/>
      <c r="H126" s="10">
        <v>139</v>
      </c>
      <c r="I126" s="10"/>
      <c r="J126" s="10"/>
      <c r="K126" s="10"/>
      <c r="L126" s="10">
        <v>150</v>
      </c>
      <c r="M126" s="10"/>
      <c r="N126" s="10"/>
      <c r="O126" s="10"/>
      <c r="P126">
        <v>147</v>
      </c>
    </row>
    <row r="127" spans="1:16">
      <c r="A127" s="6" t="s">
        <v>32</v>
      </c>
      <c r="B127" s="6"/>
      <c r="C127" s="6"/>
      <c r="D127" s="10">
        <v>109</v>
      </c>
      <c r="E127" s="10"/>
      <c r="F127" s="10"/>
      <c r="G127" s="10"/>
      <c r="H127" s="10">
        <v>109</v>
      </c>
      <c r="I127" s="10"/>
      <c r="J127" s="10"/>
      <c r="K127" s="10"/>
      <c r="L127" s="10">
        <v>122</v>
      </c>
      <c r="M127" s="10"/>
      <c r="N127" s="10"/>
      <c r="O127" s="10"/>
      <c r="P127">
        <v>124</v>
      </c>
    </row>
    <row r="128" spans="1:16">
      <c r="A128" s="6" t="s">
        <v>33</v>
      </c>
      <c r="B128" s="6"/>
      <c r="C128" s="6"/>
      <c r="D128" s="10">
        <v>98</v>
      </c>
      <c r="E128" s="10"/>
      <c r="F128" s="10"/>
      <c r="G128" s="10"/>
      <c r="H128" s="10">
        <v>111</v>
      </c>
      <c r="I128" s="10"/>
      <c r="J128" s="10"/>
      <c r="K128" s="10"/>
      <c r="L128" s="10">
        <v>117</v>
      </c>
      <c r="M128" s="10"/>
      <c r="N128" s="10"/>
      <c r="O128" s="10"/>
      <c r="P128">
        <v>120</v>
      </c>
    </row>
    <row r="129" spans="1:16">
      <c r="A129" s="6" t="s">
        <v>34</v>
      </c>
      <c r="B129" s="6"/>
      <c r="C129" s="6"/>
      <c r="D129" s="10">
        <v>107</v>
      </c>
      <c r="E129" s="10"/>
      <c r="F129" s="10"/>
      <c r="G129" s="10"/>
      <c r="H129" s="10">
        <v>104</v>
      </c>
      <c r="I129" s="10"/>
      <c r="J129" s="10"/>
      <c r="K129" s="10"/>
      <c r="L129" s="10">
        <v>109</v>
      </c>
      <c r="M129" s="10"/>
      <c r="N129" s="10"/>
      <c r="O129" s="10"/>
      <c r="P129">
        <v>114</v>
      </c>
    </row>
    <row r="130" spans="1:16">
      <c r="A130" s="6" t="s">
        <v>35</v>
      </c>
      <c r="B130" s="6"/>
      <c r="C130" s="6"/>
      <c r="D130" s="10">
        <v>56</v>
      </c>
      <c r="E130" s="10"/>
      <c r="F130" s="10"/>
      <c r="G130" s="10"/>
      <c r="H130" s="10">
        <v>64</v>
      </c>
      <c r="I130" s="10"/>
      <c r="J130" s="10"/>
      <c r="K130" s="10"/>
      <c r="L130" s="10">
        <v>69</v>
      </c>
      <c r="M130" s="10"/>
      <c r="N130" s="10"/>
      <c r="O130" s="10"/>
      <c r="P130">
        <v>72</v>
      </c>
    </row>
    <row r="131" spans="1:16">
      <c r="A131" s="6" t="s">
        <v>36</v>
      </c>
      <c r="B131" s="6"/>
      <c r="C131" s="6"/>
      <c r="D131" s="10">
        <v>167</v>
      </c>
      <c r="E131" s="10"/>
      <c r="F131" s="10"/>
      <c r="G131" s="10"/>
      <c r="H131" s="10">
        <v>195</v>
      </c>
      <c r="I131" s="10"/>
      <c r="J131" s="10"/>
      <c r="K131" s="10"/>
      <c r="L131" s="10">
        <v>202</v>
      </c>
      <c r="M131" s="10"/>
      <c r="N131" s="10"/>
      <c r="O131" s="10"/>
      <c r="P131">
        <v>209</v>
      </c>
    </row>
    <row r="132" spans="1:16">
      <c r="A132" s="6" t="s">
        <v>37</v>
      </c>
      <c r="B132" s="6"/>
      <c r="C132" s="6"/>
      <c r="D132" s="10">
        <v>84</v>
      </c>
      <c r="E132" s="10"/>
      <c r="F132" s="10"/>
      <c r="G132" s="10"/>
      <c r="H132" s="10">
        <v>83</v>
      </c>
      <c r="I132" s="10"/>
      <c r="J132" s="10"/>
      <c r="K132" s="10"/>
      <c r="L132" s="10">
        <v>98</v>
      </c>
      <c r="M132" s="10"/>
      <c r="N132" s="10"/>
      <c r="O132" s="10"/>
      <c r="P132">
        <v>99</v>
      </c>
    </row>
    <row r="133" spans="1:16">
      <c r="A133" s="6" t="s">
        <v>38</v>
      </c>
      <c r="B133" s="6"/>
      <c r="C133" s="6"/>
      <c r="D133" s="10">
        <v>195</v>
      </c>
      <c r="E133" s="10"/>
      <c r="F133" s="10"/>
      <c r="G133" s="10"/>
      <c r="H133" s="10">
        <v>223</v>
      </c>
      <c r="I133" s="10"/>
      <c r="J133" s="10"/>
      <c r="K133" s="10"/>
      <c r="L133" s="10">
        <v>242</v>
      </c>
      <c r="M133" s="10"/>
      <c r="N133" s="10"/>
      <c r="O133" s="10"/>
      <c r="P133">
        <v>236</v>
      </c>
    </row>
    <row r="134" spans="1:16">
      <c r="A134" s="6" t="s">
        <v>39</v>
      </c>
      <c r="B134" s="6"/>
      <c r="C134" s="6"/>
      <c r="D134" s="10">
        <v>95</v>
      </c>
      <c r="E134" s="10"/>
      <c r="F134" s="10"/>
      <c r="G134" s="10"/>
      <c r="H134" s="10">
        <v>101</v>
      </c>
      <c r="I134" s="10"/>
      <c r="J134" s="10"/>
      <c r="K134" s="10"/>
      <c r="L134" s="10">
        <v>109</v>
      </c>
      <c r="M134" s="10"/>
      <c r="N134" s="10"/>
      <c r="O134" s="10"/>
      <c r="P134">
        <v>107</v>
      </c>
    </row>
    <row r="135" spans="1:16">
      <c r="A135" s="6" t="s">
        <v>40</v>
      </c>
      <c r="B135" s="6"/>
      <c r="C135" s="6"/>
      <c r="D135" s="10">
        <v>61</v>
      </c>
      <c r="E135" s="10"/>
      <c r="F135" s="10"/>
      <c r="G135" s="10"/>
      <c r="H135" s="10">
        <v>77</v>
      </c>
      <c r="I135" s="10"/>
      <c r="J135" s="10"/>
      <c r="K135" s="10"/>
      <c r="L135" s="10">
        <v>85</v>
      </c>
      <c r="M135" s="10"/>
      <c r="N135" s="10"/>
      <c r="O135" s="10"/>
      <c r="P135">
        <v>97</v>
      </c>
    </row>
    <row r="136" spans="1:16">
      <c r="A136" s="6" t="s">
        <v>41</v>
      </c>
      <c r="B136" s="6"/>
      <c r="C136" s="6"/>
      <c r="D136" s="10">
        <v>143</v>
      </c>
      <c r="E136" s="10"/>
      <c r="F136" s="10"/>
      <c r="G136" s="10"/>
      <c r="H136" s="10">
        <v>163</v>
      </c>
      <c r="I136" s="10"/>
      <c r="J136" s="10"/>
      <c r="K136" s="10"/>
      <c r="L136" s="10">
        <v>175</v>
      </c>
      <c r="M136" s="10"/>
      <c r="N136" s="10"/>
      <c r="O136" s="10"/>
      <c r="P136">
        <v>177</v>
      </c>
    </row>
    <row r="137" spans="1:16">
      <c r="A137" s="6" t="s">
        <v>42</v>
      </c>
      <c r="B137" s="6"/>
      <c r="C137" s="6"/>
      <c r="D137" s="10">
        <v>138</v>
      </c>
      <c r="E137" s="10"/>
      <c r="F137" s="10"/>
      <c r="G137" s="10"/>
      <c r="H137" s="10">
        <v>147</v>
      </c>
      <c r="I137" s="10"/>
      <c r="J137" s="10"/>
      <c r="K137" s="10"/>
      <c r="L137" s="10">
        <v>157</v>
      </c>
      <c r="M137" s="10"/>
      <c r="N137" s="10"/>
      <c r="O137" s="10"/>
      <c r="P137">
        <v>160</v>
      </c>
    </row>
    <row r="138" spans="1:16">
      <c r="A138" s="6" t="s">
        <v>43</v>
      </c>
      <c r="B138" s="6"/>
      <c r="C138" s="6"/>
      <c r="D138" s="10">
        <v>64</v>
      </c>
      <c r="E138" s="10"/>
      <c r="F138" s="10"/>
      <c r="G138" s="10"/>
      <c r="H138" s="10">
        <v>70</v>
      </c>
      <c r="I138" s="10"/>
      <c r="J138" s="10"/>
      <c r="K138" s="10"/>
      <c r="L138" s="10">
        <v>75</v>
      </c>
      <c r="M138" s="10"/>
      <c r="N138" s="10"/>
      <c r="O138" s="10"/>
      <c r="P138">
        <v>70</v>
      </c>
    </row>
    <row r="139" spans="1:16">
      <c r="A139" s="6" t="s">
        <v>44</v>
      </c>
      <c r="B139" s="6"/>
      <c r="C139" s="6"/>
      <c r="D139" s="10">
        <v>115</v>
      </c>
      <c r="E139" s="10"/>
      <c r="F139" s="10"/>
      <c r="G139" s="10"/>
      <c r="H139" s="10">
        <v>112</v>
      </c>
      <c r="I139" s="10"/>
      <c r="J139" s="10"/>
      <c r="K139" s="10"/>
      <c r="L139" s="10">
        <v>120</v>
      </c>
      <c r="M139" s="10"/>
      <c r="N139" s="10"/>
      <c r="O139" s="10"/>
      <c r="P139">
        <v>116</v>
      </c>
    </row>
    <row r="140" spans="1:16">
      <c r="A140" s="6"/>
      <c r="B140" s="6"/>
      <c r="C140" s="6"/>
      <c r="D140" s="10"/>
      <c r="E140" s="10"/>
      <c r="F140" s="10"/>
      <c r="G140" s="10"/>
      <c r="H140" s="10"/>
      <c r="I140" s="10"/>
      <c r="J140" s="10"/>
      <c r="K140" s="10"/>
      <c r="L140" s="10"/>
      <c r="M140" s="10"/>
      <c r="N140" s="10"/>
      <c r="O140" s="10"/>
    </row>
    <row r="141" spans="1:16">
      <c r="A141" s="6" t="s">
        <v>45</v>
      </c>
      <c r="B141" s="6"/>
      <c r="C141" s="6"/>
      <c r="D141" s="411">
        <f>SUM(D108:D139)</f>
        <v>5177</v>
      </c>
      <c r="E141" s="10"/>
      <c r="F141" s="10"/>
      <c r="G141" s="10"/>
      <c r="H141" s="10">
        <v>5600</v>
      </c>
      <c r="I141" s="10"/>
      <c r="J141" s="10"/>
      <c r="K141" s="10"/>
      <c r="L141" s="10">
        <v>6025</v>
      </c>
      <c r="M141" s="10"/>
      <c r="N141" s="10"/>
      <c r="O141" s="10"/>
      <c r="P141">
        <v>6047</v>
      </c>
    </row>
    <row r="142" spans="1:16">
      <c r="A142" s="6" t="s">
        <v>46</v>
      </c>
      <c r="B142" s="6"/>
      <c r="C142" s="6"/>
      <c r="D142" s="10" t="s">
        <v>69</v>
      </c>
      <c r="E142" s="10"/>
      <c r="F142" s="10"/>
      <c r="G142" s="10"/>
      <c r="H142" s="10" t="s">
        <v>69</v>
      </c>
      <c r="I142" s="10"/>
      <c r="J142" s="10"/>
      <c r="K142" s="10"/>
      <c r="L142" s="10" t="s">
        <v>69</v>
      </c>
      <c r="M142" s="10"/>
      <c r="N142" s="10"/>
      <c r="O142" s="10"/>
      <c r="P142" t="s">
        <v>69</v>
      </c>
    </row>
    <row r="143" spans="1:16">
      <c r="A143" s="6" t="s">
        <v>47</v>
      </c>
      <c r="B143" s="6"/>
      <c r="C143" s="6"/>
      <c r="D143" s="411">
        <f>SUM(D138+D136+D132+D129+D124+D122+D119+D117)</f>
        <v>1248</v>
      </c>
      <c r="E143" s="10"/>
      <c r="F143" s="10"/>
      <c r="G143" s="10"/>
      <c r="H143" s="411">
        <f>SUM(H138+H136+H132+H129+H124+H122+H119+H117)</f>
        <v>1305</v>
      </c>
      <c r="I143" s="10"/>
      <c r="J143" s="10"/>
      <c r="K143" s="10"/>
      <c r="L143" s="411">
        <f>SUM(L138+L136+L132+L129+L124+L122+L119+L117)</f>
        <v>1444</v>
      </c>
      <c r="M143" s="10"/>
      <c r="N143" s="10"/>
      <c r="O143" s="10"/>
      <c r="P143">
        <v>1448</v>
      </c>
    </row>
    <row r="145" spans="1:3">
      <c r="A145" s="2" t="s">
        <v>210</v>
      </c>
      <c r="B145" s="2"/>
      <c r="C145" s="2"/>
    </row>
    <row r="146" spans="1:3">
      <c r="A146" s="2" t="s">
        <v>209</v>
      </c>
      <c r="B146" s="2"/>
      <c r="C146" s="2"/>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autoPageBreaks="0"/>
  </sheetPr>
  <dimension ref="A1:K42"/>
  <sheetViews>
    <sheetView zoomScale="115" zoomScaleNormal="115" workbookViewId="0"/>
  </sheetViews>
  <sheetFormatPr defaultColWidth="8.7265625" defaultRowHeight="14.5"/>
  <cols>
    <col min="1" max="2" width="9.81640625" style="19" customWidth="1"/>
    <col min="3" max="3" width="23.1796875" style="19" customWidth="1"/>
    <col min="4" max="4" width="9.81640625" style="19" customWidth="1"/>
    <col min="5" max="5" width="14.54296875" style="19" customWidth="1"/>
    <col min="6" max="9" width="9.81640625" style="19" customWidth="1"/>
    <col min="10" max="16384" width="8.7265625" style="19"/>
  </cols>
  <sheetData>
    <row r="1" spans="1:11" ht="26">
      <c r="A1" s="23" t="s">
        <v>122</v>
      </c>
      <c r="G1" s="19" t="s">
        <v>121</v>
      </c>
      <c r="H1" s="19" t="s">
        <v>121</v>
      </c>
      <c r="I1" s="19" t="s">
        <v>120</v>
      </c>
    </row>
    <row r="2" spans="1:11" ht="15.5">
      <c r="A2" s="22" t="s">
        <v>119</v>
      </c>
      <c r="B2" s="22" t="s">
        <v>118</v>
      </c>
      <c r="C2" s="21" t="s">
        <v>117</v>
      </c>
      <c r="D2" s="21" t="s">
        <v>116</v>
      </c>
      <c r="E2" s="21" t="s">
        <v>115</v>
      </c>
      <c r="F2" s="449" t="s">
        <v>758</v>
      </c>
      <c r="G2" s="449" t="s">
        <v>759</v>
      </c>
      <c r="H2" s="449" t="s">
        <v>760</v>
      </c>
      <c r="I2" s="449" t="s">
        <v>761</v>
      </c>
    </row>
    <row r="3" spans="1:11" ht="15.5">
      <c r="A3" s="425" t="s">
        <v>45</v>
      </c>
      <c r="B3" s="425" t="s">
        <v>114</v>
      </c>
      <c r="C3" s="425" t="s">
        <v>14</v>
      </c>
      <c r="D3" s="426" t="s">
        <v>82</v>
      </c>
      <c r="E3" s="425" t="s">
        <v>81</v>
      </c>
      <c r="F3" s="427">
        <v>10276</v>
      </c>
      <c r="G3" s="427">
        <v>9230</v>
      </c>
      <c r="H3" s="427">
        <v>9544</v>
      </c>
      <c r="I3" s="427">
        <v>10847</v>
      </c>
      <c r="K3" s="412">
        <f>SUM(I3-H3)/H3</f>
        <v>0.13652556580050293</v>
      </c>
    </row>
    <row r="4" spans="1:11" ht="15.5">
      <c r="A4" s="425" t="s">
        <v>45</v>
      </c>
      <c r="B4" s="425" t="s">
        <v>113</v>
      </c>
      <c r="C4" s="425" t="s">
        <v>15</v>
      </c>
      <c r="D4" s="426" t="s">
        <v>82</v>
      </c>
      <c r="E4" s="425" t="s">
        <v>81</v>
      </c>
      <c r="F4" s="427">
        <v>6656</v>
      </c>
      <c r="G4" s="427">
        <v>6153</v>
      </c>
      <c r="H4" s="427">
        <v>6545</v>
      </c>
      <c r="I4" s="427">
        <v>7059</v>
      </c>
      <c r="K4" s="412">
        <f t="shared" ref="K4:K34" si="0">SUM(I4-H4)/H4</f>
        <v>7.8533231474407938E-2</v>
      </c>
    </row>
    <row r="5" spans="1:11" ht="15.5">
      <c r="A5" s="425" t="s">
        <v>45</v>
      </c>
      <c r="B5" s="425" t="s">
        <v>112</v>
      </c>
      <c r="C5" s="425" t="s">
        <v>16</v>
      </c>
      <c r="D5" s="426" t="s">
        <v>82</v>
      </c>
      <c r="E5" s="425" t="s">
        <v>81</v>
      </c>
      <c r="F5" s="427">
        <v>2125</v>
      </c>
      <c r="G5" s="427">
        <v>1946</v>
      </c>
      <c r="H5" s="427">
        <v>2186</v>
      </c>
      <c r="I5" s="427">
        <v>2401</v>
      </c>
      <c r="K5" s="412">
        <f t="shared" si="0"/>
        <v>9.835315645013723E-2</v>
      </c>
    </row>
    <row r="6" spans="1:11" ht="15.5">
      <c r="A6" s="425" t="s">
        <v>45</v>
      </c>
      <c r="B6" s="425" t="s">
        <v>111</v>
      </c>
      <c r="C6" s="425" t="s">
        <v>17</v>
      </c>
      <c r="D6" s="426" t="s">
        <v>82</v>
      </c>
      <c r="E6" s="425" t="s">
        <v>81</v>
      </c>
      <c r="F6" s="427">
        <v>2151</v>
      </c>
      <c r="G6" s="427">
        <v>2000</v>
      </c>
      <c r="H6" s="427">
        <v>2185</v>
      </c>
      <c r="I6" s="427">
        <v>2383</v>
      </c>
      <c r="K6" s="412">
        <f t="shared" si="0"/>
        <v>9.0617848970251713E-2</v>
      </c>
    </row>
    <row r="7" spans="1:11" ht="15.5">
      <c r="A7" s="425" t="s">
        <v>45</v>
      </c>
      <c r="B7" s="425" t="s">
        <v>110</v>
      </c>
      <c r="C7" s="425" t="s">
        <v>586</v>
      </c>
      <c r="D7" s="426" t="s">
        <v>82</v>
      </c>
      <c r="E7" s="425" t="s">
        <v>81</v>
      </c>
      <c r="F7" s="427">
        <v>25759</v>
      </c>
      <c r="G7" s="427">
        <v>24200</v>
      </c>
      <c r="H7" s="427">
        <v>26582</v>
      </c>
      <c r="I7" s="427">
        <v>29713</v>
      </c>
      <c r="K7" s="412">
        <f t="shared" si="0"/>
        <v>0.1177864720487548</v>
      </c>
    </row>
    <row r="8" spans="1:11" ht="15.5">
      <c r="A8" s="425" t="s">
        <v>45</v>
      </c>
      <c r="B8" s="425" t="s">
        <v>109</v>
      </c>
      <c r="C8" s="425" t="s">
        <v>18</v>
      </c>
      <c r="D8" s="426" t="s">
        <v>82</v>
      </c>
      <c r="E8" s="425" t="s">
        <v>81</v>
      </c>
      <c r="F8" s="427">
        <v>1091</v>
      </c>
      <c r="G8" s="427">
        <v>1023</v>
      </c>
      <c r="H8" s="427">
        <v>1158</v>
      </c>
      <c r="I8" s="427">
        <v>1251</v>
      </c>
      <c r="K8" s="412">
        <f t="shared" si="0"/>
        <v>8.0310880829015538E-2</v>
      </c>
    </row>
    <row r="9" spans="1:11" ht="15.5">
      <c r="A9" s="425" t="s">
        <v>45</v>
      </c>
      <c r="B9" s="425" t="s">
        <v>108</v>
      </c>
      <c r="C9" s="425" t="s">
        <v>19</v>
      </c>
      <c r="D9" s="426" t="s">
        <v>82</v>
      </c>
      <c r="E9" s="425" t="s">
        <v>81</v>
      </c>
      <c r="F9" s="427">
        <v>3559</v>
      </c>
      <c r="G9" s="427">
        <v>3397</v>
      </c>
      <c r="H9" s="427">
        <v>3537</v>
      </c>
      <c r="I9" s="427">
        <v>3782</v>
      </c>
      <c r="K9" s="412">
        <f t="shared" si="0"/>
        <v>6.9267741023466209E-2</v>
      </c>
    </row>
    <row r="10" spans="1:11" ht="15.5">
      <c r="A10" s="425" t="s">
        <v>45</v>
      </c>
      <c r="B10" s="425" t="s">
        <v>107</v>
      </c>
      <c r="C10" s="425" t="s">
        <v>20</v>
      </c>
      <c r="D10" s="426" t="s">
        <v>82</v>
      </c>
      <c r="E10" s="425" t="s">
        <v>81</v>
      </c>
      <c r="F10" s="427">
        <v>3624</v>
      </c>
      <c r="G10" s="427">
        <v>3454</v>
      </c>
      <c r="H10" s="427">
        <v>3691</v>
      </c>
      <c r="I10" s="427">
        <v>3929</v>
      </c>
      <c r="K10" s="412">
        <f t="shared" si="0"/>
        <v>6.448117041452181E-2</v>
      </c>
    </row>
    <row r="11" spans="1:11" ht="15.5">
      <c r="A11" s="425" t="s">
        <v>45</v>
      </c>
      <c r="B11" s="425" t="s">
        <v>106</v>
      </c>
      <c r="C11" s="425" t="s">
        <v>21</v>
      </c>
      <c r="D11" s="426" t="s">
        <v>82</v>
      </c>
      <c r="E11" s="425" t="s">
        <v>81</v>
      </c>
      <c r="F11" s="427">
        <v>1897</v>
      </c>
      <c r="G11" s="427">
        <v>1818</v>
      </c>
      <c r="H11" s="427">
        <v>1953</v>
      </c>
      <c r="I11" s="427">
        <v>2185</v>
      </c>
      <c r="K11" s="412">
        <f t="shared" si="0"/>
        <v>0.11879160266257041</v>
      </c>
    </row>
    <row r="12" spans="1:11" ht="15.5">
      <c r="A12" s="425" t="s">
        <v>45</v>
      </c>
      <c r="B12" s="425" t="s">
        <v>105</v>
      </c>
      <c r="C12" s="425" t="s">
        <v>22</v>
      </c>
      <c r="D12" s="426" t="s">
        <v>82</v>
      </c>
      <c r="E12" s="425" t="s">
        <v>81</v>
      </c>
      <c r="F12" s="427">
        <v>1448</v>
      </c>
      <c r="G12" s="427">
        <v>1301</v>
      </c>
      <c r="H12" s="427">
        <v>1435</v>
      </c>
      <c r="I12" s="427">
        <v>1605</v>
      </c>
      <c r="K12" s="412">
        <f t="shared" si="0"/>
        <v>0.11846689895470383</v>
      </c>
    </row>
    <row r="13" spans="1:11" ht="15.5">
      <c r="A13" s="425" t="s">
        <v>45</v>
      </c>
      <c r="B13" s="425" t="s">
        <v>104</v>
      </c>
      <c r="C13" s="425" t="s">
        <v>23</v>
      </c>
      <c r="D13" s="426" t="s">
        <v>82</v>
      </c>
      <c r="E13" s="425" t="s">
        <v>81</v>
      </c>
      <c r="F13" s="427">
        <v>1820</v>
      </c>
      <c r="G13" s="427">
        <v>1714</v>
      </c>
      <c r="H13" s="427">
        <v>1918</v>
      </c>
      <c r="I13" s="427">
        <v>2055</v>
      </c>
      <c r="K13" s="412">
        <f t="shared" si="0"/>
        <v>7.1428571428571425E-2</v>
      </c>
    </row>
    <row r="14" spans="1:11" ht="15.5">
      <c r="A14" s="425" t="s">
        <v>45</v>
      </c>
      <c r="B14" s="425" t="s">
        <v>103</v>
      </c>
      <c r="C14" s="425" t="s">
        <v>24</v>
      </c>
      <c r="D14" s="426" t="s">
        <v>82</v>
      </c>
      <c r="E14" s="425" t="s">
        <v>81</v>
      </c>
      <c r="F14" s="427">
        <v>1080</v>
      </c>
      <c r="G14" s="427">
        <v>1073</v>
      </c>
      <c r="H14" s="427">
        <v>1155</v>
      </c>
      <c r="I14" s="427">
        <v>1232</v>
      </c>
      <c r="K14" s="412">
        <f t="shared" si="0"/>
        <v>6.6666666666666666E-2</v>
      </c>
    </row>
    <row r="15" spans="1:11" ht="15.5">
      <c r="A15" s="425" t="s">
        <v>45</v>
      </c>
      <c r="B15" s="425" t="s">
        <v>102</v>
      </c>
      <c r="C15" s="425" t="s">
        <v>25</v>
      </c>
      <c r="D15" s="426" t="s">
        <v>82</v>
      </c>
      <c r="E15" s="425" t="s">
        <v>81</v>
      </c>
      <c r="F15" s="427">
        <v>3995</v>
      </c>
      <c r="G15" s="427">
        <v>3800</v>
      </c>
      <c r="H15" s="427">
        <v>4074</v>
      </c>
      <c r="I15" s="427">
        <v>4199</v>
      </c>
      <c r="K15" s="412">
        <f t="shared" si="0"/>
        <v>3.0682376043200784E-2</v>
      </c>
    </row>
    <row r="16" spans="1:11" ht="15.5">
      <c r="A16" s="425" t="s">
        <v>45</v>
      </c>
      <c r="B16" s="425" t="s">
        <v>101</v>
      </c>
      <c r="C16" s="425" t="s">
        <v>26</v>
      </c>
      <c r="D16" s="426" t="s">
        <v>82</v>
      </c>
      <c r="E16" s="425" t="s">
        <v>81</v>
      </c>
      <c r="F16" s="427">
        <v>7331</v>
      </c>
      <c r="G16" s="427">
        <v>7204</v>
      </c>
      <c r="H16" s="427">
        <v>7718</v>
      </c>
      <c r="I16" s="427">
        <v>8439</v>
      </c>
      <c r="K16" s="412">
        <f t="shared" si="0"/>
        <v>9.3417983933661575E-2</v>
      </c>
    </row>
    <row r="17" spans="1:11" ht="15.5">
      <c r="A17" s="425" t="s">
        <v>45</v>
      </c>
      <c r="B17" s="425" t="s">
        <v>163</v>
      </c>
      <c r="C17" s="425" t="s">
        <v>27</v>
      </c>
      <c r="D17" s="426" t="s">
        <v>82</v>
      </c>
      <c r="E17" s="425" t="s">
        <v>81</v>
      </c>
      <c r="F17" s="427">
        <v>22250</v>
      </c>
      <c r="G17" s="427">
        <v>21531</v>
      </c>
      <c r="H17" s="427">
        <v>23438</v>
      </c>
      <c r="I17" s="427">
        <v>25845</v>
      </c>
      <c r="K17" s="412">
        <f t="shared" si="0"/>
        <v>0.10269647580851608</v>
      </c>
    </row>
    <row r="18" spans="1:11" ht="15.5">
      <c r="A18" s="425" t="s">
        <v>45</v>
      </c>
      <c r="B18" s="425" t="s">
        <v>99</v>
      </c>
      <c r="C18" s="425" t="s">
        <v>28</v>
      </c>
      <c r="D18" s="426" t="s">
        <v>82</v>
      </c>
      <c r="E18" s="425" t="s">
        <v>81</v>
      </c>
      <c r="F18" s="427">
        <v>6373</v>
      </c>
      <c r="G18" s="427">
        <v>5894</v>
      </c>
      <c r="H18" s="427">
        <v>6298</v>
      </c>
      <c r="I18" s="427">
        <v>6957</v>
      </c>
      <c r="K18" s="412">
        <f t="shared" si="0"/>
        <v>0.10463639250555731</v>
      </c>
    </row>
    <row r="19" spans="1:11" ht="15.5">
      <c r="A19" s="425" t="s">
        <v>45</v>
      </c>
      <c r="B19" s="425" t="s">
        <v>98</v>
      </c>
      <c r="C19" s="425" t="s">
        <v>29</v>
      </c>
      <c r="D19" s="426" t="s">
        <v>82</v>
      </c>
      <c r="E19" s="425" t="s">
        <v>81</v>
      </c>
      <c r="F19" s="427">
        <v>1162</v>
      </c>
      <c r="G19" s="427">
        <v>1026</v>
      </c>
      <c r="H19" s="427">
        <v>1102</v>
      </c>
      <c r="I19" s="427">
        <v>1129</v>
      </c>
      <c r="K19" s="412">
        <f t="shared" si="0"/>
        <v>2.4500907441016333E-2</v>
      </c>
    </row>
    <row r="20" spans="1:11" ht="15.5">
      <c r="A20" s="425" t="s">
        <v>45</v>
      </c>
      <c r="B20" s="425" t="s">
        <v>97</v>
      </c>
      <c r="C20" s="425" t="s">
        <v>30</v>
      </c>
      <c r="D20" s="426" t="s">
        <v>82</v>
      </c>
      <c r="E20" s="425" t="s">
        <v>81</v>
      </c>
      <c r="F20" s="427">
        <v>1630</v>
      </c>
      <c r="G20" s="427">
        <v>1582</v>
      </c>
      <c r="H20" s="427">
        <v>1720</v>
      </c>
      <c r="I20" s="427">
        <v>1831</v>
      </c>
      <c r="K20" s="412">
        <f t="shared" si="0"/>
        <v>6.4534883720930233E-2</v>
      </c>
    </row>
    <row r="21" spans="1:11" ht="15.5">
      <c r="A21" s="425" t="s">
        <v>45</v>
      </c>
      <c r="B21" s="425" t="s">
        <v>96</v>
      </c>
      <c r="C21" s="425" t="s">
        <v>31</v>
      </c>
      <c r="D21" s="426" t="s">
        <v>82</v>
      </c>
      <c r="E21" s="425" t="s">
        <v>81</v>
      </c>
      <c r="F21" s="427">
        <v>2275</v>
      </c>
      <c r="G21" s="427">
        <v>2207</v>
      </c>
      <c r="H21" s="427">
        <v>2375</v>
      </c>
      <c r="I21" s="427">
        <v>2623</v>
      </c>
      <c r="K21" s="412">
        <f t="shared" si="0"/>
        <v>0.10442105263157894</v>
      </c>
    </row>
    <row r="22" spans="1:11" ht="15.5">
      <c r="A22" s="425" t="s">
        <v>45</v>
      </c>
      <c r="B22" s="425" t="s">
        <v>95</v>
      </c>
      <c r="C22" s="425" t="s">
        <v>32</v>
      </c>
      <c r="D22" s="426" t="s">
        <v>82</v>
      </c>
      <c r="E22" s="425" t="s">
        <v>81</v>
      </c>
      <c r="F22" s="427">
        <v>565</v>
      </c>
      <c r="G22" s="427">
        <v>549</v>
      </c>
      <c r="H22" s="427">
        <v>581</v>
      </c>
      <c r="I22" s="427">
        <v>583</v>
      </c>
      <c r="K22" s="412">
        <f t="shared" si="0"/>
        <v>3.4423407917383822E-3</v>
      </c>
    </row>
    <row r="23" spans="1:11" ht="15.5">
      <c r="A23" s="425" t="s">
        <v>45</v>
      </c>
      <c r="B23" s="425" t="s">
        <v>94</v>
      </c>
      <c r="C23" s="425" t="s">
        <v>33</v>
      </c>
      <c r="D23" s="426" t="s">
        <v>82</v>
      </c>
      <c r="E23" s="425" t="s">
        <v>81</v>
      </c>
      <c r="F23" s="427">
        <v>2291</v>
      </c>
      <c r="G23" s="427">
        <v>2265</v>
      </c>
      <c r="H23" s="427">
        <v>2379</v>
      </c>
      <c r="I23" s="427">
        <v>2656</v>
      </c>
      <c r="K23" s="412">
        <f t="shared" si="0"/>
        <v>0.1164354770912148</v>
      </c>
    </row>
    <row r="24" spans="1:11" ht="15.5">
      <c r="A24" s="425" t="s">
        <v>45</v>
      </c>
      <c r="B24" s="425" t="s">
        <v>162</v>
      </c>
      <c r="C24" s="425" t="s">
        <v>34</v>
      </c>
      <c r="D24" s="426" t="s">
        <v>82</v>
      </c>
      <c r="E24" s="425" t="s">
        <v>81</v>
      </c>
      <c r="F24" s="427">
        <v>8274</v>
      </c>
      <c r="G24" s="427">
        <v>8013</v>
      </c>
      <c r="H24" s="427">
        <v>8505</v>
      </c>
      <c r="I24" s="427">
        <v>9208</v>
      </c>
      <c r="K24" s="412">
        <f t="shared" si="0"/>
        <v>8.265726043503821E-2</v>
      </c>
    </row>
    <row r="25" spans="1:11" ht="15.5">
      <c r="A25" s="425" t="s">
        <v>45</v>
      </c>
      <c r="B25" s="425" t="s">
        <v>92</v>
      </c>
      <c r="C25" s="425" t="s">
        <v>35</v>
      </c>
      <c r="D25" s="426" t="s">
        <v>82</v>
      </c>
      <c r="E25" s="425" t="s">
        <v>81</v>
      </c>
      <c r="F25" s="427">
        <v>555</v>
      </c>
      <c r="G25" s="427">
        <v>512</v>
      </c>
      <c r="H25" s="427">
        <v>553</v>
      </c>
      <c r="I25" s="427">
        <v>603</v>
      </c>
      <c r="K25" s="412">
        <f t="shared" si="0"/>
        <v>9.0415913200723327E-2</v>
      </c>
    </row>
    <row r="26" spans="1:11" ht="15.5">
      <c r="A26" s="425" t="s">
        <v>45</v>
      </c>
      <c r="B26" s="425" t="s">
        <v>91</v>
      </c>
      <c r="C26" s="425" t="s">
        <v>36</v>
      </c>
      <c r="D26" s="426" t="s">
        <v>82</v>
      </c>
      <c r="E26" s="425" t="s">
        <v>81</v>
      </c>
      <c r="F26" s="427">
        <v>4363</v>
      </c>
      <c r="G26" s="427">
        <v>3864</v>
      </c>
      <c r="H26" s="427">
        <v>4149</v>
      </c>
      <c r="I26" s="427">
        <v>4454</v>
      </c>
      <c r="K26" s="412">
        <f t="shared" si="0"/>
        <v>7.3511689563750302E-2</v>
      </c>
    </row>
    <row r="27" spans="1:11" ht="15.5">
      <c r="A27" s="425" t="s">
        <v>45</v>
      </c>
      <c r="B27" s="425" t="s">
        <v>90</v>
      </c>
      <c r="C27" s="425" t="s">
        <v>37</v>
      </c>
      <c r="D27" s="426" t="s">
        <v>82</v>
      </c>
      <c r="E27" s="425" t="s">
        <v>81</v>
      </c>
      <c r="F27" s="427">
        <v>4492</v>
      </c>
      <c r="G27" s="427">
        <v>4348</v>
      </c>
      <c r="H27" s="427">
        <v>4796</v>
      </c>
      <c r="I27" s="427">
        <v>4857</v>
      </c>
      <c r="K27" s="412">
        <f t="shared" si="0"/>
        <v>1.2718932443703085E-2</v>
      </c>
    </row>
    <row r="28" spans="1:11" ht="15.5">
      <c r="A28" s="425" t="s">
        <v>45</v>
      </c>
      <c r="B28" s="425" t="s">
        <v>89</v>
      </c>
      <c r="C28" s="425" t="s">
        <v>38</v>
      </c>
      <c r="D28" s="426" t="s">
        <v>82</v>
      </c>
      <c r="E28" s="425" t="s">
        <v>81</v>
      </c>
      <c r="F28" s="427">
        <v>2422</v>
      </c>
      <c r="G28" s="427">
        <v>2335</v>
      </c>
      <c r="H28" s="427">
        <v>2512</v>
      </c>
      <c r="I28" s="427">
        <v>2506</v>
      </c>
      <c r="K28" s="412">
        <f t="shared" si="0"/>
        <v>-2.3885350318471337E-3</v>
      </c>
    </row>
    <row r="29" spans="1:11" ht="15.5">
      <c r="A29" s="425" t="s">
        <v>45</v>
      </c>
      <c r="B29" s="425" t="s">
        <v>88</v>
      </c>
      <c r="C29" s="425" t="s">
        <v>39</v>
      </c>
      <c r="D29" s="426" t="s">
        <v>82</v>
      </c>
      <c r="E29" s="425" t="s">
        <v>81</v>
      </c>
      <c r="F29" s="427">
        <v>810</v>
      </c>
      <c r="G29" s="427">
        <v>739</v>
      </c>
      <c r="H29" s="427">
        <v>759</v>
      </c>
      <c r="I29" s="427">
        <v>770</v>
      </c>
      <c r="K29" s="412">
        <f t="shared" si="0"/>
        <v>1.4492753623188406E-2</v>
      </c>
    </row>
    <row r="30" spans="1:11" ht="15.5">
      <c r="A30" s="425" t="s">
        <v>45</v>
      </c>
      <c r="B30" s="425" t="s">
        <v>87</v>
      </c>
      <c r="C30" s="425" t="s">
        <v>40</v>
      </c>
      <c r="D30" s="426" t="s">
        <v>82</v>
      </c>
      <c r="E30" s="425" t="s">
        <v>81</v>
      </c>
      <c r="F30" s="427">
        <v>2446</v>
      </c>
      <c r="G30" s="427">
        <v>2168</v>
      </c>
      <c r="H30" s="427">
        <v>2263</v>
      </c>
      <c r="I30" s="427">
        <v>2552</v>
      </c>
      <c r="K30" s="412">
        <f t="shared" si="0"/>
        <v>0.12770658418029165</v>
      </c>
    </row>
    <row r="31" spans="1:11" ht="15.5">
      <c r="A31" s="425" t="s">
        <v>45</v>
      </c>
      <c r="B31" s="425" t="s">
        <v>86</v>
      </c>
      <c r="C31" s="425" t="s">
        <v>41</v>
      </c>
      <c r="D31" s="426" t="s">
        <v>82</v>
      </c>
      <c r="E31" s="425" t="s">
        <v>81</v>
      </c>
      <c r="F31" s="427">
        <v>6881</v>
      </c>
      <c r="G31" s="427">
        <v>6476</v>
      </c>
      <c r="H31" s="427">
        <v>6670</v>
      </c>
      <c r="I31" s="427">
        <v>7463</v>
      </c>
      <c r="K31" s="412">
        <f>SUM(I31-H31)/H31</f>
        <v>0.11889055472263868</v>
      </c>
    </row>
    <row r="32" spans="1:11" ht="15.5">
      <c r="A32" s="425" t="s">
        <v>45</v>
      </c>
      <c r="B32" s="425" t="s">
        <v>85</v>
      </c>
      <c r="C32" s="425" t="s">
        <v>42</v>
      </c>
      <c r="D32" s="426" t="s">
        <v>82</v>
      </c>
      <c r="E32" s="425" t="s">
        <v>81</v>
      </c>
      <c r="F32" s="427">
        <v>2580</v>
      </c>
      <c r="G32" s="427">
        <v>2408</v>
      </c>
      <c r="H32" s="427">
        <v>2667</v>
      </c>
      <c r="I32" s="427">
        <v>2778</v>
      </c>
      <c r="K32" s="412">
        <f t="shared" si="0"/>
        <v>4.1619797525309338E-2</v>
      </c>
    </row>
    <row r="33" spans="1:11" ht="15.5">
      <c r="A33" s="425" t="s">
        <v>45</v>
      </c>
      <c r="B33" s="425" t="s">
        <v>84</v>
      </c>
      <c r="C33" s="425" t="s">
        <v>43</v>
      </c>
      <c r="D33" s="426" t="s">
        <v>82</v>
      </c>
      <c r="E33" s="425" t="s">
        <v>81</v>
      </c>
      <c r="F33" s="427">
        <v>1916</v>
      </c>
      <c r="G33" s="427">
        <v>1756</v>
      </c>
      <c r="H33" s="427">
        <v>1878</v>
      </c>
      <c r="I33" s="427">
        <v>2029</v>
      </c>
      <c r="K33" s="412">
        <f t="shared" si="0"/>
        <v>8.0404685835995734E-2</v>
      </c>
    </row>
    <row r="34" spans="1:11" ht="15.5">
      <c r="A34" s="425" t="s">
        <v>45</v>
      </c>
      <c r="B34" s="425" t="s">
        <v>83</v>
      </c>
      <c r="C34" s="425" t="s">
        <v>44</v>
      </c>
      <c r="D34" s="426" t="s">
        <v>82</v>
      </c>
      <c r="E34" s="425" t="s">
        <v>81</v>
      </c>
      <c r="F34" s="427">
        <v>4808</v>
      </c>
      <c r="G34" s="427">
        <v>4737</v>
      </c>
      <c r="H34" s="427">
        <v>5173</v>
      </c>
      <c r="I34" s="427">
        <v>5791</v>
      </c>
      <c r="K34" s="412">
        <f t="shared" si="0"/>
        <v>0.11946646046781365</v>
      </c>
    </row>
    <row r="35" spans="1:11">
      <c r="F35" s="477"/>
      <c r="G35" s="477"/>
      <c r="H35" s="477"/>
      <c r="I35" s="477"/>
    </row>
    <row r="36" spans="1:11">
      <c r="C36" s="20" t="s">
        <v>47</v>
      </c>
      <c r="D36" s="20" t="s">
        <v>82</v>
      </c>
      <c r="E36" s="20" t="s">
        <v>81</v>
      </c>
      <c r="F36" s="217">
        <v>47503</v>
      </c>
      <c r="G36" s="217">
        <v>45525</v>
      </c>
      <c r="H36" s="217">
        <v>48979</v>
      </c>
      <c r="I36" s="217">
        <v>53368</v>
      </c>
    </row>
    <row r="37" spans="1:11">
      <c r="C37" s="6" t="s">
        <v>543</v>
      </c>
      <c r="E37" s="20"/>
      <c r="F37" s="385">
        <f>AVERAGE(AVERAGEIFS(F$3:F$34,$C$3:$C$34,{"Na h-Eileanan Siar","Argyll and Bute","Shetland Islands","Highland","Orkney Islands","Scottish Borders","Dumfries and Galloway","Aberdeenshire"}))</f>
        <v>2886.375</v>
      </c>
      <c r="G37" s="385">
        <f>AVERAGE(AVERAGEIFS(G$3:G$34,$C$3:$C$34,{"Na h-Eileanan Siar","Argyll and Bute","Shetland Islands","Highland","Orkney Islands","Scottish Borders","Dumfries and Galloway","Aberdeenshire"}))</f>
        <v>2697.375</v>
      </c>
      <c r="H37" s="385">
        <f>AVERAGE(AVERAGEIFS(H$3:H$34,$C$3:$C$34,{"Na h-Eileanan Siar","Argyll and Bute","Shetland Islands","Highland","Orkney Islands","Scottish Borders","Dumfries and Galloway","Aberdeenshire"}))</f>
        <v>2871.25</v>
      </c>
      <c r="I37" s="385">
        <f>AVERAGE(AVERAGEIFS(I$3:I$34,$C$3:$C$34,{"Na h-Eileanan Siar","Argyll and Bute","Shetland Islands","Highland","Orkney Islands","Scottish Borders","Dumfries and Galloway","Aberdeenshire"}))</f>
        <v>3080.375</v>
      </c>
    </row>
    <row r="38" spans="1:11">
      <c r="C38" s="6" t="s">
        <v>544</v>
      </c>
      <c r="E38" s="20"/>
      <c r="F38" s="385">
        <f>AVERAGE(AVERAGEIFS(F$3:F$34,$C$3:$C$34,{"Perth and Kinross","Stirling","Moray","South Ayrshire","East Ayrshire","East Lothian","North Ayrshire","Fife"}))</f>
        <v>3125.375</v>
      </c>
      <c r="G38" s="385">
        <f>AVERAGE(AVERAGEIFS(G$3:G$34,$C$3:$C$34,{"Perth and Kinross","Stirling","Moray","South Ayrshire","East Ayrshire","East Lothian","North Ayrshire","Fife"}))</f>
        <v>2956</v>
      </c>
      <c r="H38" s="385">
        <f>AVERAGE(AVERAGEIFS(H$3:H$34,$C$3:$C$34,{"Perth and Kinross","Stirling","Moray","South Ayrshire","East Ayrshire","East Lothian","North Ayrshire","Fife"}))</f>
        <v>3177.75</v>
      </c>
      <c r="I38" s="385">
        <f>AVERAGE(AVERAGEIFS(I$3:I$34,$C$3:$C$34,{"Perth and Kinross","Stirling","Moray","South Ayrshire","East Ayrshire","East Lothian","North Ayrshire","Fife"}))</f>
        <v>3467.75</v>
      </c>
    </row>
    <row r="39" spans="1:11">
      <c r="C39" s="6" t="s">
        <v>545</v>
      </c>
      <c r="E39" s="20"/>
      <c r="F39" s="385" cm="1">
        <f t="array" ref="F39">AVERAGE(AVERAGEIFS(F$3:F$34,$C$3:$C$34,{"Angus","Clackmannanshire","Midlothian","South Lanarkshire","Inverclyde","Renfrewshire","West Lothian","East Renfrewshire"}))</f>
        <v>2908.625</v>
      </c>
      <c r="G39" s="385">
        <f>AVERAGE(AVERAGEIFS(G$3:G$34,$C$3:$C$34,{"Angus","Clackmannanshire","Midlothian","South Lanarkshire","Inverclyde","Renfrewshire","West Lothian","East Renfrewshire"}))</f>
        <v>2776.375</v>
      </c>
      <c r="H39" s="385">
        <f>AVERAGE(AVERAGEIFS(H$3:H$34,$C$3:$C$34,{"Angus","Clackmannanshire","Midlothian","South Lanarkshire","Inverclyde","Renfrewshire","West Lothian","East Renfrewshire"}))</f>
        <v>2995</v>
      </c>
      <c r="I39" s="385">
        <f>AVERAGE(AVERAGEIFS(I$3:I$34,$C$3:$C$34,{"Angus","Clackmannanshire","Midlothian","South Lanarkshire","Inverclyde","Renfrewshire","West Lothian","East Renfrewshire"}))</f>
        <v>3244.375</v>
      </c>
    </row>
    <row r="40" spans="1:11">
      <c r="C40" s="6" t="s">
        <v>546</v>
      </c>
      <c r="E40" s="20"/>
      <c r="F40" s="385" cm="1">
        <f t="array" ref="F40">AVERAGE(AVERAGEIFS(F$3:F$34,$C$3:$C$34,{"North Lanarkshire","Falkirk","East Dunbartonshire","Aberdeen City","City of Edinburgh","West Dunbartonshire","Dundee City","Glasgow City"}))</f>
        <v>9692.75</v>
      </c>
      <c r="G40" s="385" cm="1">
        <f t="array" ref="G40">AVERAGE(AVERAGEIFS(G$3:G$34,$C$3:$C$34,{"North Lanarkshire","Falkirk","East Dunbartonshire","Aberdeen City","City of Edinburgh","West Dunbartonshire","Dundee City","Glasgow City"}))</f>
        <v>9160.625</v>
      </c>
      <c r="H40" s="385" cm="1">
        <f t="array" ref="H40">AVERAGE(AVERAGEIFS(H$3:H$34,$C$3:$C$34,{"North Lanarkshire","Falkirk","East Dunbartonshire","Aberdeen City","City of Edinburgh","West Dunbartonshire","Dundee City","Glasgow City"}))</f>
        <v>9893.375</v>
      </c>
      <c r="I40" s="385" cm="1">
        <f t="array" ref="I40">AVERAGE(AVERAGEIFS(I$3:I$34,$C$3:$C$34,{"North Lanarkshire","Falkirk","East Dunbartonshire","Aberdeen City","City of Edinburgh","West Dunbartonshire","Dundee City","Glasgow City"}))</f>
        <v>10921.875</v>
      </c>
    </row>
    <row r="41" spans="1:11">
      <c r="C41" s="20" t="s">
        <v>45</v>
      </c>
      <c r="D41" s="20" t="s">
        <v>82</v>
      </c>
      <c r="E41" s="20" t="s">
        <v>81</v>
      </c>
      <c r="F41" s="217">
        <v>148903</v>
      </c>
      <c r="G41" s="217">
        <v>140724</v>
      </c>
      <c r="H41" s="217">
        <v>151499</v>
      </c>
      <c r="I41" s="217">
        <v>165714</v>
      </c>
    </row>
    <row r="42" spans="1:11">
      <c r="C42" s="20" t="s">
        <v>46</v>
      </c>
      <c r="D42" s="20" t="s">
        <v>82</v>
      </c>
      <c r="E42" s="20" t="s">
        <v>81</v>
      </c>
      <c r="F42" s="217">
        <v>1995708</v>
      </c>
      <c r="G42" s="217">
        <v>1897957</v>
      </c>
      <c r="H42" s="217">
        <v>2046636</v>
      </c>
      <c r="I42" s="217">
        <v>2246047</v>
      </c>
    </row>
  </sheetData>
  <conditionalFormatting sqref="F37:I40">
    <cfRule type="expression" dxfId="10" priority="1">
      <formula>$A37="Other"</formula>
    </cfRule>
    <cfRule type="expression" dxfId="9" priority="2">
      <formula>$A37="UK"</formula>
    </cfRule>
    <cfRule type="expression" dxfId="8" priority="3">
      <formula>$A37="NUTS2"</formula>
    </cfRule>
    <cfRule type="expression" dxfId="7" priority="4">
      <formula>$A37="NUTS1"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autoPageBreaks="0"/>
  </sheetPr>
  <dimension ref="A1:XFD656"/>
  <sheetViews>
    <sheetView showGridLines="0" workbookViewId="0">
      <pane xSplit="2" ySplit="5" topLeftCell="C33" activePane="bottomRight" state="frozen"/>
      <selection activeCell="F2" sqref="F2:G2"/>
      <selection pane="topRight" activeCell="F2" sqref="F2:G2"/>
      <selection pane="bottomLeft" activeCell="F2" sqref="F2:G2"/>
      <selection pane="bottomRight" activeCell="F34" sqref="F34"/>
    </sheetView>
  </sheetViews>
  <sheetFormatPr defaultColWidth="0" defaultRowHeight="14.5" zeroHeight="1"/>
  <cols>
    <col min="1" max="1" width="13.1796875" style="24" customWidth="1"/>
    <col min="2" max="2" width="41.54296875" style="24" bestFit="1" customWidth="1"/>
    <col min="3" max="6" width="10" style="24" customWidth="1"/>
    <col min="7" max="7" width="9.1796875" style="24" customWidth="1"/>
    <col min="8" max="16384" width="9.1796875" style="24" hidden="1"/>
  </cols>
  <sheetData>
    <row r="1" spans="1:7" s="28" customFormat="1" ht="15.5">
      <c r="A1" s="30" t="s">
        <v>139</v>
      </c>
    </row>
    <row r="2" spans="1:7" s="28" customFormat="1" ht="15.5">
      <c r="A2" s="32" t="s">
        <v>136</v>
      </c>
    </row>
    <row r="3" spans="1:7" s="28" customFormat="1" ht="15.5">
      <c r="A3" s="31"/>
    </row>
    <row r="4" spans="1:7" s="28" customFormat="1" ht="15.5">
      <c r="A4" s="30"/>
      <c r="B4" s="30"/>
      <c r="C4" s="30">
        <v>2018</v>
      </c>
      <c r="D4" s="30">
        <v>2019</v>
      </c>
      <c r="E4" s="30">
        <v>2020</v>
      </c>
      <c r="F4" s="30">
        <v>2021</v>
      </c>
      <c r="G4" s="30">
        <v>2022</v>
      </c>
    </row>
    <row r="5" spans="1:7" s="28" customFormat="1" ht="15.5">
      <c r="A5" s="30" t="s">
        <v>135</v>
      </c>
      <c r="B5" s="30" t="s">
        <v>134</v>
      </c>
      <c r="C5" s="29" t="s">
        <v>133</v>
      </c>
      <c r="D5" s="29" t="s">
        <v>133</v>
      </c>
      <c r="E5" s="29" t="s">
        <v>133</v>
      </c>
      <c r="F5" s="29" t="s">
        <v>133</v>
      </c>
      <c r="G5" s="29" t="s">
        <v>133</v>
      </c>
    </row>
    <row r="6" spans="1:7">
      <c r="A6" s="27" t="s">
        <v>109</v>
      </c>
      <c r="B6" s="27" t="s">
        <v>18</v>
      </c>
      <c r="C6" s="24">
        <v>44.5</v>
      </c>
      <c r="D6" s="24">
        <v>47</v>
      </c>
      <c r="E6" s="24">
        <v>48.7</v>
      </c>
      <c r="F6" s="24">
        <v>49.6</v>
      </c>
      <c r="G6" s="24">
        <v>50.2</v>
      </c>
    </row>
    <row r="7" spans="1:7">
      <c r="A7" s="27" t="s">
        <v>108</v>
      </c>
      <c r="B7" s="27" t="s">
        <v>19</v>
      </c>
      <c r="C7" s="24">
        <v>31.9</v>
      </c>
      <c r="D7" s="24">
        <v>33.700000000000003</v>
      </c>
      <c r="E7" s="24">
        <v>35.299999999999997</v>
      </c>
      <c r="F7" s="24">
        <v>35.700000000000003</v>
      </c>
      <c r="G7" s="24">
        <v>35.9</v>
      </c>
    </row>
    <row r="8" spans="1:7">
      <c r="A8" s="27" t="s">
        <v>106</v>
      </c>
      <c r="B8" s="27" t="s">
        <v>21</v>
      </c>
      <c r="C8" s="24">
        <v>27.5</v>
      </c>
      <c r="D8" s="24">
        <v>28.4</v>
      </c>
      <c r="E8" s="24">
        <v>30</v>
      </c>
      <c r="F8" s="24">
        <v>31.1</v>
      </c>
      <c r="G8" s="24">
        <v>32.1</v>
      </c>
    </row>
    <row r="9" spans="1:7">
      <c r="A9" s="27" t="s">
        <v>104</v>
      </c>
      <c r="B9" s="27" t="s">
        <v>23</v>
      </c>
      <c r="C9" s="24">
        <v>33.1</v>
      </c>
      <c r="D9" s="24">
        <v>33.799999999999997</v>
      </c>
      <c r="E9" s="24">
        <v>34.299999999999997</v>
      </c>
      <c r="F9" s="24">
        <v>34.700000000000003</v>
      </c>
      <c r="G9" s="24">
        <v>35</v>
      </c>
    </row>
    <row r="10" spans="1:7">
      <c r="A10" s="27" t="s">
        <v>103</v>
      </c>
      <c r="B10" s="27" t="s">
        <v>24</v>
      </c>
      <c r="C10" s="24">
        <v>31.6</v>
      </c>
      <c r="D10" s="24">
        <v>33</v>
      </c>
      <c r="E10" s="24">
        <v>34.1</v>
      </c>
      <c r="F10" s="24">
        <v>34.799999999999997</v>
      </c>
      <c r="G10" s="24">
        <v>35</v>
      </c>
    </row>
    <row r="11" spans="1:7">
      <c r="A11" s="27" t="s">
        <v>95</v>
      </c>
      <c r="B11" s="27" t="s">
        <v>32</v>
      </c>
      <c r="C11" s="24">
        <v>27.9</v>
      </c>
      <c r="D11" s="24">
        <v>28.5</v>
      </c>
      <c r="E11" s="24">
        <v>28.8</v>
      </c>
      <c r="F11" s="24">
        <v>28.8</v>
      </c>
      <c r="G11" s="24">
        <v>28.6</v>
      </c>
    </row>
    <row r="12" spans="1:7">
      <c r="A12" s="27" t="s">
        <v>102</v>
      </c>
      <c r="B12" s="27" t="s">
        <v>25</v>
      </c>
      <c r="C12" s="24">
        <v>35.5</v>
      </c>
      <c r="D12" s="24">
        <v>36.299999999999997</v>
      </c>
      <c r="E12" s="24">
        <v>36.700000000000003</v>
      </c>
      <c r="F12" s="24">
        <v>36.700000000000003</v>
      </c>
      <c r="G12" s="24">
        <v>36.799999999999997</v>
      </c>
    </row>
    <row r="13" spans="1:7">
      <c r="A13" s="27" t="s">
        <v>99</v>
      </c>
      <c r="B13" s="27" t="s">
        <v>28</v>
      </c>
      <c r="C13" s="24">
        <v>33</v>
      </c>
      <c r="D13" s="24">
        <v>34.6</v>
      </c>
      <c r="E13" s="24">
        <v>36</v>
      </c>
      <c r="F13" s="24">
        <v>36.6</v>
      </c>
      <c r="G13" s="24">
        <v>36.799999999999997</v>
      </c>
    </row>
    <row r="14" spans="1:7">
      <c r="A14" s="27" t="s">
        <v>98</v>
      </c>
      <c r="B14" s="27" t="s">
        <v>29</v>
      </c>
      <c r="C14" s="24">
        <v>28.1</v>
      </c>
      <c r="D14" s="24">
        <v>28.1</v>
      </c>
      <c r="E14" s="24">
        <v>27.4</v>
      </c>
      <c r="F14" s="24">
        <v>27.2</v>
      </c>
      <c r="G14" s="24">
        <v>27.1</v>
      </c>
    </row>
    <row r="15" spans="1:7">
      <c r="A15" s="27" t="s">
        <v>97</v>
      </c>
      <c r="B15" s="27" t="s">
        <v>30</v>
      </c>
      <c r="C15" s="24">
        <v>31.2</v>
      </c>
      <c r="D15" s="24">
        <v>32.299999999999997</v>
      </c>
      <c r="E15" s="24">
        <v>33.1</v>
      </c>
      <c r="F15" s="24">
        <v>33.5</v>
      </c>
      <c r="G15" s="24">
        <v>33.700000000000003</v>
      </c>
    </row>
    <row r="16" spans="1:7">
      <c r="A16" s="27" t="s">
        <v>96</v>
      </c>
      <c r="B16" s="27" t="s">
        <v>31</v>
      </c>
      <c r="C16" s="24">
        <v>35.799999999999997</v>
      </c>
      <c r="D16" s="24">
        <v>38.299999999999997</v>
      </c>
      <c r="E16" s="24">
        <v>41</v>
      </c>
      <c r="F16" s="24">
        <v>42.3</v>
      </c>
      <c r="G16" s="24">
        <v>42.8</v>
      </c>
    </row>
    <row r="17" spans="1:16384">
      <c r="A17" s="27" t="s">
        <v>94</v>
      </c>
      <c r="B17" s="27" t="s">
        <v>33</v>
      </c>
      <c r="C17" s="24">
        <v>33.5</v>
      </c>
      <c r="D17" s="24">
        <v>35.4</v>
      </c>
      <c r="E17" s="24">
        <v>37.799999999999997</v>
      </c>
      <c r="F17" s="24">
        <v>38.700000000000003</v>
      </c>
      <c r="G17" s="24">
        <v>39.200000000000003</v>
      </c>
    </row>
    <row r="18" spans="1:16384">
      <c r="A18" s="27" t="s">
        <v>92</v>
      </c>
      <c r="B18" s="27" t="s">
        <v>35</v>
      </c>
      <c r="C18" s="24">
        <v>31.2</v>
      </c>
      <c r="D18" s="24">
        <v>34.700000000000003</v>
      </c>
      <c r="E18" s="24">
        <v>39.4</v>
      </c>
      <c r="F18" s="24">
        <v>44</v>
      </c>
      <c r="G18" s="24">
        <v>46.2</v>
      </c>
    </row>
    <row r="19" spans="1:16384">
      <c r="A19" s="27" t="s">
        <v>89</v>
      </c>
      <c r="B19" s="27" t="s">
        <v>38</v>
      </c>
      <c r="C19" s="24">
        <v>30</v>
      </c>
      <c r="D19" s="24">
        <v>31</v>
      </c>
      <c r="E19" s="24">
        <v>32.1</v>
      </c>
      <c r="F19" s="24">
        <v>32.700000000000003</v>
      </c>
      <c r="G19" s="24">
        <v>33</v>
      </c>
    </row>
    <row r="20" spans="1:16384">
      <c r="A20" s="27" t="s">
        <v>88</v>
      </c>
      <c r="B20" s="27" t="s">
        <v>39</v>
      </c>
      <c r="C20" s="24">
        <v>34.6</v>
      </c>
      <c r="D20" s="24">
        <v>35</v>
      </c>
      <c r="E20" s="24">
        <v>36</v>
      </c>
      <c r="F20" s="24">
        <v>37.9</v>
      </c>
      <c r="G20" s="24">
        <v>39.9</v>
      </c>
    </row>
    <row r="21" spans="1:16384">
      <c r="A21" s="27" t="s">
        <v>87</v>
      </c>
      <c r="B21" s="27" t="s">
        <v>40</v>
      </c>
      <c r="C21" s="24">
        <v>31.9</v>
      </c>
      <c r="D21" s="24">
        <v>32.299999999999997</v>
      </c>
      <c r="E21" s="24">
        <v>32.799999999999997</v>
      </c>
      <c r="F21" s="24">
        <v>32.9</v>
      </c>
      <c r="G21" s="24">
        <v>33.200000000000003</v>
      </c>
    </row>
    <row r="22" spans="1:16384">
      <c r="A22" s="27" t="s">
        <v>86</v>
      </c>
      <c r="B22" s="27" t="s">
        <v>41</v>
      </c>
      <c r="C22" s="24">
        <v>33.6</v>
      </c>
      <c r="D22" s="24">
        <v>34.299999999999997</v>
      </c>
      <c r="E22" s="24">
        <v>35.1</v>
      </c>
      <c r="F22" s="24">
        <v>35.700000000000003</v>
      </c>
      <c r="G22" s="24">
        <v>36.200000000000003</v>
      </c>
    </row>
    <row r="23" spans="1:16384">
      <c r="A23" s="27" t="s">
        <v>85</v>
      </c>
      <c r="B23" s="27" t="s">
        <v>42</v>
      </c>
      <c r="C23" s="24">
        <v>31.7</v>
      </c>
      <c r="D23" s="24">
        <v>33</v>
      </c>
      <c r="E23" s="24">
        <v>34.5</v>
      </c>
      <c r="F23" s="24">
        <v>35.700000000000003</v>
      </c>
      <c r="G23" s="24">
        <v>36.4</v>
      </c>
    </row>
    <row r="24" spans="1:16384">
      <c r="A24" s="27" t="s">
        <v>114</v>
      </c>
      <c r="B24" s="27" t="s">
        <v>14</v>
      </c>
      <c r="C24" s="24">
        <v>34.4</v>
      </c>
      <c r="D24" s="24">
        <v>35.6</v>
      </c>
      <c r="E24" s="24">
        <v>37.200000000000003</v>
      </c>
      <c r="F24" s="24">
        <v>38.200000000000003</v>
      </c>
      <c r="G24" s="24">
        <v>38.9</v>
      </c>
    </row>
    <row r="25" spans="1:16384">
      <c r="A25" s="27" t="s">
        <v>113</v>
      </c>
      <c r="B25" s="27" t="s">
        <v>15</v>
      </c>
      <c r="C25" s="24">
        <v>35.5</v>
      </c>
      <c r="D25" s="24">
        <v>36.4</v>
      </c>
      <c r="E25" s="24">
        <v>37.1</v>
      </c>
      <c r="F25" s="24">
        <v>37.5</v>
      </c>
      <c r="G25" s="24">
        <v>37.6</v>
      </c>
    </row>
    <row r="26" spans="1:16384">
      <c r="A26" s="27" t="s">
        <v>111</v>
      </c>
      <c r="B26" s="27" t="s">
        <v>17</v>
      </c>
      <c r="C26" s="24">
        <v>32.4</v>
      </c>
      <c r="D26" s="24">
        <v>33.799999999999997</v>
      </c>
      <c r="E26" s="24">
        <v>35.799999999999997</v>
      </c>
      <c r="F26" s="24">
        <v>37.1</v>
      </c>
      <c r="G26" s="24">
        <v>37.9</v>
      </c>
    </row>
    <row r="27" spans="1:16384">
      <c r="A27" s="27" t="s">
        <v>110</v>
      </c>
      <c r="B27" s="27" t="s">
        <v>189</v>
      </c>
      <c r="C27" s="24">
        <v>44.2</v>
      </c>
      <c r="D27" s="24">
        <v>44.9</v>
      </c>
      <c r="E27" s="24">
        <v>46.2</v>
      </c>
      <c r="F27" s="24">
        <v>47.7</v>
      </c>
      <c r="G27" s="24">
        <v>49</v>
      </c>
      <c r="H27" s="24" t="e">
        <v>#N/A</v>
      </c>
      <c r="I27" s="24" t="e">
        <v>#N/A</v>
      </c>
      <c r="J27" s="24" t="e">
        <v>#N/A</v>
      </c>
      <c r="K27" s="24" t="e">
        <v>#N/A</v>
      </c>
      <c r="L27" s="24" t="e">
        <v>#N/A</v>
      </c>
      <c r="M27" s="24" t="e">
        <v>#N/A</v>
      </c>
      <c r="N27" s="24" t="e">
        <v>#N/A</v>
      </c>
      <c r="O27" s="24" t="e">
        <v>#N/A</v>
      </c>
      <c r="P27" s="24" t="e">
        <v>#N/A</v>
      </c>
      <c r="Q27" s="24" t="e">
        <v>#N/A</v>
      </c>
      <c r="R27" s="24" t="e">
        <v>#N/A</v>
      </c>
      <c r="S27" s="24" t="e">
        <v>#N/A</v>
      </c>
      <c r="T27" s="24" t="e">
        <v>#N/A</v>
      </c>
      <c r="U27" s="24" t="e">
        <v>#N/A</v>
      </c>
      <c r="V27" s="24" t="e">
        <v>#N/A</v>
      </c>
      <c r="W27" s="24" t="e">
        <v>#N/A</v>
      </c>
      <c r="X27" s="24" t="e">
        <v>#N/A</v>
      </c>
      <c r="Y27" s="24" t="e">
        <v>#N/A</v>
      </c>
      <c r="Z27" s="24" t="e">
        <v>#N/A</v>
      </c>
      <c r="AA27" s="24" t="e">
        <v>#N/A</v>
      </c>
      <c r="AB27" s="24" t="e">
        <v>#N/A</v>
      </c>
      <c r="AC27" s="24" t="e">
        <v>#N/A</v>
      </c>
      <c r="AD27" s="24" t="e">
        <v>#N/A</v>
      </c>
      <c r="AE27" s="24" t="e">
        <v>#N/A</v>
      </c>
      <c r="AF27" s="24" t="e">
        <v>#N/A</v>
      </c>
      <c r="AG27" s="24" t="e">
        <v>#N/A</v>
      </c>
      <c r="AH27" s="24" t="e">
        <v>#N/A</v>
      </c>
      <c r="AI27" s="24" t="e">
        <v>#N/A</v>
      </c>
      <c r="AJ27" s="24" t="e">
        <v>#N/A</v>
      </c>
      <c r="AK27" s="24" t="e">
        <v>#N/A</v>
      </c>
      <c r="AL27" s="24" t="e">
        <v>#N/A</v>
      </c>
      <c r="AM27" s="24" t="e">
        <v>#N/A</v>
      </c>
      <c r="AN27" s="24" t="e">
        <v>#N/A</v>
      </c>
      <c r="AO27" s="24" t="e">
        <v>#N/A</v>
      </c>
      <c r="AP27" s="24" t="e">
        <v>#N/A</v>
      </c>
      <c r="AQ27" s="24" t="e">
        <v>#N/A</v>
      </c>
      <c r="AR27" s="24" t="e">
        <v>#N/A</v>
      </c>
      <c r="AS27" s="24" t="e">
        <v>#N/A</v>
      </c>
      <c r="AT27" s="24" t="e">
        <v>#N/A</v>
      </c>
      <c r="AU27" s="24" t="e">
        <v>#N/A</v>
      </c>
      <c r="AV27" s="24" t="e">
        <v>#N/A</v>
      </c>
      <c r="AW27" s="24" t="e">
        <v>#N/A</v>
      </c>
      <c r="AX27" s="24" t="e">
        <v>#N/A</v>
      </c>
      <c r="AY27" s="24" t="e">
        <v>#N/A</v>
      </c>
      <c r="AZ27" s="24" t="e">
        <v>#N/A</v>
      </c>
      <c r="BA27" s="24" t="e">
        <v>#N/A</v>
      </c>
      <c r="BB27" s="24" t="e">
        <v>#N/A</v>
      </c>
      <c r="BC27" s="24" t="e">
        <v>#N/A</v>
      </c>
      <c r="BD27" s="24" t="e">
        <v>#N/A</v>
      </c>
      <c r="BE27" s="24" t="e">
        <v>#N/A</v>
      </c>
      <c r="BF27" s="24" t="e">
        <v>#N/A</v>
      </c>
      <c r="BG27" s="24" t="e">
        <v>#N/A</v>
      </c>
      <c r="BH27" s="24" t="e">
        <v>#N/A</v>
      </c>
      <c r="BI27" s="24" t="e">
        <v>#N/A</v>
      </c>
      <c r="BJ27" s="24" t="e">
        <v>#N/A</v>
      </c>
      <c r="BK27" s="24" t="e">
        <v>#N/A</v>
      </c>
      <c r="BL27" s="24" t="e">
        <v>#N/A</v>
      </c>
      <c r="BM27" s="24" t="e">
        <v>#N/A</v>
      </c>
      <c r="BN27" s="24" t="e">
        <v>#N/A</v>
      </c>
      <c r="BO27" s="24" t="e">
        <v>#N/A</v>
      </c>
      <c r="BP27" s="24" t="e">
        <v>#N/A</v>
      </c>
      <c r="BQ27" s="24" t="e">
        <v>#N/A</v>
      </c>
      <c r="BR27" s="24" t="e">
        <v>#N/A</v>
      </c>
      <c r="BS27" s="24" t="e">
        <v>#N/A</v>
      </c>
      <c r="BT27" s="24" t="e">
        <v>#N/A</v>
      </c>
      <c r="BU27" s="24" t="e">
        <v>#N/A</v>
      </c>
      <c r="BV27" s="24" t="e">
        <v>#N/A</v>
      </c>
      <c r="BW27" s="24" t="e">
        <v>#N/A</v>
      </c>
      <c r="BX27" s="24" t="e">
        <v>#N/A</v>
      </c>
      <c r="BY27" s="24" t="e">
        <v>#N/A</v>
      </c>
      <c r="BZ27" s="24" t="e">
        <v>#N/A</v>
      </c>
      <c r="CA27" s="24" t="e">
        <v>#N/A</v>
      </c>
      <c r="CB27" s="24" t="e">
        <v>#N/A</v>
      </c>
      <c r="CC27" s="24" t="e">
        <v>#N/A</v>
      </c>
      <c r="CD27" s="24" t="e">
        <v>#N/A</v>
      </c>
      <c r="CE27" s="24" t="e">
        <v>#N/A</v>
      </c>
      <c r="CF27" s="24" t="e">
        <v>#N/A</v>
      </c>
      <c r="CG27" s="24" t="e">
        <v>#N/A</v>
      </c>
      <c r="CH27" s="24" t="e">
        <v>#N/A</v>
      </c>
      <c r="CI27" s="24" t="e">
        <v>#N/A</v>
      </c>
      <c r="CJ27" s="24" t="e">
        <v>#N/A</v>
      </c>
      <c r="CK27" s="24" t="e">
        <v>#N/A</v>
      </c>
      <c r="CL27" s="24" t="e">
        <v>#N/A</v>
      </c>
      <c r="CM27" s="24" t="e">
        <v>#N/A</v>
      </c>
      <c r="CN27" s="24" t="e">
        <v>#N/A</v>
      </c>
      <c r="CO27" s="24" t="e">
        <v>#N/A</v>
      </c>
      <c r="CP27" s="24" t="e">
        <v>#N/A</v>
      </c>
      <c r="CQ27" s="24" t="e">
        <v>#N/A</v>
      </c>
      <c r="CR27" s="24" t="e">
        <v>#N/A</v>
      </c>
      <c r="CS27" s="24" t="e">
        <v>#N/A</v>
      </c>
      <c r="CT27" s="24" t="e">
        <v>#N/A</v>
      </c>
      <c r="CU27" s="24" t="e">
        <v>#N/A</v>
      </c>
      <c r="CV27" s="24" t="e">
        <v>#N/A</v>
      </c>
      <c r="CW27" s="24" t="e">
        <v>#N/A</v>
      </c>
      <c r="CX27" s="24" t="e">
        <v>#N/A</v>
      </c>
      <c r="CY27" s="24" t="e">
        <v>#N/A</v>
      </c>
      <c r="CZ27" s="24" t="e">
        <v>#N/A</v>
      </c>
      <c r="DA27" s="24" t="e">
        <v>#N/A</v>
      </c>
      <c r="DB27" s="24" t="e">
        <v>#N/A</v>
      </c>
      <c r="DC27" s="24" t="e">
        <v>#N/A</v>
      </c>
      <c r="DD27" s="24" t="e">
        <v>#N/A</v>
      </c>
      <c r="DE27" s="24" t="e">
        <v>#N/A</v>
      </c>
      <c r="DF27" s="24" t="e">
        <v>#N/A</v>
      </c>
      <c r="DG27" s="24" t="e">
        <v>#N/A</v>
      </c>
      <c r="DH27" s="24" t="e">
        <v>#N/A</v>
      </c>
      <c r="DI27" s="24" t="e">
        <v>#N/A</v>
      </c>
      <c r="DJ27" s="24" t="e">
        <v>#N/A</v>
      </c>
      <c r="DK27" s="24" t="e">
        <v>#N/A</v>
      </c>
      <c r="DL27" s="24" t="e">
        <v>#N/A</v>
      </c>
      <c r="DM27" s="24" t="e">
        <v>#N/A</v>
      </c>
      <c r="DN27" s="24" t="e">
        <v>#N/A</v>
      </c>
      <c r="DO27" s="24" t="e">
        <v>#N/A</v>
      </c>
      <c r="DP27" s="24" t="e">
        <v>#N/A</v>
      </c>
      <c r="DQ27" s="24" t="e">
        <v>#N/A</v>
      </c>
      <c r="DR27" s="24" t="e">
        <v>#N/A</v>
      </c>
      <c r="DS27" s="24" t="e">
        <v>#N/A</v>
      </c>
      <c r="DT27" s="24" t="e">
        <v>#N/A</v>
      </c>
      <c r="DU27" s="24" t="e">
        <v>#N/A</v>
      </c>
      <c r="DV27" s="24" t="e">
        <v>#N/A</v>
      </c>
      <c r="DW27" s="24" t="e">
        <v>#N/A</v>
      </c>
      <c r="DX27" s="24" t="e">
        <v>#N/A</v>
      </c>
      <c r="DY27" s="24" t="e">
        <v>#N/A</v>
      </c>
      <c r="DZ27" s="24" t="e">
        <v>#N/A</v>
      </c>
      <c r="EA27" s="24" t="e">
        <v>#N/A</v>
      </c>
      <c r="EB27" s="24" t="e">
        <v>#N/A</v>
      </c>
      <c r="EC27" s="24" t="e">
        <v>#N/A</v>
      </c>
      <c r="ED27" s="24" t="e">
        <v>#N/A</v>
      </c>
      <c r="EE27" s="24" t="e">
        <v>#N/A</v>
      </c>
      <c r="EF27" s="24" t="e">
        <v>#N/A</v>
      </c>
      <c r="EG27" s="24" t="e">
        <v>#N/A</v>
      </c>
      <c r="EH27" s="24" t="e">
        <v>#N/A</v>
      </c>
      <c r="EI27" s="24" t="e">
        <v>#N/A</v>
      </c>
      <c r="EJ27" s="24" t="e">
        <v>#N/A</v>
      </c>
      <c r="EK27" s="24" t="e">
        <v>#N/A</v>
      </c>
      <c r="EL27" s="24" t="e">
        <v>#N/A</v>
      </c>
      <c r="EM27" s="24" t="e">
        <v>#N/A</v>
      </c>
      <c r="EN27" s="24" t="e">
        <v>#N/A</v>
      </c>
      <c r="EO27" s="24" t="e">
        <v>#N/A</v>
      </c>
      <c r="EP27" s="24" t="e">
        <v>#N/A</v>
      </c>
      <c r="EQ27" s="24" t="e">
        <v>#N/A</v>
      </c>
      <c r="ER27" s="24" t="e">
        <v>#N/A</v>
      </c>
      <c r="ES27" s="24" t="e">
        <v>#N/A</v>
      </c>
      <c r="ET27" s="24" t="e">
        <v>#N/A</v>
      </c>
      <c r="EU27" s="24" t="e">
        <v>#N/A</v>
      </c>
      <c r="EV27" s="24" t="e">
        <v>#N/A</v>
      </c>
      <c r="EW27" s="24" t="e">
        <v>#N/A</v>
      </c>
      <c r="EX27" s="24" t="e">
        <v>#N/A</v>
      </c>
      <c r="EY27" s="24" t="e">
        <v>#N/A</v>
      </c>
      <c r="EZ27" s="24" t="e">
        <v>#N/A</v>
      </c>
      <c r="FA27" s="24" t="e">
        <v>#N/A</v>
      </c>
      <c r="FB27" s="24" t="e">
        <v>#N/A</v>
      </c>
      <c r="FC27" s="24" t="e">
        <v>#N/A</v>
      </c>
      <c r="FD27" s="24" t="e">
        <v>#N/A</v>
      </c>
      <c r="FE27" s="24" t="e">
        <v>#N/A</v>
      </c>
      <c r="FF27" s="24" t="e">
        <v>#N/A</v>
      </c>
      <c r="FG27" s="24" t="e">
        <v>#N/A</v>
      </c>
      <c r="FH27" s="24" t="e">
        <v>#N/A</v>
      </c>
      <c r="FI27" s="24" t="e">
        <v>#N/A</v>
      </c>
      <c r="FJ27" s="24" t="e">
        <v>#N/A</v>
      </c>
      <c r="FK27" s="24" t="e">
        <v>#N/A</v>
      </c>
      <c r="FL27" s="24" t="e">
        <v>#N/A</v>
      </c>
      <c r="FM27" s="24" t="e">
        <v>#N/A</v>
      </c>
      <c r="FN27" s="24" t="e">
        <v>#N/A</v>
      </c>
      <c r="FO27" s="24" t="e">
        <v>#N/A</v>
      </c>
      <c r="FP27" s="24" t="e">
        <v>#N/A</v>
      </c>
      <c r="FQ27" s="24" t="e">
        <v>#N/A</v>
      </c>
      <c r="FR27" s="24" t="e">
        <v>#N/A</v>
      </c>
      <c r="FS27" s="24" t="e">
        <v>#N/A</v>
      </c>
      <c r="FT27" s="24" t="e">
        <v>#N/A</v>
      </c>
      <c r="FU27" s="24" t="e">
        <v>#N/A</v>
      </c>
      <c r="FV27" s="24" t="e">
        <v>#N/A</v>
      </c>
      <c r="FW27" s="24" t="e">
        <v>#N/A</v>
      </c>
      <c r="FX27" s="24" t="e">
        <v>#N/A</v>
      </c>
      <c r="FY27" s="24" t="e">
        <v>#N/A</v>
      </c>
      <c r="FZ27" s="24" t="e">
        <v>#N/A</v>
      </c>
      <c r="GA27" s="24" t="e">
        <v>#N/A</v>
      </c>
      <c r="GB27" s="24" t="e">
        <v>#N/A</v>
      </c>
      <c r="GC27" s="24" t="e">
        <v>#N/A</v>
      </c>
      <c r="GD27" s="24" t="e">
        <v>#N/A</v>
      </c>
      <c r="GE27" s="24" t="e">
        <v>#N/A</v>
      </c>
      <c r="GF27" s="24" t="e">
        <v>#N/A</v>
      </c>
      <c r="GG27" s="24" t="e">
        <v>#N/A</v>
      </c>
      <c r="GH27" s="24" t="e">
        <v>#N/A</v>
      </c>
      <c r="GI27" s="24" t="e">
        <v>#N/A</v>
      </c>
      <c r="GJ27" s="24" t="e">
        <v>#N/A</v>
      </c>
      <c r="GK27" s="24" t="e">
        <v>#N/A</v>
      </c>
      <c r="GL27" s="24" t="e">
        <v>#N/A</v>
      </c>
      <c r="GM27" s="24" t="e">
        <v>#N/A</v>
      </c>
      <c r="GN27" s="24" t="e">
        <v>#N/A</v>
      </c>
      <c r="GO27" s="24" t="e">
        <v>#N/A</v>
      </c>
      <c r="GP27" s="24" t="e">
        <v>#N/A</v>
      </c>
      <c r="GQ27" s="24" t="e">
        <v>#N/A</v>
      </c>
      <c r="GR27" s="24" t="e">
        <v>#N/A</v>
      </c>
      <c r="GS27" s="24" t="e">
        <v>#N/A</v>
      </c>
      <c r="GT27" s="24" t="e">
        <v>#N/A</v>
      </c>
      <c r="GU27" s="24" t="e">
        <v>#N/A</v>
      </c>
      <c r="GV27" s="24" t="e">
        <v>#N/A</v>
      </c>
      <c r="GW27" s="24" t="e">
        <v>#N/A</v>
      </c>
      <c r="GX27" s="24" t="e">
        <v>#N/A</v>
      </c>
      <c r="GY27" s="24" t="e">
        <v>#N/A</v>
      </c>
      <c r="GZ27" s="24" t="e">
        <v>#N/A</v>
      </c>
      <c r="HA27" s="24" t="e">
        <v>#N/A</v>
      </c>
      <c r="HB27" s="24" t="e">
        <v>#N/A</v>
      </c>
      <c r="HC27" s="24" t="e">
        <v>#N/A</v>
      </c>
      <c r="HD27" s="24" t="e">
        <v>#N/A</v>
      </c>
      <c r="HE27" s="24" t="e">
        <v>#N/A</v>
      </c>
      <c r="HF27" s="24" t="e">
        <v>#N/A</v>
      </c>
      <c r="HG27" s="24" t="e">
        <v>#N/A</v>
      </c>
      <c r="HH27" s="24" t="e">
        <v>#N/A</v>
      </c>
      <c r="HI27" s="24" t="e">
        <v>#N/A</v>
      </c>
      <c r="HJ27" s="24" t="e">
        <v>#N/A</v>
      </c>
      <c r="HK27" s="24" t="e">
        <v>#N/A</v>
      </c>
      <c r="HL27" s="24" t="e">
        <v>#N/A</v>
      </c>
      <c r="HM27" s="24" t="e">
        <v>#N/A</v>
      </c>
      <c r="HN27" s="24" t="e">
        <v>#N/A</v>
      </c>
      <c r="HO27" s="24" t="e">
        <v>#N/A</v>
      </c>
      <c r="HP27" s="24" t="e">
        <v>#N/A</v>
      </c>
      <c r="HQ27" s="24" t="e">
        <v>#N/A</v>
      </c>
      <c r="HR27" s="24" t="e">
        <v>#N/A</v>
      </c>
      <c r="HS27" s="24" t="e">
        <v>#N/A</v>
      </c>
      <c r="HT27" s="24" t="e">
        <v>#N/A</v>
      </c>
      <c r="HU27" s="24" t="e">
        <v>#N/A</v>
      </c>
      <c r="HV27" s="24" t="e">
        <v>#N/A</v>
      </c>
      <c r="HW27" s="24" t="e">
        <v>#N/A</v>
      </c>
      <c r="HX27" s="24" t="e">
        <v>#N/A</v>
      </c>
      <c r="HY27" s="24" t="e">
        <v>#N/A</v>
      </c>
      <c r="HZ27" s="24" t="e">
        <v>#N/A</v>
      </c>
      <c r="IA27" s="24" t="e">
        <v>#N/A</v>
      </c>
      <c r="IB27" s="24" t="e">
        <v>#N/A</v>
      </c>
      <c r="IC27" s="24" t="e">
        <v>#N/A</v>
      </c>
      <c r="ID27" s="24" t="e">
        <v>#N/A</v>
      </c>
      <c r="IE27" s="24" t="e">
        <v>#N/A</v>
      </c>
      <c r="IF27" s="24" t="e">
        <v>#N/A</v>
      </c>
      <c r="IG27" s="24" t="e">
        <v>#N/A</v>
      </c>
      <c r="IH27" s="24" t="e">
        <v>#N/A</v>
      </c>
      <c r="II27" s="24" t="e">
        <v>#N/A</v>
      </c>
      <c r="IJ27" s="24" t="e">
        <v>#N/A</v>
      </c>
      <c r="IK27" s="24" t="e">
        <v>#N/A</v>
      </c>
      <c r="IL27" s="24" t="e">
        <v>#N/A</v>
      </c>
      <c r="IM27" s="24" t="e">
        <v>#N/A</v>
      </c>
      <c r="IN27" s="24" t="e">
        <v>#N/A</v>
      </c>
      <c r="IO27" s="24" t="e">
        <v>#N/A</v>
      </c>
      <c r="IP27" s="24" t="e">
        <v>#N/A</v>
      </c>
      <c r="IQ27" s="24" t="e">
        <v>#N/A</v>
      </c>
      <c r="IR27" s="24" t="e">
        <v>#N/A</v>
      </c>
      <c r="IS27" s="24" t="e">
        <v>#N/A</v>
      </c>
      <c r="IT27" s="24" t="e">
        <v>#N/A</v>
      </c>
      <c r="IU27" s="24" t="e">
        <v>#N/A</v>
      </c>
      <c r="IV27" s="24" t="e">
        <v>#N/A</v>
      </c>
      <c r="IW27" s="24" t="e">
        <v>#N/A</v>
      </c>
      <c r="IX27" s="24" t="e">
        <v>#N/A</v>
      </c>
      <c r="IY27" s="24" t="e">
        <v>#N/A</v>
      </c>
      <c r="IZ27" s="24" t="e">
        <v>#N/A</v>
      </c>
      <c r="JA27" s="24" t="e">
        <v>#N/A</v>
      </c>
      <c r="JB27" s="24" t="e">
        <v>#N/A</v>
      </c>
      <c r="JC27" s="24" t="e">
        <v>#N/A</v>
      </c>
      <c r="JD27" s="24" t="e">
        <v>#N/A</v>
      </c>
      <c r="JE27" s="24" t="e">
        <v>#N/A</v>
      </c>
      <c r="JF27" s="24" t="e">
        <v>#N/A</v>
      </c>
      <c r="JG27" s="24" t="e">
        <v>#N/A</v>
      </c>
      <c r="JH27" s="24" t="e">
        <v>#N/A</v>
      </c>
      <c r="JI27" s="24" t="e">
        <v>#N/A</v>
      </c>
      <c r="JJ27" s="24" t="e">
        <v>#N/A</v>
      </c>
      <c r="JK27" s="24" t="e">
        <v>#N/A</v>
      </c>
      <c r="JL27" s="24" t="e">
        <v>#N/A</v>
      </c>
      <c r="JM27" s="24" t="e">
        <v>#N/A</v>
      </c>
      <c r="JN27" s="24" t="e">
        <v>#N/A</v>
      </c>
      <c r="JO27" s="24" t="e">
        <v>#N/A</v>
      </c>
      <c r="JP27" s="24" t="e">
        <v>#N/A</v>
      </c>
      <c r="JQ27" s="24" t="e">
        <v>#N/A</v>
      </c>
      <c r="JR27" s="24" t="e">
        <v>#N/A</v>
      </c>
      <c r="JS27" s="24" t="e">
        <v>#N/A</v>
      </c>
      <c r="JT27" s="24" t="e">
        <v>#N/A</v>
      </c>
      <c r="JU27" s="24" t="e">
        <v>#N/A</v>
      </c>
      <c r="JV27" s="24" t="e">
        <v>#N/A</v>
      </c>
      <c r="JW27" s="24" t="e">
        <v>#N/A</v>
      </c>
      <c r="JX27" s="24" t="e">
        <v>#N/A</v>
      </c>
      <c r="JY27" s="24" t="e">
        <v>#N/A</v>
      </c>
      <c r="JZ27" s="24" t="e">
        <v>#N/A</v>
      </c>
      <c r="KA27" s="24" t="e">
        <v>#N/A</v>
      </c>
      <c r="KB27" s="24" t="e">
        <v>#N/A</v>
      </c>
      <c r="KC27" s="24" t="e">
        <v>#N/A</v>
      </c>
      <c r="KD27" s="24" t="e">
        <v>#N/A</v>
      </c>
      <c r="KE27" s="24" t="e">
        <v>#N/A</v>
      </c>
      <c r="KF27" s="24" t="e">
        <v>#N/A</v>
      </c>
      <c r="KG27" s="24" t="e">
        <v>#N/A</v>
      </c>
      <c r="KH27" s="24" t="e">
        <v>#N/A</v>
      </c>
      <c r="KI27" s="24" t="e">
        <v>#N/A</v>
      </c>
      <c r="KJ27" s="24" t="e">
        <v>#N/A</v>
      </c>
      <c r="KK27" s="24" t="e">
        <v>#N/A</v>
      </c>
      <c r="KL27" s="24" t="e">
        <v>#N/A</v>
      </c>
      <c r="KM27" s="24" t="e">
        <v>#N/A</v>
      </c>
      <c r="KN27" s="24" t="e">
        <v>#N/A</v>
      </c>
      <c r="KO27" s="24" t="e">
        <v>#N/A</v>
      </c>
      <c r="KP27" s="24" t="e">
        <v>#N/A</v>
      </c>
      <c r="KQ27" s="24" t="e">
        <v>#N/A</v>
      </c>
      <c r="KR27" s="24" t="e">
        <v>#N/A</v>
      </c>
      <c r="KS27" s="24" t="e">
        <v>#N/A</v>
      </c>
      <c r="KT27" s="24" t="e">
        <v>#N/A</v>
      </c>
      <c r="KU27" s="24" t="e">
        <v>#N/A</v>
      </c>
      <c r="KV27" s="24" t="e">
        <v>#N/A</v>
      </c>
      <c r="KW27" s="24" t="e">
        <v>#N/A</v>
      </c>
      <c r="KX27" s="24" t="e">
        <v>#N/A</v>
      </c>
      <c r="KY27" s="24" t="e">
        <v>#N/A</v>
      </c>
      <c r="KZ27" s="24" t="e">
        <v>#N/A</v>
      </c>
      <c r="LA27" s="24" t="e">
        <v>#N/A</v>
      </c>
      <c r="LB27" s="24" t="e">
        <v>#N/A</v>
      </c>
      <c r="LC27" s="24" t="e">
        <v>#N/A</v>
      </c>
      <c r="LD27" s="24" t="e">
        <v>#N/A</v>
      </c>
      <c r="LE27" s="24" t="e">
        <v>#N/A</v>
      </c>
      <c r="LF27" s="24" t="e">
        <v>#N/A</v>
      </c>
      <c r="LG27" s="24" t="e">
        <v>#N/A</v>
      </c>
      <c r="LH27" s="24" t="e">
        <v>#N/A</v>
      </c>
      <c r="LI27" s="24" t="e">
        <v>#N/A</v>
      </c>
      <c r="LJ27" s="24" t="e">
        <v>#N/A</v>
      </c>
      <c r="LK27" s="24" t="e">
        <v>#N/A</v>
      </c>
      <c r="LL27" s="24" t="e">
        <v>#N/A</v>
      </c>
      <c r="LM27" s="24" t="e">
        <v>#N/A</v>
      </c>
      <c r="LN27" s="24" t="e">
        <v>#N/A</v>
      </c>
      <c r="LO27" s="24" t="e">
        <v>#N/A</v>
      </c>
      <c r="LP27" s="24" t="e">
        <v>#N/A</v>
      </c>
      <c r="LQ27" s="24" t="e">
        <v>#N/A</v>
      </c>
      <c r="LR27" s="24" t="e">
        <v>#N/A</v>
      </c>
      <c r="LS27" s="24" t="e">
        <v>#N/A</v>
      </c>
      <c r="LT27" s="24" t="e">
        <v>#N/A</v>
      </c>
      <c r="LU27" s="24" t="e">
        <v>#N/A</v>
      </c>
      <c r="LV27" s="24" t="e">
        <v>#N/A</v>
      </c>
      <c r="LW27" s="24" t="e">
        <v>#N/A</v>
      </c>
      <c r="LX27" s="24" t="e">
        <v>#N/A</v>
      </c>
      <c r="LY27" s="24" t="e">
        <v>#N/A</v>
      </c>
      <c r="LZ27" s="24" t="e">
        <v>#N/A</v>
      </c>
      <c r="MA27" s="24" t="e">
        <v>#N/A</v>
      </c>
      <c r="MB27" s="24" t="e">
        <v>#N/A</v>
      </c>
      <c r="MC27" s="24" t="e">
        <v>#N/A</v>
      </c>
      <c r="MD27" s="24" t="e">
        <v>#N/A</v>
      </c>
      <c r="ME27" s="24" t="e">
        <v>#N/A</v>
      </c>
      <c r="MF27" s="24" t="e">
        <v>#N/A</v>
      </c>
      <c r="MG27" s="24" t="e">
        <v>#N/A</v>
      </c>
      <c r="MH27" s="24" t="e">
        <v>#N/A</v>
      </c>
      <c r="MI27" s="24" t="e">
        <v>#N/A</v>
      </c>
      <c r="MJ27" s="24" t="e">
        <v>#N/A</v>
      </c>
      <c r="MK27" s="24" t="e">
        <v>#N/A</v>
      </c>
      <c r="ML27" s="24" t="e">
        <v>#N/A</v>
      </c>
      <c r="MM27" s="24" t="e">
        <v>#N/A</v>
      </c>
      <c r="MN27" s="24" t="e">
        <v>#N/A</v>
      </c>
      <c r="MO27" s="24" t="e">
        <v>#N/A</v>
      </c>
      <c r="MP27" s="24" t="e">
        <v>#N/A</v>
      </c>
      <c r="MQ27" s="24" t="e">
        <v>#N/A</v>
      </c>
      <c r="MR27" s="24" t="e">
        <v>#N/A</v>
      </c>
      <c r="MS27" s="24" t="e">
        <v>#N/A</v>
      </c>
      <c r="MT27" s="24" t="e">
        <v>#N/A</v>
      </c>
      <c r="MU27" s="24" t="e">
        <v>#N/A</v>
      </c>
      <c r="MV27" s="24" t="e">
        <v>#N/A</v>
      </c>
      <c r="MW27" s="24" t="e">
        <v>#N/A</v>
      </c>
      <c r="MX27" s="24" t="e">
        <v>#N/A</v>
      </c>
      <c r="MY27" s="24" t="e">
        <v>#N/A</v>
      </c>
      <c r="MZ27" s="24" t="e">
        <v>#N/A</v>
      </c>
      <c r="NA27" s="24" t="e">
        <v>#N/A</v>
      </c>
      <c r="NB27" s="24" t="e">
        <v>#N/A</v>
      </c>
      <c r="NC27" s="24" t="e">
        <v>#N/A</v>
      </c>
      <c r="ND27" s="24" t="e">
        <v>#N/A</v>
      </c>
      <c r="NE27" s="24" t="e">
        <v>#N/A</v>
      </c>
      <c r="NF27" s="24" t="e">
        <v>#N/A</v>
      </c>
      <c r="NG27" s="24" t="e">
        <v>#N/A</v>
      </c>
      <c r="NH27" s="24" t="e">
        <v>#N/A</v>
      </c>
      <c r="NI27" s="24" t="e">
        <v>#N/A</v>
      </c>
      <c r="NJ27" s="24" t="e">
        <v>#N/A</v>
      </c>
      <c r="NK27" s="24" t="e">
        <v>#N/A</v>
      </c>
      <c r="NL27" s="24" t="e">
        <v>#N/A</v>
      </c>
      <c r="NM27" s="24" t="e">
        <v>#N/A</v>
      </c>
      <c r="NN27" s="24" t="e">
        <v>#N/A</v>
      </c>
      <c r="NO27" s="24" t="e">
        <v>#N/A</v>
      </c>
      <c r="NP27" s="24" t="e">
        <v>#N/A</v>
      </c>
      <c r="NQ27" s="24" t="e">
        <v>#N/A</v>
      </c>
      <c r="NR27" s="24" t="e">
        <v>#N/A</v>
      </c>
      <c r="NS27" s="24" t="e">
        <v>#N/A</v>
      </c>
      <c r="NT27" s="24" t="e">
        <v>#N/A</v>
      </c>
      <c r="NU27" s="24" t="e">
        <v>#N/A</v>
      </c>
      <c r="NV27" s="24" t="e">
        <v>#N/A</v>
      </c>
      <c r="NW27" s="24" t="e">
        <v>#N/A</v>
      </c>
      <c r="NX27" s="24" t="e">
        <v>#N/A</v>
      </c>
      <c r="NY27" s="24" t="e">
        <v>#N/A</v>
      </c>
      <c r="NZ27" s="24" t="e">
        <v>#N/A</v>
      </c>
      <c r="OA27" s="24" t="e">
        <v>#N/A</v>
      </c>
      <c r="OB27" s="24" t="e">
        <v>#N/A</v>
      </c>
      <c r="OC27" s="24" t="e">
        <v>#N/A</v>
      </c>
      <c r="OD27" s="24" t="e">
        <v>#N/A</v>
      </c>
      <c r="OE27" s="24" t="e">
        <v>#N/A</v>
      </c>
      <c r="OF27" s="24" t="e">
        <v>#N/A</v>
      </c>
      <c r="OG27" s="24" t="e">
        <v>#N/A</v>
      </c>
      <c r="OH27" s="24" t="e">
        <v>#N/A</v>
      </c>
      <c r="OI27" s="24" t="e">
        <v>#N/A</v>
      </c>
      <c r="OJ27" s="24" t="e">
        <v>#N/A</v>
      </c>
      <c r="OK27" s="24" t="e">
        <v>#N/A</v>
      </c>
      <c r="OL27" s="24" t="e">
        <v>#N/A</v>
      </c>
      <c r="OM27" s="24" t="e">
        <v>#N/A</v>
      </c>
      <c r="ON27" s="24" t="e">
        <v>#N/A</v>
      </c>
      <c r="OO27" s="24" t="e">
        <v>#N/A</v>
      </c>
      <c r="OP27" s="24" t="e">
        <v>#N/A</v>
      </c>
      <c r="OQ27" s="24" t="e">
        <v>#N/A</v>
      </c>
      <c r="OR27" s="24" t="e">
        <v>#N/A</v>
      </c>
      <c r="OS27" s="24" t="e">
        <v>#N/A</v>
      </c>
      <c r="OT27" s="24" t="e">
        <v>#N/A</v>
      </c>
      <c r="OU27" s="24" t="e">
        <v>#N/A</v>
      </c>
      <c r="OV27" s="24" t="e">
        <v>#N/A</v>
      </c>
      <c r="OW27" s="24" t="e">
        <v>#N/A</v>
      </c>
      <c r="OX27" s="24" t="e">
        <v>#N/A</v>
      </c>
      <c r="OY27" s="24" t="e">
        <v>#N/A</v>
      </c>
      <c r="OZ27" s="24" t="e">
        <v>#N/A</v>
      </c>
      <c r="PA27" s="24" t="e">
        <v>#N/A</v>
      </c>
      <c r="PB27" s="24" t="e">
        <v>#N/A</v>
      </c>
      <c r="PC27" s="24" t="e">
        <v>#N/A</v>
      </c>
      <c r="PD27" s="24" t="e">
        <v>#N/A</v>
      </c>
      <c r="PE27" s="24" t="e">
        <v>#N/A</v>
      </c>
      <c r="PF27" s="24" t="e">
        <v>#N/A</v>
      </c>
      <c r="PG27" s="24" t="e">
        <v>#N/A</v>
      </c>
      <c r="PH27" s="24" t="e">
        <v>#N/A</v>
      </c>
      <c r="PI27" s="24" t="e">
        <v>#N/A</v>
      </c>
      <c r="PJ27" s="24" t="e">
        <v>#N/A</v>
      </c>
      <c r="PK27" s="24" t="e">
        <v>#N/A</v>
      </c>
      <c r="PL27" s="24" t="e">
        <v>#N/A</v>
      </c>
      <c r="PM27" s="24" t="e">
        <v>#N/A</v>
      </c>
      <c r="PN27" s="24" t="e">
        <v>#N/A</v>
      </c>
      <c r="PO27" s="24" t="e">
        <v>#N/A</v>
      </c>
      <c r="PP27" s="24" t="e">
        <v>#N/A</v>
      </c>
      <c r="PQ27" s="24" t="e">
        <v>#N/A</v>
      </c>
      <c r="PR27" s="24" t="e">
        <v>#N/A</v>
      </c>
      <c r="PS27" s="24" t="e">
        <v>#N/A</v>
      </c>
      <c r="PT27" s="24" t="e">
        <v>#N/A</v>
      </c>
      <c r="PU27" s="24" t="e">
        <v>#N/A</v>
      </c>
      <c r="PV27" s="24" t="e">
        <v>#N/A</v>
      </c>
      <c r="PW27" s="24" t="e">
        <v>#N/A</v>
      </c>
      <c r="PX27" s="24" t="e">
        <v>#N/A</v>
      </c>
      <c r="PY27" s="24" t="e">
        <v>#N/A</v>
      </c>
      <c r="PZ27" s="24" t="e">
        <v>#N/A</v>
      </c>
      <c r="QA27" s="24" t="e">
        <v>#N/A</v>
      </c>
      <c r="QB27" s="24" t="e">
        <v>#N/A</v>
      </c>
      <c r="QC27" s="24" t="e">
        <v>#N/A</v>
      </c>
      <c r="QD27" s="24" t="e">
        <v>#N/A</v>
      </c>
      <c r="QE27" s="24" t="e">
        <v>#N/A</v>
      </c>
      <c r="QF27" s="24" t="e">
        <v>#N/A</v>
      </c>
      <c r="QG27" s="24" t="e">
        <v>#N/A</v>
      </c>
      <c r="QH27" s="24" t="e">
        <v>#N/A</v>
      </c>
      <c r="QI27" s="24" t="e">
        <v>#N/A</v>
      </c>
      <c r="QJ27" s="24" t="e">
        <v>#N/A</v>
      </c>
      <c r="QK27" s="24" t="e">
        <v>#N/A</v>
      </c>
      <c r="QL27" s="24" t="e">
        <v>#N/A</v>
      </c>
      <c r="QM27" s="24" t="e">
        <v>#N/A</v>
      </c>
      <c r="QN27" s="24" t="e">
        <v>#N/A</v>
      </c>
      <c r="QO27" s="24" t="e">
        <v>#N/A</v>
      </c>
      <c r="QP27" s="24" t="e">
        <v>#N/A</v>
      </c>
      <c r="QQ27" s="24" t="e">
        <v>#N/A</v>
      </c>
      <c r="QR27" s="24" t="e">
        <v>#N/A</v>
      </c>
      <c r="QS27" s="24" t="e">
        <v>#N/A</v>
      </c>
      <c r="QT27" s="24" t="e">
        <v>#N/A</v>
      </c>
      <c r="QU27" s="24" t="e">
        <v>#N/A</v>
      </c>
      <c r="QV27" s="24" t="e">
        <v>#N/A</v>
      </c>
      <c r="QW27" s="24" t="e">
        <v>#N/A</v>
      </c>
      <c r="QX27" s="24" t="e">
        <v>#N/A</v>
      </c>
      <c r="QY27" s="24" t="e">
        <v>#N/A</v>
      </c>
      <c r="QZ27" s="24" t="e">
        <v>#N/A</v>
      </c>
      <c r="RA27" s="24" t="e">
        <v>#N/A</v>
      </c>
      <c r="RB27" s="24" t="e">
        <v>#N/A</v>
      </c>
      <c r="RC27" s="24" t="e">
        <v>#N/A</v>
      </c>
      <c r="RD27" s="24" t="e">
        <v>#N/A</v>
      </c>
      <c r="RE27" s="24" t="e">
        <v>#N/A</v>
      </c>
      <c r="RF27" s="24" t="e">
        <v>#N/A</v>
      </c>
      <c r="RG27" s="24" t="e">
        <v>#N/A</v>
      </c>
      <c r="RH27" s="24" t="e">
        <v>#N/A</v>
      </c>
      <c r="RI27" s="24" t="e">
        <v>#N/A</v>
      </c>
      <c r="RJ27" s="24" t="e">
        <v>#N/A</v>
      </c>
      <c r="RK27" s="24" t="e">
        <v>#N/A</v>
      </c>
      <c r="RL27" s="24" t="e">
        <v>#N/A</v>
      </c>
      <c r="RM27" s="24" t="e">
        <v>#N/A</v>
      </c>
      <c r="RN27" s="24" t="e">
        <v>#N/A</v>
      </c>
      <c r="RO27" s="24" t="e">
        <v>#N/A</v>
      </c>
      <c r="RP27" s="24" t="e">
        <v>#N/A</v>
      </c>
      <c r="RQ27" s="24" t="e">
        <v>#N/A</v>
      </c>
      <c r="RR27" s="24" t="e">
        <v>#N/A</v>
      </c>
      <c r="RS27" s="24" t="e">
        <v>#N/A</v>
      </c>
      <c r="RT27" s="24" t="e">
        <v>#N/A</v>
      </c>
      <c r="RU27" s="24" t="e">
        <v>#N/A</v>
      </c>
      <c r="RV27" s="24" t="e">
        <v>#N/A</v>
      </c>
      <c r="RW27" s="24" t="e">
        <v>#N/A</v>
      </c>
      <c r="RX27" s="24" t="e">
        <v>#N/A</v>
      </c>
      <c r="RY27" s="24" t="e">
        <v>#N/A</v>
      </c>
      <c r="RZ27" s="24" t="e">
        <v>#N/A</v>
      </c>
      <c r="SA27" s="24" t="e">
        <v>#N/A</v>
      </c>
      <c r="SB27" s="24" t="e">
        <v>#N/A</v>
      </c>
      <c r="SC27" s="24" t="e">
        <v>#N/A</v>
      </c>
      <c r="SD27" s="24" t="e">
        <v>#N/A</v>
      </c>
      <c r="SE27" s="24" t="e">
        <v>#N/A</v>
      </c>
      <c r="SF27" s="24" t="e">
        <v>#N/A</v>
      </c>
      <c r="SG27" s="24" t="e">
        <v>#N/A</v>
      </c>
      <c r="SH27" s="24" t="e">
        <v>#N/A</v>
      </c>
      <c r="SI27" s="24" t="e">
        <v>#N/A</v>
      </c>
      <c r="SJ27" s="24" t="e">
        <v>#N/A</v>
      </c>
      <c r="SK27" s="24" t="e">
        <v>#N/A</v>
      </c>
      <c r="SL27" s="24" t="e">
        <v>#N/A</v>
      </c>
      <c r="SM27" s="24" t="e">
        <v>#N/A</v>
      </c>
      <c r="SN27" s="24" t="e">
        <v>#N/A</v>
      </c>
      <c r="SO27" s="24" t="e">
        <v>#N/A</v>
      </c>
      <c r="SP27" s="24" t="e">
        <v>#N/A</v>
      </c>
      <c r="SQ27" s="24" t="e">
        <v>#N/A</v>
      </c>
      <c r="SR27" s="24" t="e">
        <v>#N/A</v>
      </c>
      <c r="SS27" s="24" t="e">
        <v>#N/A</v>
      </c>
      <c r="ST27" s="24" t="e">
        <v>#N/A</v>
      </c>
      <c r="SU27" s="24" t="e">
        <v>#N/A</v>
      </c>
      <c r="SV27" s="24" t="e">
        <v>#N/A</v>
      </c>
      <c r="SW27" s="24" t="e">
        <v>#N/A</v>
      </c>
      <c r="SX27" s="24" t="e">
        <v>#N/A</v>
      </c>
      <c r="SY27" s="24" t="e">
        <v>#N/A</v>
      </c>
      <c r="SZ27" s="24" t="e">
        <v>#N/A</v>
      </c>
      <c r="TA27" s="24" t="e">
        <v>#N/A</v>
      </c>
      <c r="TB27" s="24" t="e">
        <v>#N/A</v>
      </c>
      <c r="TC27" s="24" t="e">
        <v>#N/A</v>
      </c>
      <c r="TD27" s="24" t="e">
        <v>#N/A</v>
      </c>
      <c r="TE27" s="24" t="e">
        <v>#N/A</v>
      </c>
      <c r="TF27" s="24" t="e">
        <v>#N/A</v>
      </c>
      <c r="TG27" s="24" t="e">
        <v>#N/A</v>
      </c>
      <c r="TH27" s="24" t="e">
        <v>#N/A</v>
      </c>
      <c r="TI27" s="24" t="e">
        <v>#N/A</v>
      </c>
      <c r="TJ27" s="24" t="e">
        <v>#N/A</v>
      </c>
      <c r="TK27" s="24" t="e">
        <v>#N/A</v>
      </c>
      <c r="TL27" s="24" t="e">
        <v>#N/A</v>
      </c>
      <c r="TM27" s="24" t="e">
        <v>#N/A</v>
      </c>
      <c r="TN27" s="24" t="e">
        <v>#N/A</v>
      </c>
      <c r="TO27" s="24" t="e">
        <v>#N/A</v>
      </c>
      <c r="TP27" s="24" t="e">
        <v>#N/A</v>
      </c>
      <c r="TQ27" s="24" t="e">
        <v>#N/A</v>
      </c>
      <c r="TR27" s="24" t="e">
        <v>#N/A</v>
      </c>
      <c r="TS27" s="24" t="e">
        <v>#N/A</v>
      </c>
      <c r="TT27" s="24" t="e">
        <v>#N/A</v>
      </c>
      <c r="TU27" s="24" t="e">
        <v>#N/A</v>
      </c>
      <c r="TV27" s="24" t="e">
        <v>#N/A</v>
      </c>
      <c r="TW27" s="24" t="e">
        <v>#N/A</v>
      </c>
      <c r="TX27" s="24" t="e">
        <v>#N/A</v>
      </c>
      <c r="TY27" s="24" t="e">
        <v>#N/A</v>
      </c>
      <c r="TZ27" s="24" t="e">
        <v>#N/A</v>
      </c>
      <c r="UA27" s="24" t="e">
        <v>#N/A</v>
      </c>
      <c r="UB27" s="24" t="e">
        <v>#N/A</v>
      </c>
      <c r="UC27" s="24" t="e">
        <v>#N/A</v>
      </c>
      <c r="UD27" s="24" t="e">
        <v>#N/A</v>
      </c>
      <c r="UE27" s="24" t="e">
        <v>#N/A</v>
      </c>
      <c r="UF27" s="24" t="e">
        <v>#N/A</v>
      </c>
      <c r="UG27" s="24" t="e">
        <v>#N/A</v>
      </c>
      <c r="UH27" s="24" t="e">
        <v>#N/A</v>
      </c>
      <c r="UI27" s="24" t="e">
        <v>#N/A</v>
      </c>
      <c r="UJ27" s="24" t="e">
        <v>#N/A</v>
      </c>
      <c r="UK27" s="24" t="e">
        <v>#N/A</v>
      </c>
      <c r="UL27" s="24" t="e">
        <v>#N/A</v>
      </c>
      <c r="UM27" s="24" t="e">
        <v>#N/A</v>
      </c>
      <c r="UN27" s="24" t="e">
        <v>#N/A</v>
      </c>
      <c r="UO27" s="24" t="e">
        <v>#N/A</v>
      </c>
      <c r="UP27" s="24" t="e">
        <v>#N/A</v>
      </c>
      <c r="UQ27" s="24" t="e">
        <v>#N/A</v>
      </c>
      <c r="UR27" s="24" t="e">
        <v>#N/A</v>
      </c>
      <c r="US27" s="24" t="e">
        <v>#N/A</v>
      </c>
      <c r="UT27" s="24" t="e">
        <v>#N/A</v>
      </c>
      <c r="UU27" s="24" t="e">
        <v>#N/A</v>
      </c>
      <c r="UV27" s="24" t="e">
        <v>#N/A</v>
      </c>
      <c r="UW27" s="24" t="e">
        <v>#N/A</v>
      </c>
      <c r="UX27" s="24" t="e">
        <v>#N/A</v>
      </c>
      <c r="UY27" s="24" t="e">
        <v>#N/A</v>
      </c>
      <c r="UZ27" s="24" t="e">
        <v>#N/A</v>
      </c>
      <c r="VA27" s="24" t="e">
        <v>#N/A</v>
      </c>
      <c r="VB27" s="24" t="e">
        <v>#N/A</v>
      </c>
      <c r="VC27" s="24" t="e">
        <v>#N/A</v>
      </c>
      <c r="VD27" s="24" t="e">
        <v>#N/A</v>
      </c>
      <c r="VE27" s="24" t="e">
        <v>#N/A</v>
      </c>
      <c r="VF27" s="24" t="e">
        <v>#N/A</v>
      </c>
      <c r="VG27" s="24" t="e">
        <v>#N/A</v>
      </c>
      <c r="VH27" s="24" t="e">
        <v>#N/A</v>
      </c>
      <c r="VI27" s="24" t="e">
        <v>#N/A</v>
      </c>
      <c r="VJ27" s="24" t="e">
        <v>#N/A</v>
      </c>
      <c r="VK27" s="24" t="e">
        <v>#N/A</v>
      </c>
      <c r="VL27" s="24" t="e">
        <v>#N/A</v>
      </c>
      <c r="VM27" s="24" t="e">
        <v>#N/A</v>
      </c>
      <c r="VN27" s="24" t="e">
        <v>#N/A</v>
      </c>
      <c r="VO27" s="24" t="e">
        <v>#N/A</v>
      </c>
      <c r="VP27" s="24" t="e">
        <v>#N/A</v>
      </c>
      <c r="VQ27" s="24" t="e">
        <v>#N/A</v>
      </c>
      <c r="VR27" s="24" t="e">
        <v>#N/A</v>
      </c>
      <c r="VS27" s="24" t="e">
        <v>#N/A</v>
      </c>
      <c r="VT27" s="24" t="e">
        <v>#N/A</v>
      </c>
      <c r="VU27" s="24" t="e">
        <v>#N/A</v>
      </c>
      <c r="VV27" s="24" t="e">
        <v>#N/A</v>
      </c>
      <c r="VW27" s="24" t="e">
        <v>#N/A</v>
      </c>
      <c r="VX27" s="24" t="e">
        <v>#N/A</v>
      </c>
      <c r="VY27" s="24" t="e">
        <v>#N/A</v>
      </c>
      <c r="VZ27" s="24" t="e">
        <v>#N/A</v>
      </c>
      <c r="WA27" s="24" t="e">
        <v>#N/A</v>
      </c>
      <c r="WB27" s="24" t="e">
        <v>#N/A</v>
      </c>
      <c r="WC27" s="24" t="e">
        <v>#N/A</v>
      </c>
      <c r="WD27" s="24" t="e">
        <v>#N/A</v>
      </c>
      <c r="WE27" s="24" t="e">
        <v>#N/A</v>
      </c>
      <c r="WF27" s="24" t="e">
        <v>#N/A</v>
      </c>
      <c r="WG27" s="24" t="e">
        <v>#N/A</v>
      </c>
      <c r="WH27" s="24" t="e">
        <v>#N/A</v>
      </c>
      <c r="WI27" s="24" t="e">
        <v>#N/A</v>
      </c>
      <c r="WJ27" s="24" t="e">
        <v>#N/A</v>
      </c>
      <c r="WK27" s="24" t="e">
        <v>#N/A</v>
      </c>
      <c r="WL27" s="24" t="e">
        <v>#N/A</v>
      </c>
      <c r="WM27" s="24" t="e">
        <v>#N/A</v>
      </c>
      <c r="WN27" s="24" t="e">
        <v>#N/A</v>
      </c>
      <c r="WO27" s="24" t="e">
        <v>#N/A</v>
      </c>
      <c r="WP27" s="24" t="e">
        <v>#N/A</v>
      </c>
      <c r="WQ27" s="24" t="e">
        <v>#N/A</v>
      </c>
      <c r="WR27" s="24" t="e">
        <v>#N/A</v>
      </c>
      <c r="WS27" s="24" t="e">
        <v>#N/A</v>
      </c>
      <c r="WT27" s="24" t="e">
        <v>#N/A</v>
      </c>
      <c r="WU27" s="24" t="e">
        <v>#N/A</v>
      </c>
      <c r="WV27" s="24" t="e">
        <v>#N/A</v>
      </c>
      <c r="WW27" s="24" t="e">
        <v>#N/A</v>
      </c>
      <c r="WX27" s="24" t="e">
        <v>#N/A</v>
      </c>
      <c r="WY27" s="24" t="e">
        <v>#N/A</v>
      </c>
      <c r="WZ27" s="24" t="e">
        <v>#N/A</v>
      </c>
      <c r="XA27" s="24" t="e">
        <v>#N/A</v>
      </c>
      <c r="XB27" s="24" t="e">
        <v>#N/A</v>
      </c>
      <c r="XC27" s="24" t="e">
        <v>#N/A</v>
      </c>
      <c r="XD27" s="24" t="e">
        <v>#N/A</v>
      </c>
      <c r="XE27" s="24" t="e">
        <v>#N/A</v>
      </c>
      <c r="XF27" s="24" t="e">
        <v>#N/A</v>
      </c>
      <c r="XG27" s="24" t="e">
        <v>#N/A</v>
      </c>
      <c r="XH27" s="24" t="e">
        <v>#N/A</v>
      </c>
      <c r="XI27" s="24" t="e">
        <v>#N/A</v>
      </c>
      <c r="XJ27" s="24" t="e">
        <v>#N/A</v>
      </c>
      <c r="XK27" s="24" t="e">
        <v>#N/A</v>
      </c>
      <c r="XL27" s="24" t="e">
        <v>#N/A</v>
      </c>
      <c r="XM27" s="24" t="e">
        <v>#N/A</v>
      </c>
      <c r="XN27" s="24" t="e">
        <v>#N/A</v>
      </c>
      <c r="XO27" s="24" t="e">
        <v>#N/A</v>
      </c>
      <c r="XP27" s="24" t="e">
        <v>#N/A</v>
      </c>
      <c r="XQ27" s="24" t="e">
        <v>#N/A</v>
      </c>
      <c r="XR27" s="24" t="e">
        <v>#N/A</v>
      </c>
      <c r="XS27" s="24" t="e">
        <v>#N/A</v>
      </c>
      <c r="XT27" s="24" t="e">
        <v>#N/A</v>
      </c>
      <c r="XU27" s="24" t="e">
        <v>#N/A</v>
      </c>
      <c r="XV27" s="24" t="e">
        <v>#N/A</v>
      </c>
      <c r="XW27" s="24" t="e">
        <v>#N/A</v>
      </c>
      <c r="XX27" s="24" t="e">
        <v>#N/A</v>
      </c>
      <c r="XY27" s="24" t="e">
        <v>#N/A</v>
      </c>
      <c r="XZ27" s="24" t="e">
        <v>#N/A</v>
      </c>
      <c r="YA27" s="24" t="e">
        <v>#N/A</v>
      </c>
      <c r="YB27" s="24" t="e">
        <v>#N/A</v>
      </c>
      <c r="YC27" s="24" t="e">
        <v>#N/A</v>
      </c>
      <c r="YD27" s="24" t="e">
        <v>#N/A</v>
      </c>
      <c r="YE27" s="24" t="e">
        <v>#N/A</v>
      </c>
      <c r="YF27" s="24" t="e">
        <v>#N/A</v>
      </c>
      <c r="YG27" s="24" t="e">
        <v>#N/A</v>
      </c>
      <c r="YH27" s="24" t="e">
        <v>#N/A</v>
      </c>
      <c r="YI27" s="24" t="e">
        <v>#N/A</v>
      </c>
      <c r="YJ27" s="24" t="e">
        <v>#N/A</v>
      </c>
      <c r="YK27" s="24" t="e">
        <v>#N/A</v>
      </c>
      <c r="YL27" s="24" t="e">
        <v>#N/A</v>
      </c>
      <c r="YM27" s="24" t="e">
        <v>#N/A</v>
      </c>
      <c r="YN27" s="24" t="e">
        <v>#N/A</v>
      </c>
      <c r="YO27" s="24" t="e">
        <v>#N/A</v>
      </c>
      <c r="YP27" s="24" t="e">
        <v>#N/A</v>
      </c>
      <c r="YQ27" s="24" t="e">
        <v>#N/A</v>
      </c>
      <c r="YR27" s="24" t="e">
        <v>#N/A</v>
      </c>
      <c r="YS27" s="24" t="e">
        <v>#N/A</v>
      </c>
      <c r="YT27" s="24" t="e">
        <v>#N/A</v>
      </c>
      <c r="YU27" s="24" t="e">
        <v>#N/A</v>
      </c>
      <c r="YV27" s="24" t="e">
        <v>#N/A</v>
      </c>
      <c r="YW27" s="24" t="e">
        <v>#N/A</v>
      </c>
      <c r="YX27" s="24" t="e">
        <v>#N/A</v>
      </c>
      <c r="YY27" s="24" t="e">
        <v>#N/A</v>
      </c>
      <c r="YZ27" s="24" t="e">
        <v>#N/A</v>
      </c>
      <c r="ZA27" s="24" t="e">
        <v>#N/A</v>
      </c>
      <c r="ZB27" s="24" t="e">
        <v>#N/A</v>
      </c>
      <c r="ZC27" s="24" t="e">
        <v>#N/A</v>
      </c>
      <c r="ZD27" s="24" t="e">
        <v>#N/A</v>
      </c>
      <c r="ZE27" s="24" t="e">
        <v>#N/A</v>
      </c>
      <c r="ZF27" s="24" t="e">
        <v>#N/A</v>
      </c>
      <c r="ZG27" s="24" t="e">
        <v>#N/A</v>
      </c>
      <c r="ZH27" s="24" t="e">
        <v>#N/A</v>
      </c>
      <c r="ZI27" s="24" t="e">
        <v>#N/A</v>
      </c>
      <c r="ZJ27" s="24" t="e">
        <v>#N/A</v>
      </c>
      <c r="ZK27" s="24" t="e">
        <v>#N/A</v>
      </c>
      <c r="ZL27" s="24" t="e">
        <v>#N/A</v>
      </c>
      <c r="ZM27" s="24" t="e">
        <v>#N/A</v>
      </c>
      <c r="ZN27" s="24" t="e">
        <v>#N/A</v>
      </c>
      <c r="ZO27" s="24" t="e">
        <v>#N/A</v>
      </c>
      <c r="ZP27" s="24" t="e">
        <v>#N/A</v>
      </c>
      <c r="ZQ27" s="24" t="e">
        <v>#N/A</v>
      </c>
      <c r="ZR27" s="24" t="e">
        <v>#N/A</v>
      </c>
      <c r="ZS27" s="24" t="e">
        <v>#N/A</v>
      </c>
      <c r="ZT27" s="24" t="e">
        <v>#N/A</v>
      </c>
      <c r="ZU27" s="24" t="e">
        <v>#N/A</v>
      </c>
      <c r="ZV27" s="24" t="e">
        <v>#N/A</v>
      </c>
      <c r="ZW27" s="24" t="e">
        <v>#N/A</v>
      </c>
      <c r="ZX27" s="24" t="e">
        <v>#N/A</v>
      </c>
      <c r="ZY27" s="24" t="e">
        <v>#N/A</v>
      </c>
      <c r="ZZ27" s="24" t="e">
        <v>#N/A</v>
      </c>
      <c r="AAA27" s="24" t="e">
        <v>#N/A</v>
      </c>
      <c r="AAB27" s="24" t="e">
        <v>#N/A</v>
      </c>
      <c r="AAC27" s="24" t="e">
        <v>#N/A</v>
      </c>
      <c r="AAD27" s="24" t="e">
        <v>#N/A</v>
      </c>
      <c r="AAE27" s="24" t="e">
        <v>#N/A</v>
      </c>
      <c r="AAF27" s="24" t="e">
        <v>#N/A</v>
      </c>
      <c r="AAG27" s="24" t="e">
        <v>#N/A</v>
      </c>
      <c r="AAH27" s="24" t="e">
        <v>#N/A</v>
      </c>
      <c r="AAI27" s="24" t="e">
        <v>#N/A</v>
      </c>
      <c r="AAJ27" s="24" t="e">
        <v>#N/A</v>
      </c>
      <c r="AAK27" s="24" t="e">
        <v>#N/A</v>
      </c>
      <c r="AAL27" s="24" t="e">
        <v>#N/A</v>
      </c>
      <c r="AAM27" s="24" t="e">
        <v>#N/A</v>
      </c>
      <c r="AAN27" s="24" t="e">
        <v>#N/A</v>
      </c>
      <c r="AAO27" s="24" t="e">
        <v>#N/A</v>
      </c>
      <c r="AAP27" s="24" t="e">
        <v>#N/A</v>
      </c>
      <c r="AAQ27" s="24" t="e">
        <v>#N/A</v>
      </c>
      <c r="AAR27" s="24" t="e">
        <v>#N/A</v>
      </c>
      <c r="AAS27" s="24" t="e">
        <v>#N/A</v>
      </c>
      <c r="AAT27" s="24" t="e">
        <v>#N/A</v>
      </c>
      <c r="AAU27" s="24" t="e">
        <v>#N/A</v>
      </c>
      <c r="AAV27" s="24" t="e">
        <v>#N/A</v>
      </c>
      <c r="AAW27" s="24" t="e">
        <v>#N/A</v>
      </c>
      <c r="AAX27" s="24" t="e">
        <v>#N/A</v>
      </c>
      <c r="AAY27" s="24" t="e">
        <v>#N/A</v>
      </c>
      <c r="AAZ27" s="24" t="e">
        <v>#N/A</v>
      </c>
      <c r="ABA27" s="24" t="e">
        <v>#N/A</v>
      </c>
      <c r="ABB27" s="24" t="e">
        <v>#N/A</v>
      </c>
      <c r="ABC27" s="24" t="e">
        <v>#N/A</v>
      </c>
      <c r="ABD27" s="24" t="e">
        <v>#N/A</v>
      </c>
      <c r="ABE27" s="24" t="e">
        <v>#N/A</v>
      </c>
      <c r="ABF27" s="24" t="e">
        <v>#N/A</v>
      </c>
      <c r="ABG27" s="24" t="e">
        <v>#N/A</v>
      </c>
      <c r="ABH27" s="24" t="e">
        <v>#N/A</v>
      </c>
      <c r="ABI27" s="24" t="e">
        <v>#N/A</v>
      </c>
      <c r="ABJ27" s="24" t="e">
        <v>#N/A</v>
      </c>
      <c r="ABK27" s="24" t="e">
        <v>#N/A</v>
      </c>
      <c r="ABL27" s="24" t="e">
        <v>#N/A</v>
      </c>
      <c r="ABM27" s="24" t="e">
        <v>#N/A</v>
      </c>
      <c r="ABN27" s="24" t="e">
        <v>#N/A</v>
      </c>
      <c r="ABO27" s="24" t="e">
        <v>#N/A</v>
      </c>
      <c r="ABP27" s="24" t="e">
        <v>#N/A</v>
      </c>
      <c r="ABQ27" s="24" t="e">
        <v>#N/A</v>
      </c>
      <c r="ABR27" s="24" t="e">
        <v>#N/A</v>
      </c>
      <c r="ABS27" s="24" t="e">
        <v>#N/A</v>
      </c>
      <c r="ABT27" s="24" t="e">
        <v>#N/A</v>
      </c>
      <c r="ABU27" s="24" t="e">
        <v>#N/A</v>
      </c>
      <c r="ABV27" s="24" t="e">
        <v>#N/A</v>
      </c>
      <c r="ABW27" s="24" t="e">
        <v>#N/A</v>
      </c>
      <c r="ABX27" s="24" t="e">
        <v>#N/A</v>
      </c>
      <c r="ABY27" s="24" t="e">
        <v>#N/A</v>
      </c>
      <c r="ABZ27" s="24" t="e">
        <v>#N/A</v>
      </c>
      <c r="ACA27" s="24" t="e">
        <v>#N/A</v>
      </c>
      <c r="ACB27" s="24" t="e">
        <v>#N/A</v>
      </c>
      <c r="ACC27" s="24" t="e">
        <v>#N/A</v>
      </c>
      <c r="ACD27" s="24" t="e">
        <v>#N/A</v>
      </c>
      <c r="ACE27" s="24" t="e">
        <v>#N/A</v>
      </c>
      <c r="ACF27" s="24" t="e">
        <v>#N/A</v>
      </c>
      <c r="ACG27" s="24" t="e">
        <v>#N/A</v>
      </c>
      <c r="ACH27" s="24" t="e">
        <v>#N/A</v>
      </c>
      <c r="ACI27" s="24" t="e">
        <v>#N/A</v>
      </c>
      <c r="ACJ27" s="24" t="e">
        <v>#N/A</v>
      </c>
      <c r="ACK27" s="24" t="e">
        <v>#N/A</v>
      </c>
      <c r="ACL27" s="24" t="e">
        <v>#N/A</v>
      </c>
      <c r="ACM27" s="24" t="e">
        <v>#N/A</v>
      </c>
      <c r="ACN27" s="24" t="e">
        <v>#N/A</v>
      </c>
      <c r="ACO27" s="24" t="e">
        <v>#N/A</v>
      </c>
      <c r="ACP27" s="24" t="e">
        <v>#N/A</v>
      </c>
      <c r="ACQ27" s="24" t="e">
        <v>#N/A</v>
      </c>
      <c r="ACR27" s="24" t="e">
        <v>#N/A</v>
      </c>
      <c r="ACS27" s="24" t="e">
        <v>#N/A</v>
      </c>
      <c r="ACT27" s="24" t="e">
        <v>#N/A</v>
      </c>
      <c r="ACU27" s="24" t="e">
        <v>#N/A</v>
      </c>
      <c r="ACV27" s="24" t="e">
        <v>#N/A</v>
      </c>
      <c r="ACW27" s="24" t="e">
        <v>#N/A</v>
      </c>
      <c r="ACX27" s="24" t="e">
        <v>#N/A</v>
      </c>
      <c r="ACY27" s="24" t="e">
        <v>#N/A</v>
      </c>
      <c r="ACZ27" s="24" t="e">
        <v>#N/A</v>
      </c>
      <c r="ADA27" s="24" t="e">
        <v>#N/A</v>
      </c>
      <c r="ADB27" s="24" t="e">
        <v>#N/A</v>
      </c>
      <c r="ADC27" s="24" t="e">
        <v>#N/A</v>
      </c>
      <c r="ADD27" s="24" t="e">
        <v>#N/A</v>
      </c>
      <c r="ADE27" s="24" t="e">
        <v>#N/A</v>
      </c>
      <c r="ADF27" s="24" t="e">
        <v>#N/A</v>
      </c>
      <c r="ADG27" s="24" t="e">
        <v>#N/A</v>
      </c>
      <c r="ADH27" s="24" t="e">
        <v>#N/A</v>
      </c>
      <c r="ADI27" s="24" t="e">
        <v>#N/A</v>
      </c>
      <c r="ADJ27" s="24" t="e">
        <v>#N/A</v>
      </c>
      <c r="ADK27" s="24" t="e">
        <v>#N/A</v>
      </c>
      <c r="ADL27" s="24" t="e">
        <v>#N/A</v>
      </c>
      <c r="ADM27" s="24" t="e">
        <v>#N/A</v>
      </c>
      <c r="ADN27" s="24" t="e">
        <v>#N/A</v>
      </c>
      <c r="ADO27" s="24" t="e">
        <v>#N/A</v>
      </c>
      <c r="ADP27" s="24" t="e">
        <v>#N/A</v>
      </c>
      <c r="ADQ27" s="24" t="e">
        <v>#N/A</v>
      </c>
      <c r="ADR27" s="24" t="e">
        <v>#N/A</v>
      </c>
      <c r="ADS27" s="24" t="e">
        <v>#N/A</v>
      </c>
      <c r="ADT27" s="24" t="e">
        <v>#N/A</v>
      </c>
      <c r="ADU27" s="24" t="e">
        <v>#N/A</v>
      </c>
      <c r="ADV27" s="24" t="e">
        <v>#N/A</v>
      </c>
      <c r="ADW27" s="24" t="e">
        <v>#N/A</v>
      </c>
      <c r="ADX27" s="24" t="e">
        <v>#N/A</v>
      </c>
      <c r="ADY27" s="24" t="e">
        <v>#N/A</v>
      </c>
      <c r="ADZ27" s="24" t="e">
        <v>#N/A</v>
      </c>
      <c r="AEA27" s="24" t="e">
        <v>#N/A</v>
      </c>
      <c r="AEB27" s="24" t="e">
        <v>#N/A</v>
      </c>
      <c r="AEC27" s="24" t="e">
        <v>#N/A</v>
      </c>
      <c r="AED27" s="24" t="e">
        <v>#N/A</v>
      </c>
      <c r="AEE27" s="24" t="e">
        <v>#N/A</v>
      </c>
      <c r="AEF27" s="24" t="e">
        <v>#N/A</v>
      </c>
      <c r="AEG27" s="24" t="e">
        <v>#N/A</v>
      </c>
      <c r="AEH27" s="24" t="e">
        <v>#N/A</v>
      </c>
      <c r="AEI27" s="24" t="e">
        <v>#N/A</v>
      </c>
      <c r="AEJ27" s="24" t="e">
        <v>#N/A</v>
      </c>
      <c r="AEK27" s="24" t="e">
        <v>#N/A</v>
      </c>
      <c r="AEL27" s="24" t="e">
        <v>#N/A</v>
      </c>
      <c r="AEM27" s="24" t="e">
        <v>#N/A</v>
      </c>
      <c r="AEN27" s="24" t="e">
        <v>#N/A</v>
      </c>
      <c r="AEO27" s="24" t="e">
        <v>#N/A</v>
      </c>
      <c r="AEP27" s="24" t="e">
        <v>#N/A</v>
      </c>
      <c r="AEQ27" s="24" t="e">
        <v>#N/A</v>
      </c>
      <c r="AER27" s="24" t="e">
        <v>#N/A</v>
      </c>
      <c r="AES27" s="24" t="e">
        <v>#N/A</v>
      </c>
      <c r="AET27" s="24" t="e">
        <v>#N/A</v>
      </c>
      <c r="AEU27" s="24" t="e">
        <v>#N/A</v>
      </c>
      <c r="AEV27" s="24" t="e">
        <v>#N/A</v>
      </c>
      <c r="AEW27" s="24" t="e">
        <v>#N/A</v>
      </c>
      <c r="AEX27" s="24" t="e">
        <v>#N/A</v>
      </c>
      <c r="AEY27" s="24" t="e">
        <v>#N/A</v>
      </c>
      <c r="AEZ27" s="24" t="e">
        <v>#N/A</v>
      </c>
      <c r="AFA27" s="24" t="e">
        <v>#N/A</v>
      </c>
      <c r="AFB27" s="24" t="e">
        <v>#N/A</v>
      </c>
      <c r="AFC27" s="24" t="e">
        <v>#N/A</v>
      </c>
      <c r="AFD27" s="24" t="e">
        <v>#N/A</v>
      </c>
      <c r="AFE27" s="24" t="e">
        <v>#N/A</v>
      </c>
      <c r="AFF27" s="24" t="e">
        <v>#N/A</v>
      </c>
      <c r="AFG27" s="24" t="e">
        <v>#N/A</v>
      </c>
      <c r="AFH27" s="24" t="e">
        <v>#N/A</v>
      </c>
      <c r="AFI27" s="24" t="e">
        <v>#N/A</v>
      </c>
      <c r="AFJ27" s="24" t="e">
        <v>#N/A</v>
      </c>
      <c r="AFK27" s="24" t="e">
        <v>#N/A</v>
      </c>
      <c r="AFL27" s="24" t="e">
        <v>#N/A</v>
      </c>
      <c r="AFM27" s="24" t="e">
        <v>#N/A</v>
      </c>
      <c r="AFN27" s="24" t="e">
        <v>#N/A</v>
      </c>
      <c r="AFO27" s="24" t="e">
        <v>#N/A</v>
      </c>
      <c r="AFP27" s="24" t="e">
        <v>#N/A</v>
      </c>
      <c r="AFQ27" s="24" t="e">
        <v>#N/A</v>
      </c>
      <c r="AFR27" s="24" t="e">
        <v>#N/A</v>
      </c>
      <c r="AFS27" s="24" t="e">
        <v>#N/A</v>
      </c>
      <c r="AFT27" s="24" t="e">
        <v>#N/A</v>
      </c>
      <c r="AFU27" s="24" t="e">
        <v>#N/A</v>
      </c>
      <c r="AFV27" s="24" t="e">
        <v>#N/A</v>
      </c>
      <c r="AFW27" s="24" t="e">
        <v>#N/A</v>
      </c>
      <c r="AFX27" s="24" t="e">
        <v>#N/A</v>
      </c>
      <c r="AFY27" s="24" t="e">
        <v>#N/A</v>
      </c>
      <c r="AFZ27" s="24" t="e">
        <v>#N/A</v>
      </c>
      <c r="AGA27" s="24" t="e">
        <v>#N/A</v>
      </c>
      <c r="AGB27" s="24" t="e">
        <v>#N/A</v>
      </c>
      <c r="AGC27" s="24" t="e">
        <v>#N/A</v>
      </c>
      <c r="AGD27" s="24" t="e">
        <v>#N/A</v>
      </c>
      <c r="AGE27" s="24" t="e">
        <v>#N/A</v>
      </c>
      <c r="AGF27" s="24" t="e">
        <v>#N/A</v>
      </c>
      <c r="AGG27" s="24" t="e">
        <v>#N/A</v>
      </c>
      <c r="AGH27" s="24" t="e">
        <v>#N/A</v>
      </c>
      <c r="AGI27" s="24" t="e">
        <v>#N/A</v>
      </c>
      <c r="AGJ27" s="24" t="e">
        <v>#N/A</v>
      </c>
      <c r="AGK27" s="24" t="e">
        <v>#N/A</v>
      </c>
      <c r="AGL27" s="24" t="e">
        <v>#N/A</v>
      </c>
      <c r="AGM27" s="24" t="e">
        <v>#N/A</v>
      </c>
      <c r="AGN27" s="24" t="e">
        <v>#N/A</v>
      </c>
      <c r="AGO27" s="24" t="e">
        <v>#N/A</v>
      </c>
      <c r="AGP27" s="24" t="e">
        <v>#N/A</v>
      </c>
      <c r="AGQ27" s="24" t="e">
        <v>#N/A</v>
      </c>
      <c r="AGR27" s="24" t="e">
        <v>#N/A</v>
      </c>
      <c r="AGS27" s="24" t="e">
        <v>#N/A</v>
      </c>
      <c r="AGT27" s="24" t="e">
        <v>#N/A</v>
      </c>
      <c r="AGU27" s="24" t="e">
        <v>#N/A</v>
      </c>
      <c r="AGV27" s="24" t="e">
        <v>#N/A</v>
      </c>
      <c r="AGW27" s="24" t="e">
        <v>#N/A</v>
      </c>
      <c r="AGX27" s="24" t="e">
        <v>#N/A</v>
      </c>
      <c r="AGY27" s="24" t="e">
        <v>#N/A</v>
      </c>
      <c r="AGZ27" s="24" t="e">
        <v>#N/A</v>
      </c>
      <c r="AHA27" s="24" t="e">
        <v>#N/A</v>
      </c>
      <c r="AHB27" s="24" t="e">
        <v>#N/A</v>
      </c>
      <c r="AHC27" s="24" t="e">
        <v>#N/A</v>
      </c>
      <c r="AHD27" s="24" t="e">
        <v>#N/A</v>
      </c>
      <c r="AHE27" s="24" t="e">
        <v>#N/A</v>
      </c>
      <c r="AHF27" s="24" t="e">
        <v>#N/A</v>
      </c>
      <c r="AHG27" s="24" t="e">
        <v>#N/A</v>
      </c>
      <c r="AHH27" s="24" t="e">
        <v>#N/A</v>
      </c>
      <c r="AHI27" s="24" t="e">
        <v>#N/A</v>
      </c>
      <c r="AHJ27" s="24" t="e">
        <v>#N/A</v>
      </c>
      <c r="AHK27" s="24" t="e">
        <v>#N/A</v>
      </c>
      <c r="AHL27" s="24" t="e">
        <v>#N/A</v>
      </c>
      <c r="AHM27" s="24" t="e">
        <v>#N/A</v>
      </c>
      <c r="AHN27" s="24" t="e">
        <v>#N/A</v>
      </c>
      <c r="AHO27" s="24" t="e">
        <v>#N/A</v>
      </c>
      <c r="AHP27" s="24" t="e">
        <v>#N/A</v>
      </c>
      <c r="AHQ27" s="24" t="e">
        <v>#N/A</v>
      </c>
      <c r="AHR27" s="24" t="e">
        <v>#N/A</v>
      </c>
      <c r="AHS27" s="24" t="e">
        <v>#N/A</v>
      </c>
      <c r="AHT27" s="24" t="e">
        <v>#N/A</v>
      </c>
      <c r="AHU27" s="24" t="e">
        <v>#N/A</v>
      </c>
      <c r="AHV27" s="24" t="e">
        <v>#N/A</v>
      </c>
      <c r="AHW27" s="24" t="e">
        <v>#N/A</v>
      </c>
      <c r="AHX27" s="24" t="e">
        <v>#N/A</v>
      </c>
      <c r="AHY27" s="24" t="e">
        <v>#N/A</v>
      </c>
      <c r="AHZ27" s="24" t="e">
        <v>#N/A</v>
      </c>
      <c r="AIA27" s="24" t="e">
        <v>#N/A</v>
      </c>
      <c r="AIB27" s="24" t="e">
        <v>#N/A</v>
      </c>
      <c r="AIC27" s="24" t="e">
        <v>#N/A</v>
      </c>
      <c r="AID27" s="24" t="e">
        <v>#N/A</v>
      </c>
      <c r="AIE27" s="24" t="e">
        <v>#N/A</v>
      </c>
      <c r="AIF27" s="24" t="e">
        <v>#N/A</v>
      </c>
      <c r="AIG27" s="24" t="e">
        <v>#N/A</v>
      </c>
      <c r="AIH27" s="24" t="e">
        <v>#N/A</v>
      </c>
      <c r="AII27" s="24" t="e">
        <v>#N/A</v>
      </c>
      <c r="AIJ27" s="24" t="e">
        <v>#N/A</v>
      </c>
      <c r="AIK27" s="24" t="e">
        <v>#N/A</v>
      </c>
      <c r="AIL27" s="24" t="e">
        <v>#N/A</v>
      </c>
      <c r="AIM27" s="24" t="e">
        <v>#N/A</v>
      </c>
      <c r="AIN27" s="24" t="e">
        <v>#N/A</v>
      </c>
      <c r="AIO27" s="24" t="e">
        <v>#N/A</v>
      </c>
      <c r="AIP27" s="24" t="e">
        <v>#N/A</v>
      </c>
      <c r="AIQ27" s="24" t="e">
        <v>#N/A</v>
      </c>
      <c r="AIR27" s="24" t="e">
        <v>#N/A</v>
      </c>
      <c r="AIS27" s="24" t="e">
        <v>#N/A</v>
      </c>
      <c r="AIT27" s="24" t="e">
        <v>#N/A</v>
      </c>
      <c r="AIU27" s="24" t="e">
        <v>#N/A</v>
      </c>
      <c r="AIV27" s="24" t="e">
        <v>#N/A</v>
      </c>
      <c r="AIW27" s="24" t="e">
        <v>#N/A</v>
      </c>
      <c r="AIX27" s="24" t="e">
        <v>#N/A</v>
      </c>
      <c r="AIY27" s="24" t="e">
        <v>#N/A</v>
      </c>
      <c r="AIZ27" s="24" t="e">
        <v>#N/A</v>
      </c>
      <c r="AJA27" s="24" t="e">
        <v>#N/A</v>
      </c>
      <c r="AJB27" s="24" t="e">
        <v>#N/A</v>
      </c>
      <c r="AJC27" s="24" t="e">
        <v>#N/A</v>
      </c>
      <c r="AJD27" s="24" t="e">
        <v>#N/A</v>
      </c>
      <c r="AJE27" s="24" t="e">
        <v>#N/A</v>
      </c>
      <c r="AJF27" s="24" t="e">
        <v>#N/A</v>
      </c>
      <c r="AJG27" s="24" t="e">
        <v>#N/A</v>
      </c>
      <c r="AJH27" s="24" t="e">
        <v>#N/A</v>
      </c>
      <c r="AJI27" s="24" t="e">
        <v>#N/A</v>
      </c>
      <c r="AJJ27" s="24" t="e">
        <v>#N/A</v>
      </c>
      <c r="AJK27" s="24" t="e">
        <v>#N/A</v>
      </c>
      <c r="AJL27" s="24" t="e">
        <v>#N/A</v>
      </c>
      <c r="AJM27" s="24" t="e">
        <v>#N/A</v>
      </c>
      <c r="AJN27" s="24" t="e">
        <v>#N/A</v>
      </c>
      <c r="AJO27" s="24" t="e">
        <v>#N/A</v>
      </c>
      <c r="AJP27" s="24" t="e">
        <v>#N/A</v>
      </c>
      <c r="AJQ27" s="24" t="e">
        <v>#N/A</v>
      </c>
      <c r="AJR27" s="24" t="e">
        <v>#N/A</v>
      </c>
      <c r="AJS27" s="24" t="e">
        <v>#N/A</v>
      </c>
      <c r="AJT27" s="24" t="e">
        <v>#N/A</v>
      </c>
      <c r="AJU27" s="24" t="e">
        <v>#N/A</v>
      </c>
      <c r="AJV27" s="24" t="e">
        <v>#N/A</v>
      </c>
      <c r="AJW27" s="24" t="e">
        <v>#N/A</v>
      </c>
      <c r="AJX27" s="24" t="e">
        <v>#N/A</v>
      </c>
      <c r="AJY27" s="24" t="e">
        <v>#N/A</v>
      </c>
      <c r="AJZ27" s="24" t="e">
        <v>#N/A</v>
      </c>
      <c r="AKA27" s="24" t="e">
        <v>#N/A</v>
      </c>
      <c r="AKB27" s="24" t="e">
        <v>#N/A</v>
      </c>
      <c r="AKC27" s="24" t="e">
        <v>#N/A</v>
      </c>
      <c r="AKD27" s="24" t="e">
        <v>#N/A</v>
      </c>
      <c r="AKE27" s="24" t="e">
        <v>#N/A</v>
      </c>
      <c r="AKF27" s="24" t="e">
        <v>#N/A</v>
      </c>
      <c r="AKG27" s="24" t="e">
        <v>#N/A</v>
      </c>
      <c r="AKH27" s="24" t="e">
        <v>#N/A</v>
      </c>
      <c r="AKI27" s="24" t="e">
        <v>#N/A</v>
      </c>
      <c r="AKJ27" s="24" t="e">
        <v>#N/A</v>
      </c>
      <c r="AKK27" s="24" t="e">
        <v>#N/A</v>
      </c>
      <c r="AKL27" s="24" t="e">
        <v>#N/A</v>
      </c>
      <c r="AKM27" s="24" t="e">
        <v>#N/A</v>
      </c>
      <c r="AKN27" s="24" t="e">
        <v>#N/A</v>
      </c>
      <c r="AKO27" s="24" t="e">
        <v>#N/A</v>
      </c>
      <c r="AKP27" s="24" t="e">
        <v>#N/A</v>
      </c>
      <c r="AKQ27" s="24" t="e">
        <v>#N/A</v>
      </c>
      <c r="AKR27" s="24" t="e">
        <v>#N/A</v>
      </c>
      <c r="AKS27" s="24" t="e">
        <v>#N/A</v>
      </c>
      <c r="AKT27" s="24" t="e">
        <v>#N/A</v>
      </c>
      <c r="AKU27" s="24" t="e">
        <v>#N/A</v>
      </c>
      <c r="AKV27" s="24" t="e">
        <v>#N/A</v>
      </c>
      <c r="AKW27" s="24" t="e">
        <v>#N/A</v>
      </c>
      <c r="AKX27" s="24" t="e">
        <v>#N/A</v>
      </c>
      <c r="AKY27" s="24" t="e">
        <v>#N/A</v>
      </c>
      <c r="AKZ27" s="24" t="e">
        <v>#N/A</v>
      </c>
      <c r="ALA27" s="24" t="e">
        <v>#N/A</v>
      </c>
      <c r="ALB27" s="24" t="e">
        <v>#N/A</v>
      </c>
      <c r="ALC27" s="24" t="e">
        <v>#N/A</v>
      </c>
      <c r="ALD27" s="24" t="e">
        <v>#N/A</v>
      </c>
      <c r="ALE27" s="24" t="e">
        <v>#N/A</v>
      </c>
      <c r="ALF27" s="24" t="e">
        <v>#N/A</v>
      </c>
      <c r="ALG27" s="24" t="e">
        <v>#N/A</v>
      </c>
      <c r="ALH27" s="24" t="e">
        <v>#N/A</v>
      </c>
      <c r="ALI27" s="24" t="e">
        <v>#N/A</v>
      </c>
      <c r="ALJ27" s="24" t="e">
        <v>#N/A</v>
      </c>
      <c r="ALK27" s="24" t="e">
        <v>#N/A</v>
      </c>
      <c r="ALL27" s="24" t="e">
        <v>#N/A</v>
      </c>
      <c r="ALM27" s="24" t="e">
        <v>#N/A</v>
      </c>
      <c r="ALN27" s="24" t="e">
        <v>#N/A</v>
      </c>
      <c r="ALO27" s="24" t="e">
        <v>#N/A</v>
      </c>
      <c r="ALP27" s="24" t="e">
        <v>#N/A</v>
      </c>
      <c r="ALQ27" s="24" t="e">
        <v>#N/A</v>
      </c>
      <c r="ALR27" s="24" t="e">
        <v>#N/A</v>
      </c>
      <c r="ALS27" s="24" t="e">
        <v>#N/A</v>
      </c>
      <c r="ALT27" s="24" t="e">
        <v>#N/A</v>
      </c>
      <c r="ALU27" s="24" t="e">
        <v>#N/A</v>
      </c>
      <c r="ALV27" s="24" t="e">
        <v>#N/A</v>
      </c>
      <c r="ALW27" s="24" t="e">
        <v>#N/A</v>
      </c>
      <c r="ALX27" s="24" t="e">
        <v>#N/A</v>
      </c>
      <c r="ALY27" s="24" t="e">
        <v>#N/A</v>
      </c>
      <c r="ALZ27" s="24" t="e">
        <v>#N/A</v>
      </c>
      <c r="AMA27" s="24" t="e">
        <v>#N/A</v>
      </c>
      <c r="AMB27" s="24" t="e">
        <v>#N/A</v>
      </c>
      <c r="AMC27" s="24" t="e">
        <v>#N/A</v>
      </c>
      <c r="AMD27" s="24" t="e">
        <v>#N/A</v>
      </c>
      <c r="AME27" s="24" t="e">
        <v>#N/A</v>
      </c>
      <c r="AMF27" s="24" t="e">
        <v>#N/A</v>
      </c>
      <c r="AMG27" s="24" t="e">
        <v>#N/A</v>
      </c>
      <c r="AMH27" s="24" t="e">
        <v>#N/A</v>
      </c>
      <c r="AMI27" s="24" t="e">
        <v>#N/A</v>
      </c>
      <c r="AMJ27" s="24" t="e">
        <v>#N/A</v>
      </c>
      <c r="AMK27" s="24" t="e">
        <v>#N/A</v>
      </c>
      <c r="AML27" s="24" t="e">
        <v>#N/A</v>
      </c>
      <c r="AMM27" s="24" t="e">
        <v>#N/A</v>
      </c>
      <c r="AMN27" s="24" t="e">
        <v>#N/A</v>
      </c>
      <c r="AMO27" s="24" t="e">
        <v>#N/A</v>
      </c>
      <c r="AMP27" s="24" t="e">
        <v>#N/A</v>
      </c>
      <c r="AMQ27" s="24" t="e">
        <v>#N/A</v>
      </c>
      <c r="AMR27" s="24" t="e">
        <v>#N/A</v>
      </c>
      <c r="AMS27" s="24" t="e">
        <v>#N/A</v>
      </c>
      <c r="AMT27" s="24" t="e">
        <v>#N/A</v>
      </c>
      <c r="AMU27" s="24" t="e">
        <v>#N/A</v>
      </c>
      <c r="AMV27" s="24" t="e">
        <v>#N/A</v>
      </c>
      <c r="AMW27" s="24" t="e">
        <v>#N/A</v>
      </c>
      <c r="AMX27" s="24" t="e">
        <v>#N/A</v>
      </c>
      <c r="AMY27" s="24" t="e">
        <v>#N/A</v>
      </c>
      <c r="AMZ27" s="24" t="e">
        <v>#N/A</v>
      </c>
      <c r="ANA27" s="24" t="e">
        <v>#N/A</v>
      </c>
      <c r="ANB27" s="24" t="e">
        <v>#N/A</v>
      </c>
      <c r="ANC27" s="24" t="e">
        <v>#N/A</v>
      </c>
      <c r="AND27" s="24" t="e">
        <v>#N/A</v>
      </c>
      <c r="ANE27" s="24" t="e">
        <v>#N/A</v>
      </c>
      <c r="ANF27" s="24" t="e">
        <v>#N/A</v>
      </c>
      <c r="ANG27" s="24" t="e">
        <v>#N/A</v>
      </c>
      <c r="ANH27" s="24" t="e">
        <v>#N/A</v>
      </c>
      <c r="ANI27" s="24" t="e">
        <v>#N/A</v>
      </c>
      <c r="ANJ27" s="24" t="e">
        <v>#N/A</v>
      </c>
      <c r="ANK27" s="24" t="e">
        <v>#N/A</v>
      </c>
      <c r="ANL27" s="24" t="e">
        <v>#N/A</v>
      </c>
      <c r="ANM27" s="24" t="e">
        <v>#N/A</v>
      </c>
      <c r="ANN27" s="24" t="e">
        <v>#N/A</v>
      </c>
      <c r="ANO27" s="24" t="e">
        <v>#N/A</v>
      </c>
      <c r="ANP27" s="24" t="e">
        <v>#N/A</v>
      </c>
      <c r="ANQ27" s="24" t="e">
        <v>#N/A</v>
      </c>
      <c r="ANR27" s="24" t="e">
        <v>#N/A</v>
      </c>
      <c r="ANS27" s="24" t="e">
        <v>#N/A</v>
      </c>
      <c r="ANT27" s="24" t="e">
        <v>#N/A</v>
      </c>
      <c r="ANU27" s="24" t="e">
        <v>#N/A</v>
      </c>
      <c r="ANV27" s="24" t="e">
        <v>#N/A</v>
      </c>
      <c r="ANW27" s="24" t="e">
        <v>#N/A</v>
      </c>
      <c r="ANX27" s="24" t="e">
        <v>#N/A</v>
      </c>
      <c r="ANY27" s="24" t="e">
        <v>#N/A</v>
      </c>
      <c r="ANZ27" s="24" t="e">
        <v>#N/A</v>
      </c>
      <c r="AOA27" s="24" t="e">
        <v>#N/A</v>
      </c>
      <c r="AOB27" s="24" t="e">
        <v>#N/A</v>
      </c>
      <c r="AOC27" s="24" t="e">
        <v>#N/A</v>
      </c>
      <c r="AOD27" s="24" t="e">
        <v>#N/A</v>
      </c>
      <c r="AOE27" s="24" t="e">
        <v>#N/A</v>
      </c>
      <c r="AOF27" s="24" t="e">
        <v>#N/A</v>
      </c>
      <c r="AOG27" s="24" t="e">
        <v>#N/A</v>
      </c>
      <c r="AOH27" s="24" t="e">
        <v>#N/A</v>
      </c>
      <c r="AOI27" s="24" t="e">
        <v>#N/A</v>
      </c>
      <c r="AOJ27" s="24" t="e">
        <v>#N/A</v>
      </c>
      <c r="AOK27" s="24" t="e">
        <v>#N/A</v>
      </c>
      <c r="AOL27" s="24" t="e">
        <v>#N/A</v>
      </c>
      <c r="AOM27" s="24" t="e">
        <v>#N/A</v>
      </c>
      <c r="AON27" s="24" t="e">
        <v>#N/A</v>
      </c>
      <c r="AOO27" s="24" t="e">
        <v>#N/A</v>
      </c>
      <c r="AOP27" s="24" t="e">
        <v>#N/A</v>
      </c>
      <c r="AOQ27" s="24" t="e">
        <v>#N/A</v>
      </c>
      <c r="AOR27" s="24" t="e">
        <v>#N/A</v>
      </c>
      <c r="AOS27" s="24" t="e">
        <v>#N/A</v>
      </c>
      <c r="AOT27" s="24" t="e">
        <v>#N/A</v>
      </c>
      <c r="AOU27" s="24" t="e">
        <v>#N/A</v>
      </c>
      <c r="AOV27" s="24" t="e">
        <v>#N/A</v>
      </c>
      <c r="AOW27" s="24" t="e">
        <v>#N/A</v>
      </c>
      <c r="AOX27" s="24" t="e">
        <v>#N/A</v>
      </c>
      <c r="AOY27" s="24" t="e">
        <v>#N/A</v>
      </c>
      <c r="AOZ27" s="24" t="e">
        <v>#N/A</v>
      </c>
      <c r="APA27" s="24" t="e">
        <v>#N/A</v>
      </c>
      <c r="APB27" s="24" t="e">
        <v>#N/A</v>
      </c>
      <c r="APC27" s="24" t="e">
        <v>#N/A</v>
      </c>
      <c r="APD27" s="24" t="e">
        <v>#N/A</v>
      </c>
      <c r="APE27" s="24" t="e">
        <v>#N/A</v>
      </c>
      <c r="APF27" s="24" t="e">
        <v>#N/A</v>
      </c>
      <c r="APG27" s="24" t="e">
        <v>#N/A</v>
      </c>
      <c r="APH27" s="24" t="e">
        <v>#N/A</v>
      </c>
      <c r="API27" s="24" t="e">
        <v>#N/A</v>
      </c>
      <c r="APJ27" s="24" t="e">
        <v>#N/A</v>
      </c>
      <c r="APK27" s="24" t="e">
        <v>#N/A</v>
      </c>
      <c r="APL27" s="24" t="e">
        <v>#N/A</v>
      </c>
      <c r="APM27" s="24" t="e">
        <v>#N/A</v>
      </c>
      <c r="APN27" s="24" t="e">
        <v>#N/A</v>
      </c>
      <c r="APO27" s="24" t="e">
        <v>#N/A</v>
      </c>
      <c r="APP27" s="24" t="e">
        <v>#N/A</v>
      </c>
      <c r="APQ27" s="24" t="e">
        <v>#N/A</v>
      </c>
      <c r="APR27" s="24" t="e">
        <v>#N/A</v>
      </c>
      <c r="APS27" s="24" t="e">
        <v>#N/A</v>
      </c>
      <c r="APT27" s="24" t="e">
        <v>#N/A</v>
      </c>
      <c r="APU27" s="24" t="e">
        <v>#N/A</v>
      </c>
      <c r="APV27" s="24" t="e">
        <v>#N/A</v>
      </c>
      <c r="APW27" s="24" t="e">
        <v>#N/A</v>
      </c>
      <c r="APX27" s="24" t="e">
        <v>#N/A</v>
      </c>
      <c r="APY27" s="24" t="e">
        <v>#N/A</v>
      </c>
      <c r="APZ27" s="24" t="e">
        <v>#N/A</v>
      </c>
      <c r="AQA27" s="24" t="e">
        <v>#N/A</v>
      </c>
      <c r="AQB27" s="24" t="e">
        <v>#N/A</v>
      </c>
      <c r="AQC27" s="24" t="e">
        <v>#N/A</v>
      </c>
      <c r="AQD27" s="24" t="e">
        <v>#N/A</v>
      </c>
      <c r="AQE27" s="24" t="e">
        <v>#N/A</v>
      </c>
      <c r="AQF27" s="24" t="e">
        <v>#N/A</v>
      </c>
      <c r="AQG27" s="24" t="e">
        <v>#N/A</v>
      </c>
      <c r="AQH27" s="24" t="e">
        <v>#N/A</v>
      </c>
      <c r="AQI27" s="24" t="e">
        <v>#N/A</v>
      </c>
      <c r="AQJ27" s="24" t="e">
        <v>#N/A</v>
      </c>
      <c r="AQK27" s="24" t="e">
        <v>#N/A</v>
      </c>
      <c r="AQL27" s="24" t="e">
        <v>#N/A</v>
      </c>
      <c r="AQM27" s="24" t="e">
        <v>#N/A</v>
      </c>
      <c r="AQN27" s="24" t="e">
        <v>#N/A</v>
      </c>
      <c r="AQO27" s="24" t="e">
        <v>#N/A</v>
      </c>
      <c r="AQP27" s="24" t="e">
        <v>#N/A</v>
      </c>
      <c r="AQQ27" s="24" t="e">
        <v>#N/A</v>
      </c>
      <c r="AQR27" s="24" t="e">
        <v>#N/A</v>
      </c>
      <c r="AQS27" s="24" t="e">
        <v>#N/A</v>
      </c>
      <c r="AQT27" s="24" t="e">
        <v>#N/A</v>
      </c>
      <c r="AQU27" s="24" t="e">
        <v>#N/A</v>
      </c>
      <c r="AQV27" s="24" t="e">
        <v>#N/A</v>
      </c>
      <c r="AQW27" s="24" t="e">
        <v>#N/A</v>
      </c>
      <c r="AQX27" s="24" t="e">
        <v>#N/A</v>
      </c>
      <c r="AQY27" s="24" t="e">
        <v>#N/A</v>
      </c>
      <c r="AQZ27" s="24" t="e">
        <v>#N/A</v>
      </c>
      <c r="ARA27" s="24" t="e">
        <v>#N/A</v>
      </c>
      <c r="ARB27" s="24" t="e">
        <v>#N/A</v>
      </c>
      <c r="ARC27" s="24" t="e">
        <v>#N/A</v>
      </c>
      <c r="ARD27" s="24" t="e">
        <v>#N/A</v>
      </c>
      <c r="ARE27" s="24" t="e">
        <v>#N/A</v>
      </c>
      <c r="ARF27" s="24" t="e">
        <v>#N/A</v>
      </c>
      <c r="ARG27" s="24" t="e">
        <v>#N/A</v>
      </c>
      <c r="ARH27" s="24" t="e">
        <v>#N/A</v>
      </c>
      <c r="ARI27" s="24" t="e">
        <v>#N/A</v>
      </c>
      <c r="ARJ27" s="24" t="e">
        <v>#N/A</v>
      </c>
      <c r="ARK27" s="24" t="e">
        <v>#N/A</v>
      </c>
      <c r="ARL27" s="24" t="e">
        <v>#N/A</v>
      </c>
      <c r="ARM27" s="24" t="e">
        <v>#N/A</v>
      </c>
      <c r="ARN27" s="24" t="e">
        <v>#N/A</v>
      </c>
      <c r="ARO27" s="24" t="e">
        <v>#N/A</v>
      </c>
      <c r="ARP27" s="24" t="e">
        <v>#N/A</v>
      </c>
      <c r="ARQ27" s="24" t="e">
        <v>#N/A</v>
      </c>
      <c r="ARR27" s="24" t="e">
        <v>#N/A</v>
      </c>
      <c r="ARS27" s="24" t="e">
        <v>#N/A</v>
      </c>
      <c r="ART27" s="24" t="e">
        <v>#N/A</v>
      </c>
      <c r="ARU27" s="24" t="e">
        <v>#N/A</v>
      </c>
      <c r="ARV27" s="24" t="e">
        <v>#N/A</v>
      </c>
      <c r="ARW27" s="24" t="e">
        <v>#N/A</v>
      </c>
      <c r="ARX27" s="24" t="e">
        <v>#N/A</v>
      </c>
      <c r="ARY27" s="24" t="e">
        <v>#N/A</v>
      </c>
      <c r="ARZ27" s="24" t="e">
        <v>#N/A</v>
      </c>
      <c r="ASA27" s="24" t="e">
        <v>#N/A</v>
      </c>
      <c r="ASB27" s="24" t="e">
        <v>#N/A</v>
      </c>
      <c r="ASC27" s="24" t="e">
        <v>#N/A</v>
      </c>
      <c r="ASD27" s="24" t="e">
        <v>#N/A</v>
      </c>
      <c r="ASE27" s="24" t="e">
        <v>#N/A</v>
      </c>
      <c r="ASF27" s="24" t="e">
        <v>#N/A</v>
      </c>
      <c r="ASG27" s="24" t="e">
        <v>#N/A</v>
      </c>
      <c r="ASH27" s="24" t="e">
        <v>#N/A</v>
      </c>
      <c r="ASI27" s="24" t="e">
        <v>#N/A</v>
      </c>
      <c r="ASJ27" s="24" t="e">
        <v>#N/A</v>
      </c>
      <c r="ASK27" s="24" t="e">
        <v>#N/A</v>
      </c>
      <c r="ASL27" s="24" t="e">
        <v>#N/A</v>
      </c>
      <c r="ASM27" s="24" t="e">
        <v>#N/A</v>
      </c>
      <c r="ASN27" s="24" t="e">
        <v>#N/A</v>
      </c>
      <c r="ASO27" s="24" t="e">
        <v>#N/A</v>
      </c>
      <c r="ASP27" s="24" t="e">
        <v>#N/A</v>
      </c>
      <c r="ASQ27" s="24" t="e">
        <v>#N/A</v>
      </c>
      <c r="ASR27" s="24" t="e">
        <v>#N/A</v>
      </c>
      <c r="ASS27" s="24" t="e">
        <v>#N/A</v>
      </c>
      <c r="AST27" s="24" t="e">
        <v>#N/A</v>
      </c>
      <c r="ASU27" s="24" t="e">
        <v>#N/A</v>
      </c>
      <c r="ASV27" s="24" t="e">
        <v>#N/A</v>
      </c>
      <c r="ASW27" s="24" t="e">
        <v>#N/A</v>
      </c>
      <c r="ASX27" s="24" t="e">
        <v>#N/A</v>
      </c>
      <c r="ASY27" s="24" t="e">
        <v>#N/A</v>
      </c>
      <c r="ASZ27" s="24" t="e">
        <v>#N/A</v>
      </c>
      <c r="ATA27" s="24" t="e">
        <v>#N/A</v>
      </c>
      <c r="ATB27" s="24" t="e">
        <v>#N/A</v>
      </c>
      <c r="ATC27" s="24" t="e">
        <v>#N/A</v>
      </c>
      <c r="ATD27" s="24" t="e">
        <v>#N/A</v>
      </c>
      <c r="ATE27" s="24" t="e">
        <v>#N/A</v>
      </c>
      <c r="ATF27" s="24" t="e">
        <v>#N/A</v>
      </c>
      <c r="ATG27" s="24" t="e">
        <v>#N/A</v>
      </c>
      <c r="ATH27" s="24" t="e">
        <v>#N/A</v>
      </c>
      <c r="ATI27" s="24" t="e">
        <v>#N/A</v>
      </c>
      <c r="ATJ27" s="24" t="e">
        <v>#N/A</v>
      </c>
      <c r="ATK27" s="24" t="e">
        <v>#N/A</v>
      </c>
      <c r="ATL27" s="24" t="e">
        <v>#N/A</v>
      </c>
      <c r="ATM27" s="24" t="e">
        <v>#N/A</v>
      </c>
      <c r="ATN27" s="24" t="e">
        <v>#N/A</v>
      </c>
      <c r="ATO27" s="24" t="e">
        <v>#N/A</v>
      </c>
      <c r="ATP27" s="24" t="e">
        <v>#N/A</v>
      </c>
      <c r="ATQ27" s="24" t="e">
        <v>#N/A</v>
      </c>
      <c r="ATR27" s="24" t="e">
        <v>#N/A</v>
      </c>
      <c r="ATS27" s="24" t="e">
        <v>#N/A</v>
      </c>
      <c r="ATT27" s="24" t="e">
        <v>#N/A</v>
      </c>
      <c r="ATU27" s="24" t="e">
        <v>#N/A</v>
      </c>
      <c r="ATV27" s="24" t="e">
        <v>#N/A</v>
      </c>
      <c r="ATW27" s="24" t="e">
        <v>#N/A</v>
      </c>
      <c r="ATX27" s="24" t="e">
        <v>#N/A</v>
      </c>
      <c r="ATY27" s="24" t="e">
        <v>#N/A</v>
      </c>
      <c r="ATZ27" s="24" t="e">
        <v>#N/A</v>
      </c>
      <c r="AUA27" s="24" t="e">
        <v>#N/A</v>
      </c>
      <c r="AUB27" s="24" t="e">
        <v>#N/A</v>
      </c>
      <c r="AUC27" s="24" t="e">
        <v>#N/A</v>
      </c>
      <c r="AUD27" s="24" t="e">
        <v>#N/A</v>
      </c>
      <c r="AUE27" s="24" t="e">
        <v>#N/A</v>
      </c>
      <c r="AUF27" s="24" t="e">
        <v>#N/A</v>
      </c>
      <c r="AUG27" s="24" t="e">
        <v>#N/A</v>
      </c>
      <c r="AUH27" s="24" t="e">
        <v>#N/A</v>
      </c>
      <c r="AUI27" s="24" t="e">
        <v>#N/A</v>
      </c>
      <c r="AUJ27" s="24" t="e">
        <v>#N/A</v>
      </c>
      <c r="AUK27" s="24" t="e">
        <v>#N/A</v>
      </c>
      <c r="AUL27" s="24" t="e">
        <v>#N/A</v>
      </c>
      <c r="AUM27" s="24" t="e">
        <v>#N/A</v>
      </c>
      <c r="AUN27" s="24" t="e">
        <v>#N/A</v>
      </c>
      <c r="AUO27" s="24" t="e">
        <v>#N/A</v>
      </c>
      <c r="AUP27" s="24" t="e">
        <v>#N/A</v>
      </c>
      <c r="AUQ27" s="24" t="e">
        <v>#N/A</v>
      </c>
      <c r="AUR27" s="24" t="e">
        <v>#N/A</v>
      </c>
      <c r="AUS27" s="24" t="e">
        <v>#N/A</v>
      </c>
      <c r="AUT27" s="24" t="e">
        <v>#N/A</v>
      </c>
      <c r="AUU27" s="24" t="e">
        <v>#N/A</v>
      </c>
      <c r="AUV27" s="24" t="e">
        <v>#N/A</v>
      </c>
      <c r="AUW27" s="24" t="e">
        <v>#N/A</v>
      </c>
      <c r="AUX27" s="24" t="e">
        <v>#N/A</v>
      </c>
      <c r="AUY27" s="24" t="e">
        <v>#N/A</v>
      </c>
      <c r="AUZ27" s="24" t="e">
        <v>#N/A</v>
      </c>
      <c r="AVA27" s="24" t="e">
        <v>#N/A</v>
      </c>
      <c r="AVB27" s="24" t="e">
        <v>#N/A</v>
      </c>
      <c r="AVC27" s="24" t="e">
        <v>#N/A</v>
      </c>
      <c r="AVD27" s="24" t="e">
        <v>#N/A</v>
      </c>
      <c r="AVE27" s="24" t="e">
        <v>#N/A</v>
      </c>
      <c r="AVF27" s="24" t="e">
        <v>#N/A</v>
      </c>
      <c r="AVG27" s="24" t="e">
        <v>#N/A</v>
      </c>
      <c r="AVH27" s="24" t="e">
        <v>#N/A</v>
      </c>
      <c r="AVI27" s="24" t="e">
        <v>#N/A</v>
      </c>
      <c r="AVJ27" s="24" t="e">
        <v>#N/A</v>
      </c>
      <c r="AVK27" s="24" t="e">
        <v>#N/A</v>
      </c>
      <c r="AVL27" s="24" t="e">
        <v>#N/A</v>
      </c>
      <c r="AVM27" s="24" t="e">
        <v>#N/A</v>
      </c>
      <c r="AVN27" s="24" t="e">
        <v>#N/A</v>
      </c>
      <c r="AVO27" s="24" t="e">
        <v>#N/A</v>
      </c>
      <c r="AVP27" s="24" t="e">
        <v>#N/A</v>
      </c>
      <c r="AVQ27" s="24" t="e">
        <v>#N/A</v>
      </c>
      <c r="AVR27" s="24" t="e">
        <v>#N/A</v>
      </c>
      <c r="AVS27" s="24" t="e">
        <v>#N/A</v>
      </c>
      <c r="AVT27" s="24" t="e">
        <v>#N/A</v>
      </c>
      <c r="AVU27" s="24" t="e">
        <v>#N/A</v>
      </c>
      <c r="AVV27" s="24" t="e">
        <v>#N/A</v>
      </c>
      <c r="AVW27" s="24" t="e">
        <v>#N/A</v>
      </c>
      <c r="AVX27" s="24" t="e">
        <v>#N/A</v>
      </c>
      <c r="AVY27" s="24" t="e">
        <v>#N/A</v>
      </c>
      <c r="AVZ27" s="24" t="e">
        <v>#N/A</v>
      </c>
      <c r="AWA27" s="24" t="e">
        <v>#N/A</v>
      </c>
      <c r="AWB27" s="24" t="e">
        <v>#N/A</v>
      </c>
      <c r="AWC27" s="24" t="e">
        <v>#N/A</v>
      </c>
      <c r="AWD27" s="24" t="e">
        <v>#N/A</v>
      </c>
      <c r="AWE27" s="24" t="e">
        <v>#N/A</v>
      </c>
      <c r="AWF27" s="24" t="e">
        <v>#N/A</v>
      </c>
      <c r="AWG27" s="24" t="e">
        <v>#N/A</v>
      </c>
      <c r="AWH27" s="24" t="e">
        <v>#N/A</v>
      </c>
      <c r="AWI27" s="24" t="e">
        <v>#N/A</v>
      </c>
      <c r="AWJ27" s="24" t="e">
        <v>#N/A</v>
      </c>
      <c r="AWK27" s="24" t="e">
        <v>#N/A</v>
      </c>
      <c r="AWL27" s="24" t="e">
        <v>#N/A</v>
      </c>
      <c r="AWM27" s="24" t="e">
        <v>#N/A</v>
      </c>
      <c r="AWN27" s="24" t="e">
        <v>#N/A</v>
      </c>
      <c r="AWO27" s="24" t="e">
        <v>#N/A</v>
      </c>
      <c r="AWP27" s="24" t="e">
        <v>#N/A</v>
      </c>
      <c r="AWQ27" s="24" t="e">
        <v>#N/A</v>
      </c>
      <c r="AWR27" s="24" t="e">
        <v>#N/A</v>
      </c>
      <c r="AWS27" s="24" t="e">
        <v>#N/A</v>
      </c>
      <c r="AWT27" s="24" t="e">
        <v>#N/A</v>
      </c>
      <c r="AWU27" s="24" t="e">
        <v>#N/A</v>
      </c>
      <c r="AWV27" s="24" t="e">
        <v>#N/A</v>
      </c>
      <c r="AWW27" s="24" t="e">
        <v>#N/A</v>
      </c>
      <c r="AWX27" s="24" t="e">
        <v>#N/A</v>
      </c>
      <c r="AWY27" s="24" t="e">
        <v>#N/A</v>
      </c>
      <c r="AWZ27" s="24" t="e">
        <v>#N/A</v>
      </c>
      <c r="AXA27" s="24" t="e">
        <v>#N/A</v>
      </c>
      <c r="AXB27" s="24" t="e">
        <v>#N/A</v>
      </c>
      <c r="AXC27" s="24" t="e">
        <v>#N/A</v>
      </c>
      <c r="AXD27" s="24" t="e">
        <v>#N/A</v>
      </c>
      <c r="AXE27" s="24" t="e">
        <v>#N/A</v>
      </c>
      <c r="AXF27" s="24" t="e">
        <v>#N/A</v>
      </c>
      <c r="AXG27" s="24" t="e">
        <v>#N/A</v>
      </c>
      <c r="AXH27" s="24" t="e">
        <v>#N/A</v>
      </c>
      <c r="AXI27" s="24" t="e">
        <v>#N/A</v>
      </c>
      <c r="AXJ27" s="24" t="e">
        <v>#N/A</v>
      </c>
      <c r="AXK27" s="24" t="e">
        <v>#N/A</v>
      </c>
      <c r="AXL27" s="24" t="e">
        <v>#N/A</v>
      </c>
      <c r="AXM27" s="24" t="e">
        <v>#N/A</v>
      </c>
      <c r="AXN27" s="24" t="e">
        <v>#N/A</v>
      </c>
      <c r="AXO27" s="24" t="e">
        <v>#N/A</v>
      </c>
      <c r="AXP27" s="24" t="e">
        <v>#N/A</v>
      </c>
      <c r="AXQ27" s="24" t="e">
        <v>#N/A</v>
      </c>
      <c r="AXR27" s="24" t="e">
        <v>#N/A</v>
      </c>
      <c r="AXS27" s="24" t="e">
        <v>#N/A</v>
      </c>
      <c r="AXT27" s="24" t="e">
        <v>#N/A</v>
      </c>
      <c r="AXU27" s="24" t="e">
        <v>#N/A</v>
      </c>
      <c r="AXV27" s="24" t="e">
        <v>#N/A</v>
      </c>
      <c r="AXW27" s="24" t="e">
        <v>#N/A</v>
      </c>
      <c r="AXX27" s="24" t="e">
        <v>#N/A</v>
      </c>
      <c r="AXY27" s="24" t="e">
        <v>#N/A</v>
      </c>
      <c r="AXZ27" s="24" t="e">
        <v>#N/A</v>
      </c>
      <c r="AYA27" s="24" t="e">
        <v>#N/A</v>
      </c>
      <c r="AYB27" s="24" t="e">
        <v>#N/A</v>
      </c>
      <c r="AYC27" s="24" t="e">
        <v>#N/A</v>
      </c>
      <c r="AYD27" s="24" t="e">
        <v>#N/A</v>
      </c>
      <c r="AYE27" s="24" t="e">
        <v>#N/A</v>
      </c>
      <c r="AYF27" s="24" t="e">
        <v>#N/A</v>
      </c>
      <c r="AYG27" s="24" t="e">
        <v>#N/A</v>
      </c>
      <c r="AYH27" s="24" t="e">
        <v>#N/A</v>
      </c>
      <c r="AYI27" s="24" t="e">
        <v>#N/A</v>
      </c>
      <c r="AYJ27" s="24" t="e">
        <v>#N/A</v>
      </c>
      <c r="AYK27" s="24" t="e">
        <v>#N/A</v>
      </c>
      <c r="AYL27" s="24" t="e">
        <v>#N/A</v>
      </c>
      <c r="AYM27" s="24" t="e">
        <v>#N/A</v>
      </c>
      <c r="AYN27" s="24" t="e">
        <v>#N/A</v>
      </c>
      <c r="AYO27" s="24" t="e">
        <v>#N/A</v>
      </c>
      <c r="AYP27" s="24" t="e">
        <v>#N/A</v>
      </c>
      <c r="AYQ27" s="24" t="e">
        <v>#N/A</v>
      </c>
      <c r="AYR27" s="24" t="e">
        <v>#N/A</v>
      </c>
      <c r="AYS27" s="24" t="e">
        <v>#N/A</v>
      </c>
      <c r="AYT27" s="24" t="e">
        <v>#N/A</v>
      </c>
      <c r="AYU27" s="24" t="e">
        <v>#N/A</v>
      </c>
      <c r="AYV27" s="24" t="e">
        <v>#N/A</v>
      </c>
      <c r="AYW27" s="24" t="e">
        <v>#N/A</v>
      </c>
      <c r="AYX27" s="24" t="e">
        <v>#N/A</v>
      </c>
      <c r="AYY27" s="24" t="e">
        <v>#N/A</v>
      </c>
      <c r="AYZ27" s="24" t="e">
        <v>#N/A</v>
      </c>
      <c r="AZA27" s="24" t="e">
        <v>#N/A</v>
      </c>
      <c r="AZB27" s="24" t="e">
        <v>#N/A</v>
      </c>
      <c r="AZC27" s="24" t="e">
        <v>#N/A</v>
      </c>
      <c r="AZD27" s="24" t="e">
        <v>#N/A</v>
      </c>
      <c r="AZE27" s="24" t="e">
        <v>#N/A</v>
      </c>
      <c r="AZF27" s="24" t="e">
        <v>#N/A</v>
      </c>
      <c r="AZG27" s="24" t="e">
        <v>#N/A</v>
      </c>
      <c r="AZH27" s="24" t="e">
        <v>#N/A</v>
      </c>
      <c r="AZI27" s="24" t="e">
        <v>#N/A</v>
      </c>
      <c r="AZJ27" s="24" t="e">
        <v>#N/A</v>
      </c>
      <c r="AZK27" s="24" t="e">
        <v>#N/A</v>
      </c>
      <c r="AZL27" s="24" t="e">
        <v>#N/A</v>
      </c>
      <c r="AZM27" s="24" t="e">
        <v>#N/A</v>
      </c>
      <c r="AZN27" s="24" t="e">
        <v>#N/A</v>
      </c>
      <c r="AZO27" s="24" t="e">
        <v>#N/A</v>
      </c>
      <c r="AZP27" s="24" t="e">
        <v>#N/A</v>
      </c>
      <c r="AZQ27" s="24" t="e">
        <v>#N/A</v>
      </c>
      <c r="AZR27" s="24" t="e">
        <v>#N/A</v>
      </c>
      <c r="AZS27" s="24" t="e">
        <v>#N/A</v>
      </c>
      <c r="AZT27" s="24" t="e">
        <v>#N/A</v>
      </c>
      <c r="AZU27" s="24" t="e">
        <v>#N/A</v>
      </c>
      <c r="AZV27" s="24" t="e">
        <v>#N/A</v>
      </c>
      <c r="AZW27" s="24" t="e">
        <v>#N/A</v>
      </c>
      <c r="AZX27" s="24" t="e">
        <v>#N/A</v>
      </c>
      <c r="AZY27" s="24" t="e">
        <v>#N/A</v>
      </c>
      <c r="AZZ27" s="24" t="e">
        <v>#N/A</v>
      </c>
      <c r="BAA27" s="24" t="e">
        <v>#N/A</v>
      </c>
      <c r="BAB27" s="24" t="e">
        <v>#N/A</v>
      </c>
      <c r="BAC27" s="24" t="e">
        <v>#N/A</v>
      </c>
      <c r="BAD27" s="24" t="e">
        <v>#N/A</v>
      </c>
      <c r="BAE27" s="24" t="e">
        <v>#N/A</v>
      </c>
      <c r="BAF27" s="24" t="e">
        <v>#N/A</v>
      </c>
      <c r="BAG27" s="24" t="e">
        <v>#N/A</v>
      </c>
      <c r="BAH27" s="24" t="e">
        <v>#N/A</v>
      </c>
      <c r="BAI27" s="24" t="e">
        <v>#N/A</v>
      </c>
      <c r="BAJ27" s="24" t="e">
        <v>#N/A</v>
      </c>
      <c r="BAK27" s="24" t="e">
        <v>#N/A</v>
      </c>
      <c r="BAL27" s="24" t="e">
        <v>#N/A</v>
      </c>
      <c r="BAM27" s="24" t="e">
        <v>#N/A</v>
      </c>
      <c r="BAN27" s="24" t="e">
        <v>#N/A</v>
      </c>
      <c r="BAO27" s="24" t="e">
        <v>#N/A</v>
      </c>
      <c r="BAP27" s="24" t="e">
        <v>#N/A</v>
      </c>
      <c r="BAQ27" s="24" t="e">
        <v>#N/A</v>
      </c>
      <c r="BAR27" s="24" t="e">
        <v>#N/A</v>
      </c>
      <c r="BAS27" s="24" t="e">
        <v>#N/A</v>
      </c>
      <c r="BAT27" s="24" t="e">
        <v>#N/A</v>
      </c>
      <c r="BAU27" s="24" t="e">
        <v>#N/A</v>
      </c>
      <c r="BAV27" s="24" t="e">
        <v>#N/A</v>
      </c>
      <c r="BAW27" s="24" t="e">
        <v>#N/A</v>
      </c>
      <c r="BAX27" s="24" t="e">
        <v>#N/A</v>
      </c>
      <c r="BAY27" s="24" t="e">
        <v>#N/A</v>
      </c>
      <c r="BAZ27" s="24" t="e">
        <v>#N/A</v>
      </c>
      <c r="BBA27" s="24" t="e">
        <v>#N/A</v>
      </c>
      <c r="BBB27" s="24" t="e">
        <v>#N/A</v>
      </c>
      <c r="BBC27" s="24" t="e">
        <v>#N/A</v>
      </c>
      <c r="BBD27" s="24" t="e">
        <v>#N/A</v>
      </c>
      <c r="BBE27" s="24" t="e">
        <v>#N/A</v>
      </c>
      <c r="BBF27" s="24" t="e">
        <v>#N/A</v>
      </c>
      <c r="BBG27" s="24" t="e">
        <v>#N/A</v>
      </c>
      <c r="BBH27" s="24" t="e">
        <v>#N/A</v>
      </c>
      <c r="BBI27" s="24" t="e">
        <v>#N/A</v>
      </c>
      <c r="BBJ27" s="24" t="e">
        <v>#N/A</v>
      </c>
      <c r="BBK27" s="24" t="e">
        <v>#N/A</v>
      </c>
      <c r="BBL27" s="24" t="e">
        <v>#N/A</v>
      </c>
      <c r="BBM27" s="24" t="e">
        <v>#N/A</v>
      </c>
      <c r="BBN27" s="24" t="e">
        <v>#N/A</v>
      </c>
      <c r="BBO27" s="24" t="e">
        <v>#N/A</v>
      </c>
      <c r="BBP27" s="24" t="e">
        <v>#N/A</v>
      </c>
      <c r="BBQ27" s="24" t="e">
        <v>#N/A</v>
      </c>
      <c r="BBR27" s="24" t="e">
        <v>#N/A</v>
      </c>
      <c r="BBS27" s="24" t="e">
        <v>#N/A</v>
      </c>
      <c r="BBT27" s="24" t="e">
        <v>#N/A</v>
      </c>
      <c r="BBU27" s="24" t="e">
        <v>#N/A</v>
      </c>
      <c r="BBV27" s="24" t="e">
        <v>#N/A</v>
      </c>
      <c r="BBW27" s="24" t="e">
        <v>#N/A</v>
      </c>
      <c r="BBX27" s="24" t="e">
        <v>#N/A</v>
      </c>
      <c r="BBY27" s="24" t="e">
        <v>#N/A</v>
      </c>
      <c r="BBZ27" s="24" t="e">
        <v>#N/A</v>
      </c>
      <c r="BCA27" s="24" t="e">
        <v>#N/A</v>
      </c>
      <c r="BCB27" s="24" t="e">
        <v>#N/A</v>
      </c>
      <c r="BCC27" s="24" t="e">
        <v>#N/A</v>
      </c>
      <c r="BCD27" s="24" t="e">
        <v>#N/A</v>
      </c>
      <c r="BCE27" s="24" t="e">
        <v>#N/A</v>
      </c>
      <c r="BCF27" s="24" t="e">
        <v>#N/A</v>
      </c>
      <c r="BCG27" s="24" t="e">
        <v>#N/A</v>
      </c>
      <c r="BCH27" s="24" t="e">
        <v>#N/A</v>
      </c>
      <c r="BCI27" s="24" t="e">
        <v>#N/A</v>
      </c>
      <c r="BCJ27" s="24" t="e">
        <v>#N/A</v>
      </c>
      <c r="BCK27" s="24" t="e">
        <v>#N/A</v>
      </c>
      <c r="BCL27" s="24" t="e">
        <v>#N/A</v>
      </c>
      <c r="BCM27" s="24" t="e">
        <v>#N/A</v>
      </c>
      <c r="BCN27" s="24" t="e">
        <v>#N/A</v>
      </c>
      <c r="BCO27" s="24" t="e">
        <v>#N/A</v>
      </c>
      <c r="BCP27" s="24" t="e">
        <v>#N/A</v>
      </c>
      <c r="BCQ27" s="24" t="e">
        <v>#N/A</v>
      </c>
      <c r="BCR27" s="24" t="e">
        <v>#N/A</v>
      </c>
      <c r="BCS27" s="24" t="e">
        <v>#N/A</v>
      </c>
      <c r="BCT27" s="24" t="e">
        <v>#N/A</v>
      </c>
      <c r="BCU27" s="24" t="e">
        <v>#N/A</v>
      </c>
      <c r="BCV27" s="24" t="e">
        <v>#N/A</v>
      </c>
      <c r="BCW27" s="24" t="e">
        <v>#N/A</v>
      </c>
      <c r="BCX27" s="24" t="e">
        <v>#N/A</v>
      </c>
      <c r="BCY27" s="24" t="e">
        <v>#N/A</v>
      </c>
      <c r="BCZ27" s="24" t="e">
        <v>#N/A</v>
      </c>
      <c r="BDA27" s="24" t="e">
        <v>#N/A</v>
      </c>
      <c r="BDB27" s="24" t="e">
        <v>#N/A</v>
      </c>
      <c r="BDC27" s="24" t="e">
        <v>#N/A</v>
      </c>
      <c r="BDD27" s="24" t="e">
        <v>#N/A</v>
      </c>
      <c r="BDE27" s="24" t="e">
        <v>#N/A</v>
      </c>
      <c r="BDF27" s="24" t="e">
        <v>#N/A</v>
      </c>
      <c r="BDG27" s="24" t="e">
        <v>#N/A</v>
      </c>
      <c r="BDH27" s="24" t="e">
        <v>#N/A</v>
      </c>
      <c r="BDI27" s="24" t="e">
        <v>#N/A</v>
      </c>
      <c r="BDJ27" s="24" t="e">
        <v>#N/A</v>
      </c>
      <c r="BDK27" s="24" t="e">
        <v>#N/A</v>
      </c>
      <c r="BDL27" s="24" t="e">
        <v>#N/A</v>
      </c>
      <c r="BDM27" s="24" t="e">
        <v>#N/A</v>
      </c>
      <c r="BDN27" s="24" t="e">
        <v>#N/A</v>
      </c>
      <c r="BDO27" s="24" t="e">
        <v>#N/A</v>
      </c>
      <c r="BDP27" s="24" t="e">
        <v>#N/A</v>
      </c>
      <c r="BDQ27" s="24" t="e">
        <v>#N/A</v>
      </c>
      <c r="BDR27" s="24" t="e">
        <v>#N/A</v>
      </c>
      <c r="BDS27" s="24" t="e">
        <v>#N/A</v>
      </c>
      <c r="BDT27" s="24" t="e">
        <v>#N/A</v>
      </c>
      <c r="BDU27" s="24" t="e">
        <v>#N/A</v>
      </c>
      <c r="BDV27" s="24" t="e">
        <v>#N/A</v>
      </c>
      <c r="BDW27" s="24" t="e">
        <v>#N/A</v>
      </c>
      <c r="BDX27" s="24" t="e">
        <v>#N/A</v>
      </c>
      <c r="BDY27" s="24" t="e">
        <v>#N/A</v>
      </c>
      <c r="BDZ27" s="24" t="e">
        <v>#N/A</v>
      </c>
      <c r="BEA27" s="24" t="e">
        <v>#N/A</v>
      </c>
      <c r="BEB27" s="24" t="e">
        <v>#N/A</v>
      </c>
      <c r="BEC27" s="24" t="e">
        <v>#N/A</v>
      </c>
      <c r="BED27" s="24" t="e">
        <v>#N/A</v>
      </c>
      <c r="BEE27" s="24" t="e">
        <v>#N/A</v>
      </c>
      <c r="BEF27" s="24" t="e">
        <v>#N/A</v>
      </c>
      <c r="BEG27" s="24" t="e">
        <v>#N/A</v>
      </c>
      <c r="BEH27" s="24" t="e">
        <v>#N/A</v>
      </c>
      <c r="BEI27" s="24" t="e">
        <v>#N/A</v>
      </c>
      <c r="BEJ27" s="24" t="e">
        <v>#N/A</v>
      </c>
      <c r="BEK27" s="24" t="e">
        <v>#N/A</v>
      </c>
      <c r="BEL27" s="24" t="e">
        <v>#N/A</v>
      </c>
      <c r="BEM27" s="24" t="e">
        <v>#N/A</v>
      </c>
      <c r="BEN27" s="24" t="e">
        <v>#N/A</v>
      </c>
      <c r="BEO27" s="24" t="e">
        <v>#N/A</v>
      </c>
      <c r="BEP27" s="24" t="e">
        <v>#N/A</v>
      </c>
      <c r="BEQ27" s="24" t="e">
        <v>#N/A</v>
      </c>
      <c r="BER27" s="24" t="e">
        <v>#N/A</v>
      </c>
      <c r="BES27" s="24" t="e">
        <v>#N/A</v>
      </c>
      <c r="BET27" s="24" t="e">
        <v>#N/A</v>
      </c>
      <c r="BEU27" s="24" t="e">
        <v>#N/A</v>
      </c>
      <c r="BEV27" s="24" t="e">
        <v>#N/A</v>
      </c>
      <c r="BEW27" s="24" t="e">
        <v>#N/A</v>
      </c>
      <c r="BEX27" s="24" t="e">
        <v>#N/A</v>
      </c>
      <c r="BEY27" s="24" t="e">
        <v>#N/A</v>
      </c>
      <c r="BEZ27" s="24" t="e">
        <v>#N/A</v>
      </c>
      <c r="BFA27" s="24" t="e">
        <v>#N/A</v>
      </c>
      <c r="BFB27" s="24" t="e">
        <v>#N/A</v>
      </c>
      <c r="BFC27" s="24" t="e">
        <v>#N/A</v>
      </c>
      <c r="BFD27" s="24" t="e">
        <v>#N/A</v>
      </c>
      <c r="BFE27" s="24" t="e">
        <v>#N/A</v>
      </c>
      <c r="BFF27" s="24" t="e">
        <v>#N/A</v>
      </c>
      <c r="BFG27" s="24" t="e">
        <v>#N/A</v>
      </c>
      <c r="BFH27" s="24" t="e">
        <v>#N/A</v>
      </c>
      <c r="BFI27" s="24" t="e">
        <v>#N/A</v>
      </c>
      <c r="BFJ27" s="24" t="e">
        <v>#N/A</v>
      </c>
      <c r="BFK27" s="24" t="e">
        <v>#N/A</v>
      </c>
      <c r="BFL27" s="24" t="e">
        <v>#N/A</v>
      </c>
      <c r="BFM27" s="24" t="e">
        <v>#N/A</v>
      </c>
      <c r="BFN27" s="24" t="e">
        <v>#N/A</v>
      </c>
      <c r="BFO27" s="24" t="e">
        <v>#N/A</v>
      </c>
      <c r="BFP27" s="24" t="e">
        <v>#N/A</v>
      </c>
      <c r="BFQ27" s="24" t="e">
        <v>#N/A</v>
      </c>
      <c r="BFR27" s="24" t="e">
        <v>#N/A</v>
      </c>
      <c r="BFS27" s="24" t="e">
        <v>#N/A</v>
      </c>
      <c r="BFT27" s="24" t="e">
        <v>#N/A</v>
      </c>
      <c r="BFU27" s="24" t="e">
        <v>#N/A</v>
      </c>
      <c r="BFV27" s="24" t="e">
        <v>#N/A</v>
      </c>
      <c r="BFW27" s="24" t="e">
        <v>#N/A</v>
      </c>
      <c r="BFX27" s="24" t="e">
        <v>#N/A</v>
      </c>
      <c r="BFY27" s="24" t="e">
        <v>#N/A</v>
      </c>
      <c r="BFZ27" s="24" t="e">
        <v>#N/A</v>
      </c>
      <c r="BGA27" s="24" t="e">
        <v>#N/A</v>
      </c>
      <c r="BGB27" s="24" t="e">
        <v>#N/A</v>
      </c>
      <c r="BGC27" s="24" t="e">
        <v>#N/A</v>
      </c>
      <c r="BGD27" s="24" t="e">
        <v>#N/A</v>
      </c>
      <c r="BGE27" s="24" t="e">
        <v>#N/A</v>
      </c>
      <c r="BGF27" s="24" t="e">
        <v>#N/A</v>
      </c>
      <c r="BGG27" s="24" t="e">
        <v>#N/A</v>
      </c>
      <c r="BGH27" s="24" t="e">
        <v>#N/A</v>
      </c>
      <c r="BGI27" s="24" t="e">
        <v>#N/A</v>
      </c>
      <c r="BGJ27" s="24" t="e">
        <v>#N/A</v>
      </c>
      <c r="BGK27" s="24" t="e">
        <v>#N/A</v>
      </c>
      <c r="BGL27" s="24" t="e">
        <v>#N/A</v>
      </c>
      <c r="BGM27" s="24" t="e">
        <v>#N/A</v>
      </c>
      <c r="BGN27" s="24" t="e">
        <v>#N/A</v>
      </c>
      <c r="BGO27" s="24" t="e">
        <v>#N/A</v>
      </c>
      <c r="BGP27" s="24" t="e">
        <v>#N/A</v>
      </c>
      <c r="BGQ27" s="24" t="e">
        <v>#N/A</v>
      </c>
      <c r="BGR27" s="24" t="e">
        <v>#N/A</v>
      </c>
      <c r="BGS27" s="24" t="e">
        <v>#N/A</v>
      </c>
      <c r="BGT27" s="24" t="e">
        <v>#N/A</v>
      </c>
      <c r="BGU27" s="24" t="e">
        <v>#N/A</v>
      </c>
      <c r="BGV27" s="24" t="e">
        <v>#N/A</v>
      </c>
      <c r="BGW27" s="24" t="e">
        <v>#N/A</v>
      </c>
      <c r="BGX27" s="24" t="e">
        <v>#N/A</v>
      </c>
      <c r="BGY27" s="24" t="e">
        <v>#N/A</v>
      </c>
      <c r="BGZ27" s="24" t="e">
        <v>#N/A</v>
      </c>
      <c r="BHA27" s="24" t="e">
        <v>#N/A</v>
      </c>
      <c r="BHB27" s="24" t="e">
        <v>#N/A</v>
      </c>
      <c r="BHC27" s="24" t="e">
        <v>#N/A</v>
      </c>
      <c r="BHD27" s="24" t="e">
        <v>#N/A</v>
      </c>
      <c r="BHE27" s="24" t="e">
        <v>#N/A</v>
      </c>
      <c r="BHF27" s="24" t="e">
        <v>#N/A</v>
      </c>
      <c r="BHG27" s="24" t="e">
        <v>#N/A</v>
      </c>
      <c r="BHH27" s="24" t="e">
        <v>#N/A</v>
      </c>
      <c r="BHI27" s="24" t="e">
        <v>#N/A</v>
      </c>
      <c r="BHJ27" s="24" t="e">
        <v>#N/A</v>
      </c>
      <c r="BHK27" s="24" t="e">
        <v>#N/A</v>
      </c>
      <c r="BHL27" s="24" t="e">
        <v>#N/A</v>
      </c>
      <c r="BHM27" s="24" t="e">
        <v>#N/A</v>
      </c>
      <c r="BHN27" s="24" t="e">
        <v>#N/A</v>
      </c>
      <c r="BHO27" s="24" t="e">
        <v>#N/A</v>
      </c>
      <c r="BHP27" s="24" t="e">
        <v>#N/A</v>
      </c>
      <c r="BHQ27" s="24" t="e">
        <v>#N/A</v>
      </c>
      <c r="BHR27" s="24" t="e">
        <v>#N/A</v>
      </c>
      <c r="BHS27" s="24" t="e">
        <v>#N/A</v>
      </c>
      <c r="BHT27" s="24" t="e">
        <v>#N/A</v>
      </c>
      <c r="BHU27" s="24" t="e">
        <v>#N/A</v>
      </c>
      <c r="BHV27" s="24" t="e">
        <v>#N/A</v>
      </c>
      <c r="BHW27" s="24" t="e">
        <v>#N/A</v>
      </c>
      <c r="BHX27" s="24" t="e">
        <v>#N/A</v>
      </c>
      <c r="BHY27" s="24" t="e">
        <v>#N/A</v>
      </c>
      <c r="BHZ27" s="24" t="e">
        <v>#N/A</v>
      </c>
      <c r="BIA27" s="24" t="e">
        <v>#N/A</v>
      </c>
      <c r="BIB27" s="24" t="e">
        <v>#N/A</v>
      </c>
      <c r="BIC27" s="24" t="e">
        <v>#N/A</v>
      </c>
      <c r="BID27" s="24" t="e">
        <v>#N/A</v>
      </c>
      <c r="BIE27" s="24" t="e">
        <v>#N/A</v>
      </c>
      <c r="BIF27" s="24" t="e">
        <v>#N/A</v>
      </c>
      <c r="BIG27" s="24" t="e">
        <v>#N/A</v>
      </c>
      <c r="BIH27" s="24" t="e">
        <v>#N/A</v>
      </c>
      <c r="BII27" s="24" t="e">
        <v>#N/A</v>
      </c>
      <c r="BIJ27" s="24" t="e">
        <v>#N/A</v>
      </c>
      <c r="BIK27" s="24" t="e">
        <v>#N/A</v>
      </c>
      <c r="BIL27" s="24" t="e">
        <v>#N/A</v>
      </c>
      <c r="BIM27" s="24" t="e">
        <v>#N/A</v>
      </c>
      <c r="BIN27" s="24" t="e">
        <v>#N/A</v>
      </c>
      <c r="BIO27" s="24" t="e">
        <v>#N/A</v>
      </c>
      <c r="BIP27" s="24" t="e">
        <v>#N/A</v>
      </c>
      <c r="BIQ27" s="24" t="e">
        <v>#N/A</v>
      </c>
      <c r="BIR27" s="24" t="e">
        <v>#N/A</v>
      </c>
      <c r="BIS27" s="24" t="e">
        <v>#N/A</v>
      </c>
      <c r="BIT27" s="24" t="e">
        <v>#N/A</v>
      </c>
      <c r="BIU27" s="24" t="e">
        <v>#N/A</v>
      </c>
      <c r="BIV27" s="24" t="e">
        <v>#N/A</v>
      </c>
      <c r="BIW27" s="24" t="e">
        <v>#N/A</v>
      </c>
      <c r="BIX27" s="24" t="e">
        <v>#N/A</v>
      </c>
      <c r="BIY27" s="24" t="e">
        <v>#N/A</v>
      </c>
      <c r="BIZ27" s="24" t="e">
        <v>#N/A</v>
      </c>
      <c r="BJA27" s="24" t="e">
        <v>#N/A</v>
      </c>
      <c r="BJB27" s="24" t="e">
        <v>#N/A</v>
      </c>
      <c r="BJC27" s="24" t="e">
        <v>#N/A</v>
      </c>
      <c r="BJD27" s="24" t="e">
        <v>#N/A</v>
      </c>
      <c r="BJE27" s="24" t="e">
        <v>#N/A</v>
      </c>
      <c r="BJF27" s="24" t="e">
        <v>#N/A</v>
      </c>
      <c r="BJG27" s="24" t="e">
        <v>#N/A</v>
      </c>
      <c r="BJH27" s="24" t="e">
        <v>#N/A</v>
      </c>
      <c r="BJI27" s="24" t="e">
        <v>#N/A</v>
      </c>
      <c r="BJJ27" s="24" t="e">
        <v>#N/A</v>
      </c>
      <c r="BJK27" s="24" t="e">
        <v>#N/A</v>
      </c>
      <c r="BJL27" s="24" t="e">
        <v>#N/A</v>
      </c>
      <c r="BJM27" s="24" t="e">
        <v>#N/A</v>
      </c>
      <c r="BJN27" s="24" t="e">
        <v>#N/A</v>
      </c>
      <c r="BJO27" s="24" t="e">
        <v>#N/A</v>
      </c>
      <c r="BJP27" s="24" t="e">
        <v>#N/A</v>
      </c>
      <c r="BJQ27" s="24" t="e">
        <v>#N/A</v>
      </c>
      <c r="BJR27" s="24" t="e">
        <v>#N/A</v>
      </c>
      <c r="BJS27" s="24" t="e">
        <v>#N/A</v>
      </c>
      <c r="BJT27" s="24" t="e">
        <v>#N/A</v>
      </c>
      <c r="BJU27" s="24" t="e">
        <v>#N/A</v>
      </c>
      <c r="BJV27" s="24" t="e">
        <v>#N/A</v>
      </c>
      <c r="BJW27" s="24" t="e">
        <v>#N/A</v>
      </c>
      <c r="BJX27" s="24" t="e">
        <v>#N/A</v>
      </c>
      <c r="BJY27" s="24" t="e">
        <v>#N/A</v>
      </c>
      <c r="BJZ27" s="24" t="e">
        <v>#N/A</v>
      </c>
      <c r="BKA27" s="24" t="e">
        <v>#N/A</v>
      </c>
      <c r="BKB27" s="24" t="e">
        <v>#N/A</v>
      </c>
      <c r="BKC27" s="24" t="e">
        <v>#N/A</v>
      </c>
      <c r="BKD27" s="24" t="e">
        <v>#N/A</v>
      </c>
      <c r="BKE27" s="24" t="e">
        <v>#N/A</v>
      </c>
      <c r="BKF27" s="24" t="e">
        <v>#N/A</v>
      </c>
      <c r="BKG27" s="24" t="e">
        <v>#N/A</v>
      </c>
      <c r="BKH27" s="24" t="e">
        <v>#N/A</v>
      </c>
      <c r="BKI27" s="24" t="e">
        <v>#N/A</v>
      </c>
      <c r="BKJ27" s="24" t="e">
        <v>#N/A</v>
      </c>
      <c r="BKK27" s="24" t="e">
        <v>#N/A</v>
      </c>
      <c r="BKL27" s="24" t="e">
        <v>#N/A</v>
      </c>
      <c r="BKM27" s="24" t="e">
        <v>#N/A</v>
      </c>
      <c r="BKN27" s="24" t="e">
        <v>#N/A</v>
      </c>
      <c r="BKO27" s="24" t="e">
        <v>#N/A</v>
      </c>
      <c r="BKP27" s="24" t="e">
        <v>#N/A</v>
      </c>
      <c r="BKQ27" s="24" t="e">
        <v>#N/A</v>
      </c>
      <c r="BKR27" s="24" t="e">
        <v>#N/A</v>
      </c>
      <c r="BKS27" s="24" t="e">
        <v>#N/A</v>
      </c>
      <c r="BKT27" s="24" t="e">
        <v>#N/A</v>
      </c>
      <c r="BKU27" s="24" t="e">
        <v>#N/A</v>
      </c>
      <c r="BKV27" s="24" t="e">
        <v>#N/A</v>
      </c>
      <c r="BKW27" s="24" t="e">
        <v>#N/A</v>
      </c>
      <c r="BKX27" s="24" t="e">
        <v>#N/A</v>
      </c>
      <c r="BKY27" s="24" t="e">
        <v>#N/A</v>
      </c>
      <c r="BKZ27" s="24" t="e">
        <v>#N/A</v>
      </c>
      <c r="BLA27" s="24" t="e">
        <v>#N/A</v>
      </c>
      <c r="BLB27" s="24" t="e">
        <v>#N/A</v>
      </c>
      <c r="BLC27" s="24" t="e">
        <v>#N/A</v>
      </c>
      <c r="BLD27" s="24" t="e">
        <v>#N/A</v>
      </c>
      <c r="BLE27" s="24" t="e">
        <v>#N/A</v>
      </c>
      <c r="BLF27" s="24" t="e">
        <v>#N/A</v>
      </c>
      <c r="BLG27" s="24" t="e">
        <v>#N/A</v>
      </c>
      <c r="BLH27" s="24" t="e">
        <v>#N/A</v>
      </c>
      <c r="BLI27" s="24" t="e">
        <v>#N/A</v>
      </c>
      <c r="BLJ27" s="24" t="e">
        <v>#N/A</v>
      </c>
      <c r="BLK27" s="24" t="e">
        <v>#N/A</v>
      </c>
      <c r="BLL27" s="24" t="e">
        <v>#N/A</v>
      </c>
      <c r="BLM27" s="24" t="e">
        <v>#N/A</v>
      </c>
      <c r="BLN27" s="24" t="e">
        <v>#N/A</v>
      </c>
      <c r="BLO27" s="24" t="e">
        <v>#N/A</v>
      </c>
      <c r="BLP27" s="24" t="e">
        <v>#N/A</v>
      </c>
      <c r="BLQ27" s="24" t="e">
        <v>#N/A</v>
      </c>
      <c r="BLR27" s="24" t="e">
        <v>#N/A</v>
      </c>
      <c r="BLS27" s="24" t="e">
        <v>#N/A</v>
      </c>
      <c r="BLT27" s="24" t="e">
        <v>#N/A</v>
      </c>
      <c r="BLU27" s="24" t="e">
        <v>#N/A</v>
      </c>
      <c r="BLV27" s="24" t="e">
        <v>#N/A</v>
      </c>
      <c r="BLW27" s="24" t="e">
        <v>#N/A</v>
      </c>
      <c r="BLX27" s="24" t="e">
        <v>#N/A</v>
      </c>
      <c r="BLY27" s="24" t="e">
        <v>#N/A</v>
      </c>
      <c r="BLZ27" s="24" t="e">
        <v>#N/A</v>
      </c>
      <c r="BMA27" s="24" t="e">
        <v>#N/A</v>
      </c>
      <c r="BMB27" s="24" t="e">
        <v>#N/A</v>
      </c>
      <c r="BMC27" s="24" t="e">
        <v>#N/A</v>
      </c>
      <c r="BMD27" s="24" t="e">
        <v>#N/A</v>
      </c>
      <c r="BME27" s="24" t="e">
        <v>#N/A</v>
      </c>
      <c r="BMF27" s="24" t="e">
        <v>#N/A</v>
      </c>
      <c r="BMG27" s="24" t="e">
        <v>#N/A</v>
      </c>
      <c r="BMH27" s="24" t="e">
        <v>#N/A</v>
      </c>
      <c r="BMI27" s="24" t="e">
        <v>#N/A</v>
      </c>
      <c r="BMJ27" s="24" t="e">
        <v>#N/A</v>
      </c>
      <c r="BMK27" s="24" t="e">
        <v>#N/A</v>
      </c>
      <c r="BML27" s="24" t="e">
        <v>#N/A</v>
      </c>
      <c r="BMM27" s="24" t="e">
        <v>#N/A</v>
      </c>
      <c r="BMN27" s="24" t="e">
        <v>#N/A</v>
      </c>
      <c r="BMO27" s="24" t="e">
        <v>#N/A</v>
      </c>
      <c r="BMP27" s="24" t="e">
        <v>#N/A</v>
      </c>
      <c r="BMQ27" s="24" t="e">
        <v>#N/A</v>
      </c>
      <c r="BMR27" s="24" t="e">
        <v>#N/A</v>
      </c>
      <c r="BMS27" s="24" t="e">
        <v>#N/A</v>
      </c>
      <c r="BMT27" s="24" t="e">
        <v>#N/A</v>
      </c>
      <c r="BMU27" s="24" t="e">
        <v>#N/A</v>
      </c>
      <c r="BMV27" s="24" t="e">
        <v>#N/A</v>
      </c>
      <c r="BMW27" s="24" t="e">
        <v>#N/A</v>
      </c>
      <c r="BMX27" s="24" t="e">
        <v>#N/A</v>
      </c>
      <c r="BMY27" s="24" t="e">
        <v>#N/A</v>
      </c>
      <c r="BMZ27" s="24" t="e">
        <v>#N/A</v>
      </c>
      <c r="BNA27" s="24" t="e">
        <v>#N/A</v>
      </c>
      <c r="BNB27" s="24" t="e">
        <v>#N/A</v>
      </c>
      <c r="BNC27" s="24" t="e">
        <v>#N/A</v>
      </c>
      <c r="BND27" s="24" t="e">
        <v>#N/A</v>
      </c>
      <c r="BNE27" s="24" t="e">
        <v>#N/A</v>
      </c>
      <c r="BNF27" s="24" t="e">
        <v>#N/A</v>
      </c>
      <c r="BNG27" s="24" t="e">
        <v>#N/A</v>
      </c>
      <c r="BNH27" s="24" t="e">
        <v>#N/A</v>
      </c>
      <c r="BNI27" s="24" t="e">
        <v>#N/A</v>
      </c>
      <c r="BNJ27" s="24" t="e">
        <v>#N/A</v>
      </c>
      <c r="BNK27" s="24" t="e">
        <v>#N/A</v>
      </c>
      <c r="BNL27" s="24" t="e">
        <v>#N/A</v>
      </c>
      <c r="BNM27" s="24" t="e">
        <v>#N/A</v>
      </c>
      <c r="BNN27" s="24" t="e">
        <v>#N/A</v>
      </c>
      <c r="BNO27" s="24" t="e">
        <v>#N/A</v>
      </c>
      <c r="BNP27" s="24" t="e">
        <v>#N/A</v>
      </c>
      <c r="BNQ27" s="24" t="e">
        <v>#N/A</v>
      </c>
      <c r="BNR27" s="24" t="e">
        <v>#N/A</v>
      </c>
      <c r="BNS27" s="24" t="e">
        <v>#N/A</v>
      </c>
      <c r="BNT27" s="24" t="e">
        <v>#N/A</v>
      </c>
      <c r="BNU27" s="24" t="e">
        <v>#N/A</v>
      </c>
      <c r="BNV27" s="24" t="e">
        <v>#N/A</v>
      </c>
      <c r="BNW27" s="24" t="e">
        <v>#N/A</v>
      </c>
      <c r="BNX27" s="24" t="e">
        <v>#N/A</v>
      </c>
      <c r="BNY27" s="24" t="e">
        <v>#N/A</v>
      </c>
      <c r="BNZ27" s="24" t="e">
        <v>#N/A</v>
      </c>
      <c r="BOA27" s="24" t="e">
        <v>#N/A</v>
      </c>
      <c r="BOB27" s="24" t="e">
        <v>#N/A</v>
      </c>
      <c r="BOC27" s="24" t="e">
        <v>#N/A</v>
      </c>
      <c r="BOD27" s="24" t="e">
        <v>#N/A</v>
      </c>
      <c r="BOE27" s="24" t="e">
        <v>#N/A</v>
      </c>
      <c r="BOF27" s="24" t="e">
        <v>#N/A</v>
      </c>
      <c r="BOG27" s="24" t="e">
        <v>#N/A</v>
      </c>
      <c r="BOH27" s="24" t="e">
        <v>#N/A</v>
      </c>
      <c r="BOI27" s="24" t="e">
        <v>#N/A</v>
      </c>
      <c r="BOJ27" s="24" t="e">
        <v>#N/A</v>
      </c>
      <c r="BOK27" s="24" t="e">
        <v>#N/A</v>
      </c>
      <c r="BOL27" s="24" t="e">
        <v>#N/A</v>
      </c>
      <c r="BOM27" s="24" t="e">
        <v>#N/A</v>
      </c>
      <c r="BON27" s="24" t="e">
        <v>#N/A</v>
      </c>
      <c r="BOO27" s="24" t="e">
        <v>#N/A</v>
      </c>
      <c r="BOP27" s="24" t="e">
        <v>#N/A</v>
      </c>
      <c r="BOQ27" s="24" t="e">
        <v>#N/A</v>
      </c>
      <c r="BOR27" s="24" t="e">
        <v>#N/A</v>
      </c>
      <c r="BOS27" s="24" t="e">
        <v>#N/A</v>
      </c>
      <c r="BOT27" s="24" t="e">
        <v>#N/A</v>
      </c>
      <c r="BOU27" s="24" t="e">
        <v>#N/A</v>
      </c>
      <c r="BOV27" s="24" t="e">
        <v>#N/A</v>
      </c>
      <c r="BOW27" s="24" t="e">
        <v>#N/A</v>
      </c>
      <c r="BOX27" s="24" t="e">
        <v>#N/A</v>
      </c>
      <c r="BOY27" s="24" t="e">
        <v>#N/A</v>
      </c>
      <c r="BOZ27" s="24" t="e">
        <v>#N/A</v>
      </c>
      <c r="BPA27" s="24" t="e">
        <v>#N/A</v>
      </c>
      <c r="BPB27" s="24" t="e">
        <v>#N/A</v>
      </c>
      <c r="BPC27" s="24" t="e">
        <v>#N/A</v>
      </c>
      <c r="BPD27" s="24" t="e">
        <v>#N/A</v>
      </c>
      <c r="BPE27" s="24" t="e">
        <v>#N/A</v>
      </c>
      <c r="BPF27" s="24" t="e">
        <v>#N/A</v>
      </c>
      <c r="BPG27" s="24" t="e">
        <v>#N/A</v>
      </c>
      <c r="BPH27" s="24" t="e">
        <v>#N/A</v>
      </c>
      <c r="BPI27" s="24" t="e">
        <v>#N/A</v>
      </c>
      <c r="BPJ27" s="24" t="e">
        <v>#N/A</v>
      </c>
      <c r="BPK27" s="24" t="e">
        <v>#N/A</v>
      </c>
      <c r="BPL27" s="24" t="e">
        <v>#N/A</v>
      </c>
      <c r="BPM27" s="24" t="e">
        <v>#N/A</v>
      </c>
      <c r="BPN27" s="24" t="e">
        <v>#N/A</v>
      </c>
      <c r="BPO27" s="24" t="e">
        <v>#N/A</v>
      </c>
      <c r="BPP27" s="24" t="e">
        <v>#N/A</v>
      </c>
      <c r="BPQ27" s="24" t="e">
        <v>#N/A</v>
      </c>
      <c r="BPR27" s="24" t="e">
        <v>#N/A</v>
      </c>
      <c r="BPS27" s="24" t="e">
        <v>#N/A</v>
      </c>
      <c r="BPT27" s="24" t="e">
        <v>#N/A</v>
      </c>
      <c r="BPU27" s="24" t="e">
        <v>#N/A</v>
      </c>
      <c r="BPV27" s="24" t="e">
        <v>#N/A</v>
      </c>
      <c r="BPW27" s="24" t="e">
        <v>#N/A</v>
      </c>
      <c r="BPX27" s="24" t="e">
        <v>#N/A</v>
      </c>
      <c r="BPY27" s="24" t="e">
        <v>#N/A</v>
      </c>
      <c r="BPZ27" s="24" t="e">
        <v>#N/A</v>
      </c>
      <c r="BQA27" s="24" t="e">
        <v>#N/A</v>
      </c>
      <c r="BQB27" s="24" t="e">
        <v>#N/A</v>
      </c>
      <c r="BQC27" s="24" t="e">
        <v>#N/A</v>
      </c>
      <c r="BQD27" s="24" t="e">
        <v>#N/A</v>
      </c>
      <c r="BQE27" s="24" t="e">
        <v>#N/A</v>
      </c>
      <c r="BQF27" s="24" t="e">
        <v>#N/A</v>
      </c>
      <c r="BQG27" s="24" t="e">
        <v>#N/A</v>
      </c>
      <c r="BQH27" s="24" t="e">
        <v>#N/A</v>
      </c>
      <c r="BQI27" s="24" t="e">
        <v>#N/A</v>
      </c>
      <c r="BQJ27" s="24" t="e">
        <v>#N/A</v>
      </c>
      <c r="BQK27" s="24" t="e">
        <v>#N/A</v>
      </c>
      <c r="BQL27" s="24" t="e">
        <v>#N/A</v>
      </c>
      <c r="BQM27" s="24" t="e">
        <v>#N/A</v>
      </c>
      <c r="BQN27" s="24" t="e">
        <v>#N/A</v>
      </c>
      <c r="BQO27" s="24" t="e">
        <v>#N/A</v>
      </c>
      <c r="BQP27" s="24" t="e">
        <v>#N/A</v>
      </c>
      <c r="BQQ27" s="24" t="e">
        <v>#N/A</v>
      </c>
      <c r="BQR27" s="24" t="e">
        <v>#N/A</v>
      </c>
      <c r="BQS27" s="24" t="e">
        <v>#N/A</v>
      </c>
      <c r="BQT27" s="24" t="e">
        <v>#N/A</v>
      </c>
      <c r="BQU27" s="24" t="e">
        <v>#N/A</v>
      </c>
      <c r="BQV27" s="24" t="e">
        <v>#N/A</v>
      </c>
      <c r="BQW27" s="24" t="e">
        <v>#N/A</v>
      </c>
      <c r="BQX27" s="24" t="e">
        <v>#N/A</v>
      </c>
      <c r="BQY27" s="24" t="e">
        <v>#N/A</v>
      </c>
      <c r="BQZ27" s="24" t="e">
        <v>#N/A</v>
      </c>
      <c r="BRA27" s="24" t="e">
        <v>#N/A</v>
      </c>
      <c r="BRB27" s="24" t="e">
        <v>#N/A</v>
      </c>
      <c r="BRC27" s="24" t="e">
        <v>#N/A</v>
      </c>
      <c r="BRD27" s="24" t="e">
        <v>#N/A</v>
      </c>
      <c r="BRE27" s="24" t="e">
        <v>#N/A</v>
      </c>
      <c r="BRF27" s="24" t="e">
        <v>#N/A</v>
      </c>
      <c r="BRG27" s="24" t="e">
        <v>#N/A</v>
      </c>
      <c r="BRH27" s="24" t="e">
        <v>#N/A</v>
      </c>
      <c r="BRI27" s="24" t="e">
        <v>#N/A</v>
      </c>
      <c r="BRJ27" s="24" t="e">
        <v>#N/A</v>
      </c>
      <c r="BRK27" s="24" t="e">
        <v>#N/A</v>
      </c>
      <c r="BRL27" s="24" t="e">
        <v>#N/A</v>
      </c>
      <c r="BRM27" s="24" t="e">
        <v>#N/A</v>
      </c>
      <c r="BRN27" s="24" t="e">
        <v>#N/A</v>
      </c>
      <c r="BRO27" s="24" t="e">
        <v>#N/A</v>
      </c>
      <c r="BRP27" s="24" t="e">
        <v>#N/A</v>
      </c>
      <c r="BRQ27" s="24" t="e">
        <v>#N/A</v>
      </c>
      <c r="BRR27" s="24" t="e">
        <v>#N/A</v>
      </c>
      <c r="BRS27" s="24" t="e">
        <v>#N/A</v>
      </c>
      <c r="BRT27" s="24" t="e">
        <v>#N/A</v>
      </c>
      <c r="BRU27" s="24" t="e">
        <v>#N/A</v>
      </c>
      <c r="BRV27" s="24" t="e">
        <v>#N/A</v>
      </c>
      <c r="BRW27" s="24" t="e">
        <v>#N/A</v>
      </c>
      <c r="BRX27" s="24" t="e">
        <v>#N/A</v>
      </c>
      <c r="BRY27" s="24" t="e">
        <v>#N/A</v>
      </c>
      <c r="BRZ27" s="24" t="e">
        <v>#N/A</v>
      </c>
      <c r="BSA27" s="24" t="e">
        <v>#N/A</v>
      </c>
      <c r="BSB27" s="24" t="e">
        <v>#N/A</v>
      </c>
      <c r="BSC27" s="24" t="e">
        <v>#N/A</v>
      </c>
      <c r="BSD27" s="24" t="e">
        <v>#N/A</v>
      </c>
      <c r="BSE27" s="24" t="e">
        <v>#N/A</v>
      </c>
      <c r="BSF27" s="24" t="e">
        <v>#N/A</v>
      </c>
      <c r="BSG27" s="24" t="e">
        <v>#N/A</v>
      </c>
      <c r="BSH27" s="24" t="e">
        <v>#N/A</v>
      </c>
      <c r="BSI27" s="24" t="e">
        <v>#N/A</v>
      </c>
      <c r="BSJ27" s="24" t="e">
        <v>#N/A</v>
      </c>
      <c r="BSK27" s="24" t="e">
        <v>#N/A</v>
      </c>
      <c r="BSL27" s="24" t="e">
        <v>#N/A</v>
      </c>
      <c r="BSM27" s="24" t="e">
        <v>#N/A</v>
      </c>
      <c r="BSN27" s="24" t="e">
        <v>#N/A</v>
      </c>
      <c r="BSO27" s="24" t="e">
        <v>#N/A</v>
      </c>
      <c r="BSP27" s="24" t="e">
        <v>#N/A</v>
      </c>
      <c r="BSQ27" s="24" t="e">
        <v>#N/A</v>
      </c>
      <c r="BSR27" s="24" t="e">
        <v>#N/A</v>
      </c>
      <c r="BSS27" s="24" t="e">
        <v>#N/A</v>
      </c>
      <c r="BST27" s="24" t="e">
        <v>#N/A</v>
      </c>
      <c r="BSU27" s="24" t="e">
        <v>#N/A</v>
      </c>
      <c r="BSV27" s="24" t="e">
        <v>#N/A</v>
      </c>
      <c r="BSW27" s="24" t="e">
        <v>#N/A</v>
      </c>
      <c r="BSX27" s="24" t="e">
        <v>#N/A</v>
      </c>
      <c r="BSY27" s="24" t="e">
        <v>#N/A</v>
      </c>
      <c r="BSZ27" s="24" t="e">
        <v>#N/A</v>
      </c>
      <c r="BTA27" s="24" t="e">
        <v>#N/A</v>
      </c>
      <c r="BTB27" s="24" t="e">
        <v>#N/A</v>
      </c>
      <c r="BTC27" s="24" t="e">
        <v>#N/A</v>
      </c>
      <c r="BTD27" s="24" t="e">
        <v>#N/A</v>
      </c>
      <c r="BTE27" s="24" t="e">
        <v>#N/A</v>
      </c>
      <c r="BTF27" s="24" t="e">
        <v>#N/A</v>
      </c>
      <c r="BTG27" s="24" t="e">
        <v>#N/A</v>
      </c>
      <c r="BTH27" s="24" t="e">
        <v>#N/A</v>
      </c>
      <c r="BTI27" s="24" t="e">
        <v>#N/A</v>
      </c>
      <c r="BTJ27" s="24" t="e">
        <v>#N/A</v>
      </c>
      <c r="BTK27" s="24" t="e">
        <v>#N/A</v>
      </c>
      <c r="BTL27" s="24" t="e">
        <v>#N/A</v>
      </c>
      <c r="BTM27" s="24" t="e">
        <v>#N/A</v>
      </c>
      <c r="BTN27" s="24" t="e">
        <v>#N/A</v>
      </c>
      <c r="BTO27" s="24" t="e">
        <v>#N/A</v>
      </c>
      <c r="BTP27" s="24" t="e">
        <v>#N/A</v>
      </c>
      <c r="BTQ27" s="24" t="e">
        <v>#N/A</v>
      </c>
      <c r="BTR27" s="24" t="e">
        <v>#N/A</v>
      </c>
      <c r="BTS27" s="24" t="e">
        <v>#N/A</v>
      </c>
      <c r="BTT27" s="24" t="e">
        <v>#N/A</v>
      </c>
      <c r="BTU27" s="24" t="e">
        <v>#N/A</v>
      </c>
      <c r="BTV27" s="24" t="e">
        <v>#N/A</v>
      </c>
      <c r="BTW27" s="24" t="e">
        <v>#N/A</v>
      </c>
      <c r="BTX27" s="24" t="e">
        <v>#N/A</v>
      </c>
      <c r="BTY27" s="24" t="e">
        <v>#N/A</v>
      </c>
      <c r="BTZ27" s="24" t="e">
        <v>#N/A</v>
      </c>
      <c r="BUA27" s="24" t="e">
        <v>#N/A</v>
      </c>
      <c r="BUB27" s="24" t="e">
        <v>#N/A</v>
      </c>
      <c r="BUC27" s="24" t="e">
        <v>#N/A</v>
      </c>
      <c r="BUD27" s="24" t="e">
        <v>#N/A</v>
      </c>
      <c r="BUE27" s="24" t="e">
        <v>#N/A</v>
      </c>
      <c r="BUF27" s="24" t="e">
        <v>#N/A</v>
      </c>
      <c r="BUG27" s="24" t="e">
        <v>#N/A</v>
      </c>
      <c r="BUH27" s="24" t="e">
        <v>#N/A</v>
      </c>
      <c r="BUI27" s="24" t="e">
        <v>#N/A</v>
      </c>
      <c r="BUJ27" s="24" t="e">
        <v>#N/A</v>
      </c>
      <c r="BUK27" s="24" t="e">
        <v>#N/A</v>
      </c>
      <c r="BUL27" s="24" t="e">
        <v>#N/A</v>
      </c>
      <c r="BUM27" s="24" t="e">
        <v>#N/A</v>
      </c>
      <c r="BUN27" s="24" t="e">
        <v>#N/A</v>
      </c>
      <c r="BUO27" s="24" t="e">
        <v>#N/A</v>
      </c>
      <c r="BUP27" s="24" t="e">
        <v>#N/A</v>
      </c>
      <c r="BUQ27" s="24" t="e">
        <v>#N/A</v>
      </c>
      <c r="BUR27" s="24" t="e">
        <v>#N/A</v>
      </c>
      <c r="BUS27" s="24" t="e">
        <v>#N/A</v>
      </c>
      <c r="BUT27" s="24" t="e">
        <v>#N/A</v>
      </c>
      <c r="BUU27" s="24" t="e">
        <v>#N/A</v>
      </c>
      <c r="BUV27" s="24" t="e">
        <v>#N/A</v>
      </c>
      <c r="BUW27" s="24" t="e">
        <v>#N/A</v>
      </c>
      <c r="BUX27" s="24" t="e">
        <v>#N/A</v>
      </c>
      <c r="BUY27" s="24" t="e">
        <v>#N/A</v>
      </c>
      <c r="BUZ27" s="24" t="e">
        <v>#N/A</v>
      </c>
      <c r="BVA27" s="24" t="e">
        <v>#N/A</v>
      </c>
      <c r="BVB27" s="24" t="e">
        <v>#N/A</v>
      </c>
      <c r="BVC27" s="24" t="e">
        <v>#N/A</v>
      </c>
      <c r="BVD27" s="24" t="e">
        <v>#N/A</v>
      </c>
      <c r="BVE27" s="24" t="e">
        <v>#N/A</v>
      </c>
      <c r="BVF27" s="24" t="e">
        <v>#N/A</v>
      </c>
      <c r="BVG27" s="24" t="e">
        <v>#N/A</v>
      </c>
      <c r="BVH27" s="24" t="e">
        <v>#N/A</v>
      </c>
      <c r="BVI27" s="24" t="e">
        <v>#N/A</v>
      </c>
      <c r="BVJ27" s="24" t="e">
        <v>#N/A</v>
      </c>
      <c r="BVK27" s="24" t="e">
        <v>#N/A</v>
      </c>
      <c r="BVL27" s="24" t="e">
        <v>#N/A</v>
      </c>
      <c r="BVM27" s="24" t="e">
        <v>#N/A</v>
      </c>
      <c r="BVN27" s="24" t="e">
        <v>#N/A</v>
      </c>
      <c r="BVO27" s="24" t="e">
        <v>#N/A</v>
      </c>
      <c r="BVP27" s="24" t="e">
        <v>#N/A</v>
      </c>
      <c r="BVQ27" s="24" t="e">
        <v>#N/A</v>
      </c>
      <c r="BVR27" s="24" t="e">
        <v>#N/A</v>
      </c>
      <c r="BVS27" s="24" t="e">
        <v>#N/A</v>
      </c>
      <c r="BVT27" s="24" t="e">
        <v>#N/A</v>
      </c>
      <c r="BVU27" s="24" t="e">
        <v>#N/A</v>
      </c>
      <c r="BVV27" s="24" t="e">
        <v>#N/A</v>
      </c>
      <c r="BVW27" s="24" t="e">
        <v>#N/A</v>
      </c>
      <c r="BVX27" s="24" t="e">
        <v>#N/A</v>
      </c>
      <c r="BVY27" s="24" t="e">
        <v>#N/A</v>
      </c>
      <c r="BVZ27" s="24" t="e">
        <v>#N/A</v>
      </c>
      <c r="BWA27" s="24" t="e">
        <v>#N/A</v>
      </c>
      <c r="BWB27" s="24" t="e">
        <v>#N/A</v>
      </c>
      <c r="BWC27" s="24" t="e">
        <v>#N/A</v>
      </c>
      <c r="BWD27" s="24" t="e">
        <v>#N/A</v>
      </c>
      <c r="BWE27" s="24" t="e">
        <v>#N/A</v>
      </c>
      <c r="BWF27" s="24" t="e">
        <v>#N/A</v>
      </c>
      <c r="BWG27" s="24" t="e">
        <v>#N/A</v>
      </c>
      <c r="BWH27" s="24" t="e">
        <v>#N/A</v>
      </c>
      <c r="BWI27" s="24" t="e">
        <v>#N/A</v>
      </c>
      <c r="BWJ27" s="24" t="e">
        <v>#N/A</v>
      </c>
      <c r="BWK27" s="24" t="e">
        <v>#N/A</v>
      </c>
      <c r="BWL27" s="24" t="e">
        <v>#N/A</v>
      </c>
      <c r="BWM27" s="24" t="e">
        <v>#N/A</v>
      </c>
      <c r="BWN27" s="24" t="e">
        <v>#N/A</v>
      </c>
      <c r="BWO27" s="24" t="e">
        <v>#N/A</v>
      </c>
      <c r="BWP27" s="24" t="e">
        <v>#N/A</v>
      </c>
      <c r="BWQ27" s="24" t="e">
        <v>#N/A</v>
      </c>
      <c r="BWR27" s="24" t="e">
        <v>#N/A</v>
      </c>
      <c r="BWS27" s="24" t="e">
        <v>#N/A</v>
      </c>
      <c r="BWT27" s="24" t="e">
        <v>#N/A</v>
      </c>
      <c r="BWU27" s="24" t="e">
        <v>#N/A</v>
      </c>
      <c r="BWV27" s="24" t="e">
        <v>#N/A</v>
      </c>
      <c r="BWW27" s="24" t="e">
        <v>#N/A</v>
      </c>
      <c r="BWX27" s="24" t="e">
        <v>#N/A</v>
      </c>
      <c r="BWY27" s="24" t="e">
        <v>#N/A</v>
      </c>
      <c r="BWZ27" s="24" t="e">
        <v>#N/A</v>
      </c>
      <c r="BXA27" s="24" t="e">
        <v>#N/A</v>
      </c>
      <c r="BXB27" s="24" t="e">
        <v>#N/A</v>
      </c>
      <c r="BXC27" s="24" t="e">
        <v>#N/A</v>
      </c>
      <c r="BXD27" s="24" t="e">
        <v>#N/A</v>
      </c>
      <c r="BXE27" s="24" t="e">
        <v>#N/A</v>
      </c>
      <c r="BXF27" s="24" t="e">
        <v>#N/A</v>
      </c>
      <c r="BXG27" s="24" t="e">
        <v>#N/A</v>
      </c>
      <c r="BXH27" s="24" t="e">
        <v>#N/A</v>
      </c>
      <c r="BXI27" s="24" t="e">
        <v>#N/A</v>
      </c>
      <c r="BXJ27" s="24" t="e">
        <v>#N/A</v>
      </c>
      <c r="BXK27" s="24" t="e">
        <v>#N/A</v>
      </c>
      <c r="BXL27" s="24" t="e">
        <v>#N/A</v>
      </c>
      <c r="BXM27" s="24" t="e">
        <v>#N/A</v>
      </c>
      <c r="BXN27" s="24" t="e">
        <v>#N/A</v>
      </c>
      <c r="BXO27" s="24" t="e">
        <v>#N/A</v>
      </c>
      <c r="BXP27" s="24" t="e">
        <v>#N/A</v>
      </c>
      <c r="BXQ27" s="24" t="e">
        <v>#N/A</v>
      </c>
      <c r="BXR27" s="24" t="e">
        <v>#N/A</v>
      </c>
      <c r="BXS27" s="24" t="e">
        <v>#N/A</v>
      </c>
      <c r="BXT27" s="24" t="e">
        <v>#N/A</v>
      </c>
      <c r="BXU27" s="24" t="e">
        <v>#N/A</v>
      </c>
      <c r="BXV27" s="24" t="e">
        <v>#N/A</v>
      </c>
      <c r="BXW27" s="24" t="e">
        <v>#N/A</v>
      </c>
      <c r="BXX27" s="24" t="e">
        <v>#N/A</v>
      </c>
      <c r="BXY27" s="24" t="e">
        <v>#N/A</v>
      </c>
      <c r="BXZ27" s="24" t="e">
        <v>#N/A</v>
      </c>
      <c r="BYA27" s="24" t="e">
        <v>#N/A</v>
      </c>
      <c r="BYB27" s="24" t="e">
        <v>#N/A</v>
      </c>
      <c r="BYC27" s="24" t="e">
        <v>#N/A</v>
      </c>
      <c r="BYD27" s="24" t="e">
        <v>#N/A</v>
      </c>
      <c r="BYE27" s="24" t="e">
        <v>#N/A</v>
      </c>
      <c r="BYF27" s="24" t="e">
        <v>#N/A</v>
      </c>
      <c r="BYG27" s="24" t="e">
        <v>#N/A</v>
      </c>
      <c r="BYH27" s="24" t="e">
        <v>#N/A</v>
      </c>
      <c r="BYI27" s="24" t="e">
        <v>#N/A</v>
      </c>
      <c r="BYJ27" s="24" t="e">
        <v>#N/A</v>
      </c>
      <c r="BYK27" s="24" t="e">
        <v>#N/A</v>
      </c>
      <c r="BYL27" s="24" t="e">
        <v>#N/A</v>
      </c>
      <c r="BYM27" s="24" t="e">
        <v>#N/A</v>
      </c>
      <c r="BYN27" s="24" t="e">
        <v>#N/A</v>
      </c>
      <c r="BYO27" s="24" t="e">
        <v>#N/A</v>
      </c>
      <c r="BYP27" s="24" t="e">
        <v>#N/A</v>
      </c>
      <c r="BYQ27" s="24" t="e">
        <v>#N/A</v>
      </c>
      <c r="BYR27" s="24" t="e">
        <v>#N/A</v>
      </c>
      <c r="BYS27" s="24" t="e">
        <v>#N/A</v>
      </c>
      <c r="BYT27" s="24" t="e">
        <v>#N/A</v>
      </c>
      <c r="BYU27" s="24" t="e">
        <v>#N/A</v>
      </c>
      <c r="BYV27" s="24" t="e">
        <v>#N/A</v>
      </c>
      <c r="BYW27" s="24" t="e">
        <v>#N/A</v>
      </c>
      <c r="BYX27" s="24" t="e">
        <v>#N/A</v>
      </c>
      <c r="BYY27" s="24" t="e">
        <v>#N/A</v>
      </c>
      <c r="BYZ27" s="24" t="e">
        <v>#N/A</v>
      </c>
      <c r="BZA27" s="24" t="e">
        <v>#N/A</v>
      </c>
      <c r="BZB27" s="24" t="e">
        <v>#N/A</v>
      </c>
      <c r="BZC27" s="24" t="e">
        <v>#N/A</v>
      </c>
      <c r="BZD27" s="24" t="e">
        <v>#N/A</v>
      </c>
      <c r="BZE27" s="24" t="e">
        <v>#N/A</v>
      </c>
      <c r="BZF27" s="24" t="e">
        <v>#N/A</v>
      </c>
      <c r="BZG27" s="24" t="e">
        <v>#N/A</v>
      </c>
      <c r="BZH27" s="24" t="e">
        <v>#N/A</v>
      </c>
      <c r="BZI27" s="24" t="e">
        <v>#N/A</v>
      </c>
      <c r="BZJ27" s="24" t="e">
        <v>#N/A</v>
      </c>
      <c r="BZK27" s="24" t="e">
        <v>#N/A</v>
      </c>
      <c r="BZL27" s="24" t="e">
        <v>#N/A</v>
      </c>
      <c r="BZM27" s="24" t="e">
        <v>#N/A</v>
      </c>
      <c r="BZN27" s="24" t="e">
        <v>#N/A</v>
      </c>
      <c r="BZO27" s="24" t="e">
        <v>#N/A</v>
      </c>
      <c r="BZP27" s="24" t="e">
        <v>#N/A</v>
      </c>
      <c r="BZQ27" s="24" t="e">
        <v>#N/A</v>
      </c>
      <c r="BZR27" s="24" t="e">
        <v>#N/A</v>
      </c>
      <c r="BZS27" s="24" t="e">
        <v>#N/A</v>
      </c>
      <c r="BZT27" s="24" t="e">
        <v>#N/A</v>
      </c>
      <c r="BZU27" s="24" t="e">
        <v>#N/A</v>
      </c>
      <c r="BZV27" s="24" t="e">
        <v>#N/A</v>
      </c>
      <c r="BZW27" s="24" t="e">
        <v>#N/A</v>
      </c>
      <c r="BZX27" s="24" t="e">
        <v>#N/A</v>
      </c>
      <c r="BZY27" s="24" t="e">
        <v>#N/A</v>
      </c>
      <c r="BZZ27" s="24" t="e">
        <v>#N/A</v>
      </c>
      <c r="CAA27" s="24" t="e">
        <v>#N/A</v>
      </c>
      <c r="CAB27" s="24" t="e">
        <v>#N/A</v>
      </c>
      <c r="CAC27" s="24" t="e">
        <v>#N/A</v>
      </c>
      <c r="CAD27" s="24" t="e">
        <v>#N/A</v>
      </c>
      <c r="CAE27" s="24" t="e">
        <v>#N/A</v>
      </c>
      <c r="CAF27" s="24" t="e">
        <v>#N/A</v>
      </c>
      <c r="CAG27" s="24" t="e">
        <v>#N/A</v>
      </c>
      <c r="CAH27" s="24" t="e">
        <v>#N/A</v>
      </c>
      <c r="CAI27" s="24" t="e">
        <v>#N/A</v>
      </c>
      <c r="CAJ27" s="24" t="e">
        <v>#N/A</v>
      </c>
      <c r="CAK27" s="24" t="e">
        <v>#N/A</v>
      </c>
      <c r="CAL27" s="24" t="e">
        <v>#N/A</v>
      </c>
      <c r="CAM27" s="24" t="e">
        <v>#N/A</v>
      </c>
      <c r="CAN27" s="24" t="e">
        <v>#N/A</v>
      </c>
      <c r="CAO27" s="24" t="e">
        <v>#N/A</v>
      </c>
      <c r="CAP27" s="24" t="e">
        <v>#N/A</v>
      </c>
      <c r="CAQ27" s="24" t="e">
        <v>#N/A</v>
      </c>
      <c r="CAR27" s="24" t="e">
        <v>#N/A</v>
      </c>
      <c r="CAS27" s="24" t="e">
        <v>#N/A</v>
      </c>
      <c r="CAT27" s="24" t="e">
        <v>#N/A</v>
      </c>
      <c r="CAU27" s="24" t="e">
        <v>#N/A</v>
      </c>
      <c r="CAV27" s="24" t="e">
        <v>#N/A</v>
      </c>
      <c r="CAW27" s="24" t="e">
        <v>#N/A</v>
      </c>
      <c r="CAX27" s="24" t="e">
        <v>#N/A</v>
      </c>
      <c r="CAY27" s="24" t="e">
        <v>#N/A</v>
      </c>
      <c r="CAZ27" s="24" t="e">
        <v>#N/A</v>
      </c>
      <c r="CBA27" s="24" t="e">
        <v>#N/A</v>
      </c>
      <c r="CBB27" s="24" t="e">
        <v>#N/A</v>
      </c>
      <c r="CBC27" s="24" t="e">
        <v>#N/A</v>
      </c>
      <c r="CBD27" s="24" t="e">
        <v>#N/A</v>
      </c>
      <c r="CBE27" s="24" t="e">
        <v>#N/A</v>
      </c>
      <c r="CBF27" s="24" t="e">
        <v>#N/A</v>
      </c>
      <c r="CBG27" s="24" t="e">
        <v>#N/A</v>
      </c>
      <c r="CBH27" s="24" t="e">
        <v>#N/A</v>
      </c>
      <c r="CBI27" s="24" t="e">
        <v>#N/A</v>
      </c>
      <c r="CBJ27" s="24" t="e">
        <v>#N/A</v>
      </c>
      <c r="CBK27" s="24" t="e">
        <v>#N/A</v>
      </c>
      <c r="CBL27" s="24" t="e">
        <v>#N/A</v>
      </c>
      <c r="CBM27" s="24" t="e">
        <v>#N/A</v>
      </c>
      <c r="CBN27" s="24" t="e">
        <v>#N/A</v>
      </c>
      <c r="CBO27" s="24" t="e">
        <v>#N/A</v>
      </c>
      <c r="CBP27" s="24" t="e">
        <v>#N/A</v>
      </c>
      <c r="CBQ27" s="24" t="e">
        <v>#N/A</v>
      </c>
      <c r="CBR27" s="24" t="e">
        <v>#N/A</v>
      </c>
      <c r="CBS27" s="24" t="e">
        <v>#N/A</v>
      </c>
      <c r="CBT27" s="24" t="e">
        <v>#N/A</v>
      </c>
      <c r="CBU27" s="24" t="e">
        <v>#N/A</v>
      </c>
      <c r="CBV27" s="24" t="e">
        <v>#N/A</v>
      </c>
      <c r="CBW27" s="24" t="e">
        <v>#N/A</v>
      </c>
      <c r="CBX27" s="24" t="e">
        <v>#N/A</v>
      </c>
      <c r="CBY27" s="24" t="e">
        <v>#N/A</v>
      </c>
      <c r="CBZ27" s="24" t="e">
        <v>#N/A</v>
      </c>
      <c r="CCA27" s="24" t="e">
        <v>#N/A</v>
      </c>
      <c r="CCB27" s="24" t="e">
        <v>#N/A</v>
      </c>
      <c r="CCC27" s="24" t="e">
        <v>#N/A</v>
      </c>
      <c r="CCD27" s="24" t="e">
        <v>#N/A</v>
      </c>
      <c r="CCE27" s="24" t="e">
        <v>#N/A</v>
      </c>
      <c r="CCF27" s="24" t="e">
        <v>#N/A</v>
      </c>
      <c r="CCG27" s="24" t="e">
        <v>#N/A</v>
      </c>
      <c r="CCH27" s="24" t="e">
        <v>#N/A</v>
      </c>
      <c r="CCI27" s="24" t="e">
        <v>#N/A</v>
      </c>
      <c r="CCJ27" s="24" t="e">
        <v>#N/A</v>
      </c>
      <c r="CCK27" s="24" t="e">
        <v>#N/A</v>
      </c>
      <c r="CCL27" s="24" t="e">
        <v>#N/A</v>
      </c>
      <c r="CCM27" s="24" t="e">
        <v>#N/A</v>
      </c>
      <c r="CCN27" s="24" t="e">
        <v>#N/A</v>
      </c>
      <c r="CCO27" s="24" t="e">
        <v>#N/A</v>
      </c>
      <c r="CCP27" s="24" t="e">
        <v>#N/A</v>
      </c>
      <c r="CCQ27" s="24" t="e">
        <v>#N/A</v>
      </c>
      <c r="CCR27" s="24" t="e">
        <v>#N/A</v>
      </c>
      <c r="CCS27" s="24" t="e">
        <v>#N/A</v>
      </c>
      <c r="CCT27" s="24" t="e">
        <v>#N/A</v>
      </c>
      <c r="CCU27" s="24" t="e">
        <v>#N/A</v>
      </c>
      <c r="CCV27" s="24" t="e">
        <v>#N/A</v>
      </c>
      <c r="CCW27" s="24" t="e">
        <v>#N/A</v>
      </c>
      <c r="CCX27" s="24" t="e">
        <v>#N/A</v>
      </c>
      <c r="CCY27" s="24" t="e">
        <v>#N/A</v>
      </c>
      <c r="CCZ27" s="24" t="e">
        <v>#N/A</v>
      </c>
      <c r="CDA27" s="24" t="e">
        <v>#N/A</v>
      </c>
      <c r="CDB27" s="24" t="e">
        <v>#N/A</v>
      </c>
      <c r="CDC27" s="24" t="e">
        <v>#N/A</v>
      </c>
      <c r="CDD27" s="24" t="e">
        <v>#N/A</v>
      </c>
      <c r="CDE27" s="24" t="e">
        <v>#N/A</v>
      </c>
      <c r="CDF27" s="24" t="e">
        <v>#N/A</v>
      </c>
      <c r="CDG27" s="24" t="e">
        <v>#N/A</v>
      </c>
      <c r="CDH27" s="24" t="e">
        <v>#N/A</v>
      </c>
      <c r="CDI27" s="24" t="e">
        <v>#N/A</v>
      </c>
      <c r="CDJ27" s="24" t="e">
        <v>#N/A</v>
      </c>
      <c r="CDK27" s="24" t="e">
        <v>#N/A</v>
      </c>
      <c r="CDL27" s="24" t="e">
        <v>#N/A</v>
      </c>
      <c r="CDM27" s="24" t="e">
        <v>#N/A</v>
      </c>
      <c r="CDN27" s="24" t="e">
        <v>#N/A</v>
      </c>
      <c r="CDO27" s="24" t="e">
        <v>#N/A</v>
      </c>
      <c r="CDP27" s="24" t="e">
        <v>#N/A</v>
      </c>
      <c r="CDQ27" s="24" t="e">
        <v>#N/A</v>
      </c>
      <c r="CDR27" s="24" t="e">
        <v>#N/A</v>
      </c>
      <c r="CDS27" s="24" t="e">
        <v>#N/A</v>
      </c>
      <c r="CDT27" s="24" t="e">
        <v>#N/A</v>
      </c>
      <c r="CDU27" s="24" t="e">
        <v>#N/A</v>
      </c>
      <c r="CDV27" s="24" t="e">
        <v>#N/A</v>
      </c>
      <c r="CDW27" s="24" t="e">
        <v>#N/A</v>
      </c>
      <c r="CDX27" s="24" t="e">
        <v>#N/A</v>
      </c>
      <c r="CDY27" s="24" t="e">
        <v>#N/A</v>
      </c>
      <c r="CDZ27" s="24" t="e">
        <v>#N/A</v>
      </c>
      <c r="CEA27" s="24" t="e">
        <v>#N/A</v>
      </c>
      <c r="CEB27" s="24" t="e">
        <v>#N/A</v>
      </c>
      <c r="CEC27" s="24" t="e">
        <v>#N/A</v>
      </c>
      <c r="CED27" s="24" t="e">
        <v>#N/A</v>
      </c>
      <c r="CEE27" s="24" t="e">
        <v>#N/A</v>
      </c>
      <c r="CEF27" s="24" t="e">
        <v>#N/A</v>
      </c>
      <c r="CEG27" s="24" t="e">
        <v>#N/A</v>
      </c>
      <c r="CEH27" s="24" t="e">
        <v>#N/A</v>
      </c>
      <c r="CEI27" s="24" t="e">
        <v>#N/A</v>
      </c>
      <c r="CEJ27" s="24" t="e">
        <v>#N/A</v>
      </c>
      <c r="CEK27" s="24" t="e">
        <v>#N/A</v>
      </c>
      <c r="CEL27" s="24" t="e">
        <v>#N/A</v>
      </c>
      <c r="CEM27" s="24" t="e">
        <v>#N/A</v>
      </c>
      <c r="CEN27" s="24" t="e">
        <v>#N/A</v>
      </c>
      <c r="CEO27" s="24" t="e">
        <v>#N/A</v>
      </c>
      <c r="CEP27" s="24" t="e">
        <v>#N/A</v>
      </c>
      <c r="CEQ27" s="24" t="e">
        <v>#N/A</v>
      </c>
      <c r="CER27" s="24" t="e">
        <v>#N/A</v>
      </c>
      <c r="CES27" s="24" t="e">
        <v>#N/A</v>
      </c>
      <c r="CET27" s="24" t="e">
        <v>#N/A</v>
      </c>
      <c r="CEU27" s="24" t="e">
        <v>#N/A</v>
      </c>
      <c r="CEV27" s="24" t="e">
        <v>#N/A</v>
      </c>
      <c r="CEW27" s="24" t="e">
        <v>#N/A</v>
      </c>
      <c r="CEX27" s="24" t="e">
        <v>#N/A</v>
      </c>
      <c r="CEY27" s="24" t="e">
        <v>#N/A</v>
      </c>
      <c r="CEZ27" s="24" t="e">
        <v>#N/A</v>
      </c>
      <c r="CFA27" s="24" t="e">
        <v>#N/A</v>
      </c>
      <c r="CFB27" s="24" t="e">
        <v>#N/A</v>
      </c>
      <c r="CFC27" s="24" t="e">
        <v>#N/A</v>
      </c>
      <c r="CFD27" s="24" t="e">
        <v>#N/A</v>
      </c>
      <c r="CFE27" s="24" t="e">
        <v>#N/A</v>
      </c>
      <c r="CFF27" s="24" t="e">
        <v>#N/A</v>
      </c>
      <c r="CFG27" s="24" t="e">
        <v>#N/A</v>
      </c>
      <c r="CFH27" s="24" t="e">
        <v>#N/A</v>
      </c>
      <c r="CFI27" s="24" t="e">
        <v>#N/A</v>
      </c>
      <c r="CFJ27" s="24" t="e">
        <v>#N/A</v>
      </c>
      <c r="CFK27" s="24" t="e">
        <v>#N/A</v>
      </c>
      <c r="CFL27" s="24" t="e">
        <v>#N/A</v>
      </c>
      <c r="CFM27" s="24" t="e">
        <v>#N/A</v>
      </c>
      <c r="CFN27" s="24" t="e">
        <v>#N/A</v>
      </c>
      <c r="CFO27" s="24" t="e">
        <v>#N/A</v>
      </c>
      <c r="CFP27" s="24" t="e">
        <v>#N/A</v>
      </c>
      <c r="CFQ27" s="24" t="e">
        <v>#N/A</v>
      </c>
      <c r="CFR27" s="24" t="e">
        <v>#N/A</v>
      </c>
      <c r="CFS27" s="24" t="e">
        <v>#N/A</v>
      </c>
      <c r="CFT27" s="24" t="e">
        <v>#N/A</v>
      </c>
      <c r="CFU27" s="24" t="e">
        <v>#N/A</v>
      </c>
      <c r="CFV27" s="24" t="e">
        <v>#N/A</v>
      </c>
      <c r="CFW27" s="24" t="e">
        <v>#N/A</v>
      </c>
      <c r="CFX27" s="24" t="e">
        <v>#N/A</v>
      </c>
      <c r="CFY27" s="24" t="e">
        <v>#N/A</v>
      </c>
      <c r="CFZ27" s="24" t="e">
        <v>#N/A</v>
      </c>
      <c r="CGA27" s="24" t="e">
        <v>#N/A</v>
      </c>
      <c r="CGB27" s="24" t="e">
        <v>#N/A</v>
      </c>
      <c r="CGC27" s="24" t="e">
        <v>#N/A</v>
      </c>
      <c r="CGD27" s="24" t="e">
        <v>#N/A</v>
      </c>
      <c r="CGE27" s="24" t="e">
        <v>#N/A</v>
      </c>
      <c r="CGF27" s="24" t="e">
        <v>#N/A</v>
      </c>
      <c r="CGG27" s="24" t="e">
        <v>#N/A</v>
      </c>
      <c r="CGH27" s="24" t="e">
        <v>#N/A</v>
      </c>
      <c r="CGI27" s="24" t="e">
        <v>#N/A</v>
      </c>
      <c r="CGJ27" s="24" t="e">
        <v>#N/A</v>
      </c>
      <c r="CGK27" s="24" t="e">
        <v>#N/A</v>
      </c>
      <c r="CGL27" s="24" t="e">
        <v>#N/A</v>
      </c>
      <c r="CGM27" s="24" t="e">
        <v>#N/A</v>
      </c>
      <c r="CGN27" s="24" t="e">
        <v>#N/A</v>
      </c>
      <c r="CGO27" s="24" t="e">
        <v>#N/A</v>
      </c>
      <c r="CGP27" s="24" t="e">
        <v>#N/A</v>
      </c>
      <c r="CGQ27" s="24" t="e">
        <v>#N/A</v>
      </c>
      <c r="CGR27" s="24" t="e">
        <v>#N/A</v>
      </c>
      <c r="CGS27" s="24" t="e">
        <v>#N/A</v>
      </c>
      <c r="CGT27" s="24" t="e">
        <v>#N/A</v>
      </c>
      <c r="CGU27" s="24" t="e">
        <v>#N/A</v>
      </c>
      <c r="CGV27" s="24" t="e">
        <v>#N/A</v>
      </c>
      <c r="CGW27" s="24" t="e">
        <v>#N/A</v>
      </c>
      <c r="CGX27" s="24" t="e">
        <v>#N/A</v>
      </c>
      <c r="CGY27" s="24" t="e">
        <v>#N/A</v>
      </c>
      <c r="CGZ27" s="24" t="e">
        <v>#N/A</v>
      </c>
      <c r="CHA27" s="24" t="e">
        <v>#N/A</v>
      </c>
      <c r="CHB27" s="24" t="e">
        <v>#N/A</v>
      </c>
      <c r="CHC27" s="24" t="e">
        <v>#N/A</v>
      </c>
      <c r="CHD27" s="24" t="e">
        <v>#N/A</v>
      </c>
      <c r="CHE27" s="24" t="e">
        <v>#N/A</v>
      </c>
      <c r="CHF27" s="24" t="e">
        <v>#N/A</v>
      </c>
      <c r="CHG27" s="24" t="e">
        <v>#N/A</v>
      </c>
      <c r="CHH27" s="24" t="e">
        <v>#N/A</v>
      </c>
      <c r="CHI27" s="24" t="e">
        <v>#N/A</v>
      </c>
      <c r="CHJ27" s="24" t="e">
        <v>#N/A</v>
      </c>
      <c r="CHK27" s="24" t="e">
        <v>#N/A</v>
      </c>
      <c r="CHL27" s="24" t="e">
        <v>#N/A</v>
      </c>
      <c r="CHM27" s="24" t="e">
        <v>#N/A</v>
      </c>
      <c r="CHN27" s="24" t="e">
        <v>#N/A</v>
      </c>
      <c r="CHO27" s="24" t="e">
        <v>#N/A</v>
      </c>
      <c r="CHP27" s="24" t="e">
        <v>#N/A</v>
      </c>
      <c r="CHQ27" s="24" t="e">
        <v>#N/A</v>
      </c>
      <c r="CHR27" s="24" t="e">
        <v>#N/A</v>
      </c>
      <c r="CHS27" s="24" t="e">
        <v>#N/A</v>
      </c>
      <c r="CHT27" s="24" t="e">
        <v>#N/A</v>
      </c>
      <c r="CHU27" s="24" t="e">
        <v>#N/A</v>
      </c>
      <c r="CHV27" s="24" t="e">
        <v>#N/A</v>
      </c>
      <c r="CHW27" s="24" t="e">
        <v>#N/A</v>
      </c>
      <c r="CHX27" s="24" t="e">
        <v>#N/A</v>
      </c>
      <c r="CHY27" s="24" t="e">
        <v>#N/A</v>
      </c>
      <c r="CHZ27" s="24" t="e">
        <v>#N/A</v>
      </c>
      <c r="CIA27" s="24" t="e">
        <v>#N/A</v>
      </c>
      <c r="CIB27" s="24" t="e">
        <v>#N/A</v>
      </c>
      <c r="CIC27" s="24" t="e">
        <v>#N/A</v>
      </c>
      <c r="CID27" s="24" t="e">
        <v>#N/A</v>
      </c>
      <c r="CIE27" s="24" t="e">
        <v>#N/A</v>
      </c>
      <c r="CIF27" s="24" t="e">
        <v>#N/A</v>
      </c>
      <c r="CIG27" s="24" t="e">
        <v>#N/A</v>
      </c>
      <c r="CIH27" s="24" t="e">
        <v>#N/A</v>
      </c>
      <c r="CII27" s="24" t="e">
        <v>#N/A</v>
      </c>
      <c r="CIJ27" s="24" t="e">
        <v>#N/A</v>
      </c>
      <c r="CIK27" s="24" t="e">
        <v>#N/A</v>
      </c>
      <c r="CIL27" s="24" t="e">
        <v>#N/A</v>
      </c>
      <c r="CIM27" s="24" t="e">
        <v>#N/A</v>
      </c>
      <c r="CIN27" s="24" t="e">
        <v>#N/A</v>
      </c>
      <c r="CIO27" s="24" t="e">
        <v>#N/A</v>
      </c>
      <c r="CIP27" s="24" t="e">
        <v>#N/A</v>
      </c>
      <c r="CIQ27" s="24" t="e">
        <v>#N/A</v>
      </c>
      <c r="CIR27" s="24" t="e">
        <v>#N/A</v>
      </c>
      <c r="CIS27" s="24" t="e">
        <v>#N/A</v>
      </c>
      <c r="CIT27" s="24" t="e">
        <v>#N/A</v>
      </c>
      <c r="CIU27" s="24" t="e">
        <v>#N/A</v>
      </c>
      <c r="CIV27" s="24" t="e">
        <v>#N/A</v>
      </c>
      <c r="CIW27" s="24" t="e">
        <v>#N/A</v>
      </c>
      <c r="CIX27" s="24" t="e">
        <v>#N/A</v>
      </c>
      <c r="CIY27" s="24" t="e">
        <v>#N/A</v>
      </c>
      <c r="CIZ27" s="24" t="e">
        <v>#N/A</v>
      </c>
      <c r="CJA27" s="24" t="e">
        <v>#N/A</v>
      </c>
      <c r="CJB27" s="24" t="e">
        <v>#N/A</v>
      </c>
      <c r="CJC27" s="24" t="e">
        <v>#N/A</v>
      </c>
      <c r="CJD27" s="24" t="e">
        <v>#N/A</v>
      </c>
      <c r="CJE27" s="24" t="e">
        <v>#N/A</v>
      </c>
      <c r="CJF27" s="24" t="e">
        <v>#N/A</v>
      </c>
      <c r="CJG27" s="24" t="e">
        <v>#N/A</v>
      </c>
      <c r="CJH27" s="24" t="e">
        <v>#N/A</v>
      </c>
      <c r="CJI27" s="24" t="e">
        <v>#N/A</v>
      </c>
      <c r="CJJ27" s="24" t="e">
        <v>#N/A</v>
      </c>
      <c r="CJK27" s="24" t="e">
        <v>#N/A</v>
      </c>
      <c r="CJL27" s="24" t="e">
        <v>#N/A</v>
      </c>
      <c r="CJM27" s="24" t="e">
        <v>#N/A</v>
      </c>
      <c r="CJN27" s="24" t="e">
        <v>#N/A</v>
      </c>
      <c r="CJO27" s="24" t="e">
        <v>#N/A</v>
      </c>
      <c r="CJP27" s="24" t="e">
        <v>#N/A</v>
      </c>
      <c r="CJQ27" s="24" t="e">
        <v>#N/A</v>
      </c>
      <c r="CJR27" s="24" t="e">
        <v>#N/A</v>
      </c>
      <c r="CJS27" s="24" t="e">
        <v>#N/A</v>
      </c>
      <c r="CJT27" s="24" t="e">
        <v>#N/A</v>
      </c>
      <c r="CJU27" s="24" t="e">
        <v>#N/A</v>
      </c>
      <c r="CJV27" s="24" t="e">
        <v>#N/A</v>
      </c>
      <c r="CJW27" s="24" t="e">
        <v>#N/A</v>
      </c>
      <c r="CJX27" s="24" t="e">
        <v>#N/A</v>
      </c>
      <c r="CJY27" s="24" t="e">
        <v>#N/A</v>
      </c>
      <c r="CJZ27" s="24" t="e">
        <v>#N/A</v>
      </c>
      <c r="CKA27" s="24" t="e">
        <v>#N/A</v>
      </c>
      <c r="CKB27" s="24" t="e">
        <v>#N/A</v>
      </c>
      <c r="CKC27" s="24" t="e">
        <v>#N/A</v>
      </c>
      <c r="CKD27" s="24" t="e">
        <v>#N/A</v>
      </c>
      <c r="CKE27" s="24" t="e">
        <v>#N/A</v>
      </c>
      <c r="CKF27" s="24" t="e">
        <v>#N/A</v>
      </c>
      <c r="CKG27" s="24" t="e">
        <v>#N/A</v>
      </c>
      <c r="CKH27" s="24" t="e">
        <v>#N/A</v>
      </c>
      <c r="CKI27" s="24" t="e">
        <v>#N/A</v>
      </c>
      <c r="CKJ27" s="24" t="e">
        <v>#N/A</v>
      </c>
      <c r="CKK27" s="24" t="e">
        <v>#N/A</v>
      </c>
      <c r="CKL27" s="24" t="e">
        <v>#N/A</v>
      </c>
      <c r="CKM27" s="24" t="e">
        <v>#N/A</v>
      </c>
      <c r="CKN27" s="24" t="e">
        <v>#N/A</v>
      </c>
      <c r="CKO27" s="24" t="e">
        <v>#N/A</v>
      </c>
      <c r="CKP27" s="24" t="e">
        <v>#N/A</v>
      </c>
      <c r="CKQ27" s="24" t="e">
        <v>#N/A</v>
      </c>
      <c r="CKR27" s="24" t="e">
        <v>#N/A</v>
      </c>
      <c r="CKS27" s="24" t="e">
        <v>#N/A</v>
      </c>
      <c r="CKT27" s="24" t="e">
        <v>#N/A</v>
      </c>
      <c r="CKU27" s="24" t="e">
        <v>#N/A</v>
      </c>
      <c r="CKV27" s="24" t="e">
        <v>#N/A</v>
      </c>
      <c r="CKW27" s="24" t="e">
        <v>#N/A</v>
      </c>
      <c r="CKX27" s="24" t="e">
        <v>#N/A</v>
      </c>
      <c r="CKY27" s="24" t="e">
        <v>#N/A</v>
      </c>
      <c r="CKZ27" s="24" t="e">
        <v>#N/A</v>
      </c>
      <c r="CLA27" s="24" t="e">
        <v>#N/A</v>
      </c>
      <c r="CLB27" s="24" t="e">
        <v>#N/A</v>
      </c>
      <c r="CLC27" s="24" t="e">
        <v>#N/A</v>
      </c>
      <c r="CLD27" s="24" t="e">
        <v>#N/A</v>
      </c>
      <c r="CLE27" s="24" t="e">
        <v>#N/A</v>
      </c>
      <c r="CLF27" s="24" t="e">
        <v>#N/A</v>
      </c>
      <c r="CLG27" s="24" t="e">
        <v>#N/A</v>
      </c>
      <c r="CLH27" s="24" t="e">
        <v>#N/A</v>
      </c>
      <c r="CLI27" s="24" t="e">
        <v>#N/A</v>
      </c>
      <c r="CLJ27" s="24" t="e">
        <v>#N/A</v>
      </c>
      <c r="CLK27" s="24" t="e">
        <v>#N/A</v>
      </c>
      <c r="CLL27" s="24" t="e">
        <v>#N/A</v>
      </c>
      <c r="CLM27" s="24" t="e">
        <v>#N/A</v>
      </c>
      <c r="CLN27" s="24" t="e">
        <v>#N/A</v>
      </c>
      <c r="CLO27" s="24" t="e">
        <v>#N/A</v>
      </c>
      <c r="CLP27" s="24" t="e">
        <v>#N/A</v>
      </c>
      <c r="CLQ27" s="24" t="e">
        <v>#N/A</v>
      </c>
      <c r="CLR27" s="24" t="e">
        <v>#N/A</v>
      </c>
      <c r="CLS27" s="24" t="e">
        <v>#N/A</v>
      </c>
      <c r="CLT27" s="24" t="e">
        <v>#N/A</v>
      </c>
      <c r="CLU27" s="24" t="e">
        <v>#N/A</v>
      </c>
      <c r="CLV27" s="24" t="e">
        <v>#N/A</v>
      </c>
      <c r="CLW27" s="24" t="e">
        <v>#N/A</v>
      </c>
      <c r="CLX27" s="24" t="e">
        <v>#N/A</v>
      </c>
      <c r="CLY27" s="24" t="e">
        <v>#N/A</v>
      </c>
      <c r="CLZ27" s="24" t="e">
        <v>#N/A</v>
      </c>
      <c r="CMA27" s="24" t="e">
        <v>#N/A</v>
      </c>
      <c r="CMB27" s="24" t="e">
        <v>#N/A</v>
      </c>
      <c r="CMC27" s="24" t="e">
        <v>#N/A</v>
      </c>
      <c r="CMD27" s="24" t="e">
        <v>#N/A</v>
      </c>
      <c r="CME27" s="24" t="e">
        <v>#N/A</v>
      </c>
      <c r="CMF27" s="24" t="e">
        <v>#N/A</v>
      </c>
      <c r="CMG27" s="24" t="e">
        <v>#N/A</v>
      </c>
      <c r="CMH27" s="24" t="e">
        <v>#N/A</v>
      </c>
      <c r="CMI27" s="24" t="e">
        <v>#N/A</v>
      </c>
      <c r="CMJ27" s="24" t="e">
        <v>#N/A</v>
      </c>
      <c r="CMK27" s="24" t="e">
        <v>#N/A</v>
      </c>
      <c r="CML27" s="24" t="e">
        <v>#N/A</v>
      </c>
      <c r="CMM27" s="24" t="e">
        <v>#N/A</v>
      </c>
      <c r="CMN27" s="24" t="e">
        <v>#N/A</v>
      </c>
      <c r="CMO27" s="24" t="e">
        <v>#N/A</v>
      </c>
      <c r="CMP27" s="24" t="e">
        <v>#N/A</v>
      </c>
      <c r="CMQ27" s="24" t="e">
        <v>#N/A</v>
      </c>
      <c r="CMR27" s="24" t="e">
        <v>#N/A</v>
      </c>
      <c r="CMS27" s="24" t="e">
        <v>#N/A</v>
      </c>
      <c r="CMT27" s="24" t="e">
        <v>#N/A</v>
      </c>
      <c r="CMU27" s="24" t="e">
        <v>#N/A</v>
      </c>
      <c r="CMV27" s="24" t="e">
        <v>#N/A</v>
      </c>
      <c r="CMW27" s="24" t="e">
        <v>#N/A</v>
      </c>
      <c r="CMX27" s="24" t="e">
        <v>#N/A</v>
      </c>
      <c r="CMY27" s="24" t="e">
        <v>#N/A</v>
      </c>
      <c r="CMZ27" s="24" t="e">
        <v>#N/A</v>
      </c>
      <c r="CNA27" s="24" t="e">
        <v>#N/A</v>
      </c>
      <c r="CNB27" s="24" t="e">
        <v>#N/A</v>
      </c>
      <c r="CNC27" s="24" t="e">
        <v>#N/A</v>
      </c>
      <c r="CND27" s="24" t="e">
        <v>#N/A</v>
      </c>
      <c r="CNE27" s="24" t="e">
        <v>#N/A</v>
      </c>
      <c r="CNF27" s="24" t="e">
        <v>#N/A</v>
      </c>
      <c r="CNG27" s="24" t="e">
        <v>#N/A</v>
      </c>
      <c r="CNH27" s="24" t="e">
        <v>#N/A</v>
      </c>
      <c r="CNI27" s="24" t="e">
        <v>#N/A</v>
      </c>
      <c r="CNJ27" s="24" t="e">
        <v>#N/A</v>
      </c>
      <c r="CNK27" s="24" t="e">
        <v>#N/A</v>
      </c>
      <c r="CNL27" s="24" t="e">
        <v>#N/A</v>
      </c>
      <c r="CNM27" s="24" t="e">
        <v>#N/A</v>
      </c>
      <c r="CNN27" s="24" t="e">
        <v>#N/A</v>
      </c>
      <c r="CNO27" s="24" t="e">
        <v>#N/A</v>
      </c>
      <c r="CNP27" s="24" t="e">
        <v>#N/A</v>
      </c>
      <c r="CNQ27" s="24" t="e">
        <v>#N/A</v>
      </c>
      <c r="CNR27" s="24" t="e">
        <v>#N/A</v>
      </c>
      <c r="CNS27" s="24" t="e">
        <v>#N/A</v>
      </c>
      <c r="CNT27" s="24" t="e">
        <v>#N/A</v>
      </c>
      <c r="CNU27" s="24" t="e">
        <v>#N/A</v>
      </c>
      <c r="CNV27" s="24" t="e">
        <v>#N/A</v>
      </c>
      <c r="CNW27" s="24" t="e">
        <v>#N/A</v>
      </c>
      <c r="CNX27" s="24" t="e">
        <v>#N/A</v>
      </c>
      <c r="CNY27" s="24" t="e">
        <v>#N/A</v>
      </c>
      <c r="CNZ27" s="24" t="e">
        <v>#N/A</v>
      </c>
      <c r="COA27" s="24" t="e">
        <v>#N/A</v>
      </c>
      <c r="COB27" s="24" t="e">
        <v>#N/A</v>
      </c>
      <c r="COC27" s="24" t="e">
        <v>#N/A</v>
      </c>
      <c r="COD27" s="24" t="e">
        <v>#N/A</v>
      </c>
      <c r="COE27" s="24" t="e">
        <v>#N/A</v>
      </c>
      <c r="COF27" s="24" t="e">
        <v>#N/A</v>
      </c>
      <c r="COG27" s="24" t="e">
        <v>#N/A</v>
      </c>
      <c r="COH27" s="24" t="e">
        <v>#N/A</v>
      </c>
      <c r="COI27" s="24" t="e">
        <v>#N/A</v>
      </c>
      <c r="COJ27" s="24" t="e">
        <v>#N/A</v>
      </c>
      <c r="COK27" s="24" t="e">
        <v>#N/A</v>
      </c>
      <c r="COL27" s="24" t="e">
        <v>#N/A</v>
      </c>
      <c r="COM27" s="24" t="e">
        <v>#N/A</v>
      </c>
      <c r="CON27" s="24" t="e">
        <v>#N/A</v>
      </c>
      <c r="COO27" s="24" t="e">
        <v>#N/A</v>
      </c>
      <c r="COP27" s="24" t="e">
        <v>#N/A</v>
      </c>
      <c r="COQ27" s="24" t="e">
        <v>#N/A</v>
      </c>
      <c r="COR27" s="24" t="e">
        <v>#N/A</v>
      </c>
      <c r="COS27" s="24" t="e">
        <v>#N/A</v>
      </c>
      <c r="COT27" s="24" t="e">
        <v>#N/A</v>
      </c>
      <c r="COU27" s="24" t="e">
        <v>#N/A</v>
      </c>
      <c r="COV27" s="24" t="e">
        <v>#N/A</v>
      </c>
      <c r="COW27" s="24" t="e">
        <v>#N/A</v>
      </c>
      <c r="COX27" s="24" t="e">
        <v>#N/A</v>
      </c>
      <c r="COY27" s="24" t="e">
        <v>#N/A</v>
      </c>
      <c r="COZ27" s="24" t="e">
        <v>#N/A</v>
      </c>
      <c r="CPA27" s="24" t="e">
        <v>#N/A</v>
      </c>
      <c r="CPB27" s="24" t="e">
        <v>#N/A</v>
      </c>
      <c r="CPC27" s="24" t="e">
        <v>#N/A</v>
      </c>
      <c r="CPD27" s="24" t="e">
        <v>#N/A</v>
      </c>
      <c r="CPE27" s="24" t="e">
        <v>#N/A</v>
      </c>
      <c r="CPF27" s="24" t="e">
        <v>#N/A</v>
      </c>
      <c r="CPG27" s="24" t="e">
        <v>#N/A</v>
      </c>
      <c r="CPH27" s="24" t="e">
        <v>#N/A</v>
      </c>
      <c r="CPI27" s="24" t="e">
        <v>#N/A</v>
      </c>
      <c r="CPJ27" s="24" t="e">
        <v>#N/A</v>
      </c>
      <c r="CPK27" s="24" t="e">
        <v>#N/A</v>
      </c>
      <c r="CPL27" s="24" t="e">
        <v>#N/A</v>
      </c>
      <c r="CPM27" s="24" t="e">
        <v>#N/A</v>
      </c>
      <c r="CPN27" s="24" t="e">
        <v>#N/A</v>
      </c>
      <c r="CPO27" s="24" t="e">
        <v>#N/A</v>
      </c>
      <c r="CPP27" s="24" t="e">
        <v>#N/A</v>
      </c>
      <c r="CPQ27" s="24" t="e">
        <v>#N/A</v>
      </c>
      <c r="CPR27" s="24" t="e">
        <v>#N/A</v>
      </c>
      <c r="CPS27" s="24" t="e">
        <v>#N/A</v>
      </c>
      <c r="CPT27" s="24" t="e">
        <v>#N/A</v>
      </c>
      <c r="CPU27" s="24" t="e">
        <v>#N/A</v>
      </c>
      <c r="CPV27" s="24" t="e">
        <v>#N/A</v>
      </c>
      <c r="CPW27" s="24" t="e">
        <v>#N/A</v>
      </c>
      <c r="CPX27" s="24" t="e">
        <v>#N/A</v>
      </c>
      <c r="CPY27" s="24" t="e">
        <v>#N/A</v>
      </c>
      <c r="CPZ27" s="24" t="e">
        <v>#N/A</v>
      </c>
      <c r="CQA27" s="24" t="e">
        <v>#N/A</v>
      </c>
      <c r="CQB27" s="24" t="e">
        <v>#N/A</v>
      </c>
      <c r="CQC27" s="24" t="e">
        <v>#N/A</v>
      </c>
      <c r="CQD27" s="24" t="e">
        <v>#N/A</v>
      </c>
      <c r="CQE27" s="24" t="e">
        <v>#N/A</v>
      </c>
      <c r="CQF27" s="24" t="e">
        <v>#N/A</v>
      </c>
      <c r="CQG27" s="24" t="e">
        <v>#N/A</v>
      </c>
      <c r="CQH27" s="24" t="e">
        <v>#N/A</v>
      </c>
      <c r="CQI27" s="24" t="e">
        <v>#N/A</v>
      </c>
      <c r="CQJ27" s="24" t="e">
        <v>#N/A</v>
      </c>
      <c r="CQK27" s="24" t="e">
        <v>#N/A</v>
      </c>
      <c r="CQL27" s="24" t="e">
        <v>#N/A</v>
      </c>
      <c r="CQM27" s="24" t="e">
        <v>#N/A</v>
      </c>
      <c r="CQN27" s="24" t="e">
        <v>#N/A</v>
      </c>
      <c r="CQO27" s="24" t="e">
        <v>#N/A</v>
      </c>
      <c r="CQP27" s="24" t="e">
        <v>#N/A</v>
      </c>
      <c r="CQQ27" s="24" t="e">
        <v>#N/A</v>
      </c>
      <c r="CQR27" s="24" t="e">
        <v>#N/A</v>
      </c>
      <c r="CQS27" s="24" t="e">
        <v>#N/A</v>
      </c>
      <c r="CQT27" s="24" t="e">
        <v>#N/A</v>
      </c>
      <c r="CQU27" s="24" t="e">
        <v>#N/A</v>
      </c>
      <c r="CQV27" s="24" t="e">
        <v>#N/A</v>
      </c>
      <c r="CQW27" s="24" t="e">
        <v>#N/A</v>
      </c>
      <c r="CQX27" s="24" t="e">
        <v>#N/A</v>
      </c>
      <c r="CQY27" s="24" t="e">
        <v>#N/A</v>
      </c>
      <c r="CQZ27" s="24" t="e">
        <v>#N/A</v>
      </c>
      <c r="CRA27" s="24" t="e">
        <v>#N/A</v>
      </c>
      <c r="CRB27" s="24" t="e">
        <v>#N/A</v>
      </c>
      <c r="CRC27" s="24" t="e">
        <v>#N/A</v>
      </c>
      <c r="CRD27" s="24" t="e">
        <v>#N/A</v>
      </c>
      <c r="CRE27" s="24" t="e">
        <v>#N/A</v>
      </c>
      <c r="CRF27" s="24" t="e">
        <v>#N/A</v>
      </c>
      <c r="CRG27" s="24" t="e">
        <v>#N/A</v>
      </c>
      <c r="CRH27" s="24" t="e">
        <v>#N/A</v>
      </c>
      <c r="CRI27" s="24" t="e">
        <v>#N/A</v>
      </c>
      <c r="CRJ27" s="24" t="e">
        <v>#N/A</v>
      </c>
      <c r="CRK27" s="24" t="e">
        <v>#N/A</v>
      </c>
      <c r="CRL27" s="24" t="e">
        <v>#N/A</v>
      </c>
      <c r="CRM27" s="24" t="e">
        <v>#N/A</v>
      </c>
      <c r="CRN27" s="24" t="e">
        <v>#N/A</v>
      </c>
      <c r="CRO27" s="24" t="e">
        <v>#N/A</v>
      </c>
      <c r="CRP27" s="24" t="e">
        <v>#N/A</v>
      </c>
      <c r="CRQ27" s="24" t="e">
        <v>#N/A</v>
      </c>
      <c r="CRR27" s="24" t="e">
        <v>#N/A</v>
      </c>
      <c r="CRS27" s="24" t="e">
        <v>#N/A</v>
      </c>
      <c r="CRT27" s="24" t="e">
        <v>#N/A</v>
      </c>
      <c r="CRU27" s="24" t="e">
        <v>#N/A</v>
      </c>
      <c r="CRV27" s="24" t="e">
        <v>#N/A</v>
      </c>
      <c r="CRW27" s="24" t="e">
        <v>#N/A</v>
      </c>
      <c r="CRX27" s="24" t="e">
        <v>#N/A</v>
      </c>
      <c r="CRY27" s="24" t="e">
        <v>#N/A</v>
      </c>
      <c r="CRZ27" s="24" t="e">
        <v>#N/A</v>
      </c>
      <c r="CSA27" s="24" t="e">
        <v>#N/A</v>
      </c>
      <c r="CSB27" s="24" t="e">
        <v>#N/A</v>
      </c>
      <c r="CSC27" s="24" t="e">
        <v>#N/A</v>
      </c>
      <c r="CSD27" s="24" t="e">
        <v>#N/A</v>
      </c>
      <c r="CSE27" s="24" t="e">
        <v>#N/A</v>
      </c>
      <c r="CSF27" s="24" t="e">
        <v>#N/A</v>
      </c>
      <c r="CSG27" s="24" t="e">
        <v>#N/A</v>
      </c>
      <c r="CSH27" s="24" t="e">
        <v>#N/A</v>
      </c>
      <c r="CSI27" s="24" t="e">
        <v>#N/A</v>
      </c>
      <c r="CSJ27" s="24" t="e">
        <v>#N/A</v>
      </c>
      <c r="CSK27" s="24" t="e">
        <v>#N/A</v>
      </c>
      <c r="CSL27" s="24" t="e">
        <v>#N/A</v>
      </c>
      <c r="CSM27" s="24" t="e">
        <v>#N/A</v>
      </c>
      <c r="CSN27" s="24" t="e">
        <v>#N/A</v>
      </c>
      <c r="CSO27" s="24" t="e">
        <v>#N/A</v>
      </c>
      <c r="CSP27" s="24" t="e">
        <v>#N/A</v>
      </c>
      <c r="CSQ27" s="24" t="e">
        <v>#N/A</v>
      </c>
      <c r="CSR27" s="24" t="e">
        <v>#N/A</v>
      </c>
      <c r="CSS27" s="24" t="e">
        <v>#N/A</v>
      </c>
      <c r="CST27" s="24" t="e">
        <v>#N/A</v>
      </c>
      <c r="CSU27" s="24" t="e">
        <v>#N/A</v>
      </c>
      <c r="CSV27" s="24" t="e">
        <v>#N/A</v>
      </c>
      <c r="CSW27" s="24" t="e">
        <v>#N/A</v>
      </c>
      <c r="CSX27" s="24" t="e">
        <v>#N/A</v>
      </c>
      <c r="CSY27" s="24" t="e">
        <v>#N/A</v>
      </c>
      <c r="CSZ27" s="24" t="e">
        <v>#N/A</v>
      </c>
      <c r="CTA27" s="24" t="e">
        <v>#N/A</v>
      </c>
      <c r="CTB27" s="24" t="e">
        <v>#N/A</v>
      </c>
      <c r="CTC27" s="24" t="e">
        <v>#N/A</v>
      </c>
      <c r="CTD27" s="24" t="e">
        <v>#N/A</v>
      </c>
      <c r="CTE27" s="24" t="e">
        <v>#N/A</v>
      </c>
      <c r="CTF27" s="24" t="e">
        <v>#N/A</v>
      </c>
      <c r="CTG27" s="24" t="e">
        <v>#N/A</v>
      </c>
      <c r="CTH27" s="24" t="e">
        <v>#N/A</v>
      </c>
      <c r="CTI27" s="24" t="e">
        <v>#N/A</v>
      </c>
      <c r="CTJ27" s="24" t="e">
        <v>#N/A</v>
      </c>
      <c r="CTK27" s="24" t="e">
        <v>#N/A</v>
      </c>
      <c r="CTL27" s="24" t="e">
        <v>#N/A</v>
      </c>
      <c r="CTM27" s="24" t="e">
        <v>#N/A</v>
      </c>
      <c r="CTN27" s="24" t="e">
        <v>#N/A</v>
      </c>
      <c r="CTO27" s="24" t="e">
        <v>#N/A</v>
      </c>
      <c r="CTP27" s="24" t="e">
        <v>#N/A</v>
      </c>
      <c r="CTQ27" s="24" t="e">
        <v>#N/A</v>
      </c>
      <c r="CTR27" s="24" t="e">
        <v>#N/A</v>
      </c>
      <c r="CTS27" s="24" t="e">
        <v>#N/A</v>
      </c>
      <c r="CTT27" s="24" t="e">
        <v>#N/A</v>
      </c>
      <c r="CTU27" s="24" t="e">
        <v>#N/A</v>
      </c>
      <c r="CTV27" s="24" t="e">
        <v>#N/A</v>
      </c>
      <c r="CTW27" s="24" t="e">
        <v>#N/A</v>
      </c>
      <c r="CTX27" s="24" t="e">
        <v>#N/A</v>
      </c>
      <c r="CTY27" s="24" t="e">
        <v>#N/A</v>
      </c>
      <c r="CTZ27" s="24" t="e">
        <v>#N/A</v>
      </c>
      <c r="CUA27" s="24" t="e">
        <v>#N/A</v>
      </c>
      <c r="CUB27" s="24" t="e">
        <v>#N/A</v>
      </c>
      <c r="CUC27" s="24" t="e">
        <v>#N/A</v>
      </c>
      <c r="CUD27" s="24" t="e">
        <v>#N/A</v>
      </c>
      <c r="CUE27" s="24" t="e">
        <v>#N/A</v>
      </c>
      <c r="CUF27" s="24" t="e">
        <v>#N/A</v>
      </c>
      <c r="CUG27" s="24" t="e">
        <v>#N/A</v>
      </c>
      <c r="CUH27" s="24" t="e">
        <v>#N/A</v>
      </c>
      <c r="CUI27" s="24" t="e">
        <v>#N/A</v>
      </c>
      <c r="CUJ27" s="24" t="e">
        <v>#N/A</v>
      </c>
      <c r="CUK27" s="24" t="e">
        <v>#N/A</v>
      </c>
      <c r="CUL27" s="24" t="e">
        <v>#N/A</v>
      </c>
      <c r="CUM27" s="24" t="e">
        <v>#N/A</v>
      </c>
      <c r="CUN27" s="24" t="e">
        <v>#N/A</v>
      </c>
      <c r="CUO27" s="24" t="e">
        <v>#N/A</v>
      </c>
      <c r="CUP27" s="24" t="e">
        <v>#N/A</v>
      </c>
      <c r="CUQ27" s="24" t="e">
        <v>#N/A</v>
      </c>
      <c r="CUR27" s="24" t="e">
        <v>#N/A</v>
      </c>
      <c r="CUS27" s="24" t="e">
        <v>#N/A</v>
      </c>
      <c r="CUT27" s="24" t="e">
        <v>#N/A</v>
      </c>
      <c r="CUU27" s="24" t="e">
        <v>#N/A</v>
      </c>
      <c r="CUV27" s="24" t="e">
        <v>#N/A</v>
      </c>
      <c r="CUW27" s="24" t="e">
        <v>#N/A</v>
      </c>
      <c r="CUX27" s="24" t="e">
        <v>#N/A</v>
      </c>
      <c r="CUY27" s="24" t="e">
        <v>#N/A</v>
      </c>
      <c r="CUZ27" s="24" t="e">
        <v>#N/A</v>
      </c>
      <c r="CVA27" s="24" t="e">
        <v>#N/A</v>
      </c>
      <c r="CVB27" s="24" t="e">
        <v>#N/A</v>
      </c>
      <c r="CVC27" s="24" t="e">
        <v>#N/A</v>
      </c>
      <c r="CVD27" s="24" t="e">
        <v>#N/A</v>
      </c>
      <c r="CVE27" s="24" t="e">
        <v>#N/A</v>
      </c>
      <c r="CVF27" s="24" t="e">
        <v>#N/A</v>
      </c>
      <c r="CVG27" s="24" t="e">
        <v>#N/A</v>
      </c>
      <c r="CVH27" s="24" t="e">
        <v>#N/A</v>
      </c>
      <c r="CVI27" s="24" t="e">
        <v>#N/A</v>
      </c>
      <c r="CVJ27" s="24" t="e">
        <v>#N/A</v>
      </c>
      <c r="CVK27" s="24" t="e">
        <v>#N/A</v>
      </c>
      <c r="CVL27" s="24" t="e">
        <v>#N/A</v>
      </c>
      <c r="CVM27" s="24" t="e">
        <v>#N/A</v>
      </c>
      <c r="CVN27" s="24" t="e">
        <v>#N/A</v>
      </c>
      <c r="CVO27" s="24" t="e">
        <v>#N/A</v>
      </c>
      <c r="CVP27" s="24" t="e">
        <v>#N/A</v>
      </c>
      <c r="CVQ27" s="24" t="e">
        <v>#N/A</v>
      </c>
      <c r="CVR27" s="24" t="e">
        <v>#N/A</v>
      </c>
      <c r="CVS27" s="24" t="e">
        <v>#N/A</v>
      </c>
      <c r="CVT27" s="24" t="e">
        <v>#N/A</v>
      </c>
      <c r="CVU27" s="24" t="e">
        <v>#N/A</v>
      </c>
      <c r="CVV27" s="24" t="e">
        <v>#N/A</v>
      </c>
      <c r="CVW27" s="24" t="e">
        <v>#N/A</v>
      </c>
      <c r="CVX27" s="24" t="e">
        <v>#N/A</v>
      </c>
      <c r="CVY27" s="24" t="e">
        <v>#N/A</v>
      </c>
      <c r="CVZ27" s="24" t="e">
        <v>#N/A</v>
      </c>
      <c r="CWA27" s="24" t="e">
        <v>#N/A</v>
      </c>
      <c r="CWB27" s="24" t="e">
        <v>#N/A</v>
      </c>
      <c r="CWC27" s="24" t="e">
        <v>#N/A</v>
      </c>
      <c r="CWD27" s="24" t="e">
        <v>#N/A</v>
      </c>
      <c r="CWE27" s="24" t="e">
        <v>#N/A</v>
      </c>
      <c r="CWF27" s="24" t="e">
        <v>#N/A</v>
      </c>
      <c r="CWG27" s="24" t="e">
        <v>#N/A</v>
      </c>
      <c r="CWH27" s="24" t="e">
        <v>#N/A</v>
      </c>
      <c r="CWI27" s="24" t="e">
        <v>#N/A</v>
      </c>
      <c r="CWJ27" s="24" t="e">
        <v>#N/A</v>
      </c>
      <c r="CWK27" s="24" t="e">
        <v>#N/A</v>
      </c>
      <c r="CWL27" s="24" t="e">
        <v>#N/A</v>
      </c>
      <c r="CWM27" s="24" t="e">
        <v>#N/A</v>
      </c>
      <c r="CWN27" s="24" t="e">
        <v>#N/A</v>
      </c>
      <c r="CWO27" s="24" t="e">
        <v>#N/A</v>
      </c>
      <c r="CWP27" s="24" t="e">
        <v>#N/A</v>
      </c>
      <c r="CWQ27" s="24" t="e">
        <v>#N/A</v>
      </c>
      <c r="CWR27" s="24" t="e">
        <v>#N/A</v>
      </c>
      <c r="CWS27" s="24" t="e">
        <v>#N/A</v>
      </c>
      <c r="CWT27" s="24" t="e">
        <v>#N/A</v>
      </c>
      <c r="CWU27" s="24" t="e">
        <v>#N/A</v>
      </c>
      <c r="CWV27" s="24" t="e">
        <v>#N/A</v>
      </c>
      <c r="CWW27" s="24" t="e">
        <v>#N/A</v>
      </c>
      <c r="CWX27" s="24" t="e">
        <v>#N/A</v>
      </c>
      <c r="CWY27" s="24" t="e">
        <v>#N/A</v>
      </c>
      <c r="CWZ27" s="24" t="e">
        <v>#N/A</v>
      </c>
      <c r="CXA27" s="24" t="e">
        <v>#N/A</v>
      </c>
      <c r="CXB27" s="24" t="e">
        <v>#N/A</v>
      </c>
      <c r="CXC27" s="24" t="e">
        <v>#N/A</v>
      </c>
      <c r="CXD27" s="24" t="e">
        <v>#N/A</v>
      </c>
      <c r="CXE27" s="24" t="e">
        <v>#N/A</v>
      </c>
      <c r="CXF27" s="24" t="e">
        <v>#N/A</v>
      </c>
      <c r="CXG27" s="24" t="e">
        <v>#N/A</v>
      </c>
      <c r="CXH27" s="24" t="e">
        <v>#N/A</v>
      </c>
      <c r="CXI27" s="24" t="e">
        <v>#N/A</v>
      </c>
      <c r="CXJ27" s="24" t="e">
        <v>#N/A</v>
      </c>
      <c r="CXK27" s="24" t="e">
        <v>#N/A</v>
      </c>
      <c r="CXL27" s="24" t="e">
        <v>#N/A</v>
      </c>
      <c r="CXM27" s="24" t="e">
        <v>#N/A</v>
      </c>
      <c r="CXN27" s="24" t="e">
        <v>#N/A</v>
      </c>
      <c r="CXO27" s="24" t="e">
        <v>#N/A</v>
      </c>
      <c r="CXP27" s="24" t="e">
        <v>#N/A</v>
      </c>
      <c r="CXQ27" s="24" t="e">
        <v>#N/A</v>
      </c>
      <c r="CXR27" s="24" t="e">
        <v>#N/A</v>
      </c>
      <c r="CXS27" s="24" t="e">
        <v>#N/A</v>
      </c>
      <c r="CXT27" s="24" t="e">
        <v>#N/A</v>
      </c>
      <c r="CXU27" s="24" t="e">
        <v>#N/A</v>
      </c>
      <c r="CXV27" s="24" t="e">
        <v>#N/A</v>
      </c>
      <c r="CXW27" s="24" t="e">
        <v>#N/A</v>
      </c>
      <c r="CXX27" s="24" t="e">
        <v>#N/A</v>
      </c>
      <c r="CXY27" s="24" t="e">
        <v>#N/A</v>
      </c>
      <c r="CXZ27" s="24" t="e">
        <v>#N/A</v>
      </c>
      <c r="CYA27" s="24" t="e">
        <v>#N/A</v>
      </c>
      <c r="CYB27" s="24" t="e">
        <v>#N/A</v>
      </c>
      <c r="CYC27" s="24" t="e">
        <v>#N/A</v>
      </c>
      <c r="CYD27" s="24" t="e">
        <v>#N/A</v>
      </c>
      <c r="CYE27" s="24" t="e">
        <v>#N/A</v>
      </c>
      <c r="CYF27" s="24" t="e">
        <v>#N/A</v>
      </c>
      <c r="CYG27" s="24" t="e">
        <v>#N/A</v>
      </c>
      <c r="CYH27" s="24" t="e">
        <v>#N/A</v>
      </c>
      <c r="CYI27" s="24" t="e">
        <v>#N/A</v>
      </c>
      <c r="CYJ27" s="24" t="e">
        <v>#N/A</v>
      </c>
      <c r="CYK27" s="24" t="e">
        <v>#N/A</v>
      </c>
      <c r="CYL27" s="24" t="e">
        <v>#N/A</v>
      </c>
      <c r="CYM27" s="24" t="e">
        <v>#N/A</v>
      </c>
      <c r="CYN27" s="24" t="e">
        <v>#N/A</v>
      </c>
      <c r="CYO27" s="24" t="e">
        <v>#N/A</v>
      </c>
      <c r="CYP27" s="24" t="e">
        <v>#N/A</v>
      </c>
      <c r="CYQ27" s="24" t="e">
        <v>#N/A</v>
      </c>
      <c r="CYR27" s="24" t="e">
        <v>#N/A</v>
      </c>
      <c r="CYS27" s="24" t="e">
        <v>#N/A</v>
      </c>
      <c r="CYT27" s="24" t="e">
        <v>#N/A</v>
      </c>
      <c r="CYU27" s="24" t="e">
        <v>#N/A</v>
      </c>
      <c r="CYV27" s="24" t="e">
        <v>#N/A</v>
      </c>
      <c r="CYW27" s="24" t="e">
        <v>#N/A</v>
      </c>
      <c r="CYX27" s="24" t="e">
        <v>#N/A</v>
      </c>
      <c r="CYY27" s="24" t="e">
        <v>#N/A</v>
      </c>
      <c r="CYZ27" s="24" t="e">
        <v>#N/A</v>
      </c>
      <c r="CZA27" s="24" t="e">
        <v>#N/A</v>
      </c>
      <c r="CZB27" s="24" t="e">
        <v>#N/A</v>
      </c>
      <c r="CZC27" s="24" t="e">
        <v>#N/A</v>
      </c>
      <c r="CZD27" s="24" t="e">
        <v>#N/A</v>
      </c>
      <c r="CZE27" s="24" t="e">
        <v>#N/A</v>
      </c>
      <c r="CZF27" s="24" t="e">
        <v>#N/A</v>
      </c>
      <c r="CZG27" s="24" t="e">
        <v>#N/A</v>
      </c>
      <c r="CZH27" s="24" t="e">
        <v>#N/A</v>
      </c>
      <c r="CZI27" s="24" t="e">
        <v>#N/A</v>
      </c>
      <c r="CZJ27" s="24" t="e">
        <v>#N/A</v>
      </c>
      <c r="CZK27" s="24" t="e">
        <v>#N/A</v>
      </c>
      <c r="CZL27" s="24" t="e">
        <v>#N/A</v>
      </c>
      <c r="CZM27" s="24" t="e">
        <v>#N/A</v>
      </c>
      <c r="CZN27" s="24" t="e">
        <v>#N/A</v>
      </c>
      <c r="CZO27" s="24" t="e">
        <v>#N/A</v>
      </c>
      <c r="CZP27" s="24" t="e">
        <v>#N/A</v>
      </c>
      <c r="CZQ27" s="24" t="e">
        <v>#N/A</v>
      </c>
      <c r="CZR27" s="24" t="e">
        <v>#N/A</v>
      </c>
      <c r="CZS27" s="24" t="e">
        <v>#N/A</v>
      </c>
      <c r="CZT27" s="24" t="e">
        <v>#N/A</v>
      </c>
      <c r="CZU27" s="24" t="e">
        <v>#N/A</v>
      </c>
      <c r="CZV27" s="24" t="e">
        <v>#N/A</v>
      </c>
      <c r="CZW27" s="24" t="e">
        <v>#N/A</v>
      </c>
      <c r="CZX27" s="24" t="e">
        <v>#N/A</v>
      </c>
      <c r="CZY27" s="24" t="e">
        <v>#N/A</v>
      </c>
      <c r="CZZ27" s="24" t="e">
        <v>#N/A</v>
      </c>
      <c r="DAA27" s="24" t="e">
        <v>#N/A</v>
      </c>
      <c r="DAB27" s="24" t="e">
        <v>#N/A</v>
      </c>
      <c r="DAC27" s="24" t="e">
        <v>#N/A</v>
      </c>
      <c r="DAD27" s="24" t="e">
        <v>#N/A</v>
      </c>
      <c r="DAE27" s="24" t="e">
        <v>#N/A</v>
      </c>
      <c r="DAF27" s="24" t="e">
        <v>#N/A</v>
      </c>
      <c r="DAG27" s="24" t="e">
        <v>#N/A</v>
      </c>
      <c r="DAH27" s="24" t="e">
        <v>#N/A</v>
      </c>
      <c r="DAI27" s="24" t="e">
        <v>#N/A</v>
      </c>
      <c r="DAJ27" s="24" t="e">
        <v>#N/A</v>
      </c>
      <c r="DAK27" s="24" t="e">
        <v>#N/A</v>
      </c>
      <c r="DAL27" s="24" t="e">
        <v>#N/A</v>
      </c>
      <c r="DAM27" s="24" t="e">
        <v>#N/A</v>
      </c>
      <c r="DAN27" s="24" t="e">
        <v>#N/A</v>
      </c>
      <c r="DAO27" s="24" t="e">
        <v>#N/A</v>
      </c>
      <c r="DAP27" s="24" t="e">
        <v>#N/A</v>
      </c>
      <c r="DAQ27" s="24" t="e">
        <v>#N/A</v>
      </c>
      <c r="DAR27" s="24" t="e">
        <v>#N/A</v>
      </c>
      <c r="DAS27" s="24" t="e">
        <v>#N/A</v>
      </c>
      <c r="DAT27" s="24" t="e">
        <v>#N/A</v>
      </c>
      <c r="DAU27" s="24" t="e">
        <v>#N/A</v>
      </c>
      <c r="DAV27" s="24" t="e">
        <v>#N/A</v>
      </c>
      <c r="DAW27" s="24" t="e">
        <v>#N/A</v>
      </c>
      <c r="DAX27" s="24" t="e">
        <v>#N/A</v>
      </c>
      <c r="DAY27" s="24" t="e">
        <v>#N/A</v>
      </c>
      <c r="DAZ27" s="24" t="e">
        <v>#N/A</v>
      </c>
      <c r="DBA27" s="24" t="e">
        <v>#N/A</v>
      </c>
      <c r="DBB27" s="24" t="e">
        <v>#N/A</v>
      </c>
      <c r="DBC27" s="24" t="e">
        <v>#N/A</v>
      </c>
      <c r="DBD27" s="24" t="e">
        <v>#N/A</v>
      </c>
      <c r="DBE27" s="24" t="e">
        <v>#N/A</v>
      </c>
      <c r="DBF27" s="24" t="e">
        <v>#N/A</v>
      </c>
      <c r="DBG27" s="24" t="e">
        <v>#N/A</v>
      </c>
      <c r="DBH27" s="24" t="e">
        <v>#N/A</v>
      </c>
      <c r="DBI27" s="24" t="e">
        <v>#N/A</v>
      </c>
      <c r="DBJ27" s="24" t="e">
        <v>#N/A</v>
      </c>
      <c r="DBK27" s="24" t="e">
        <v>#N/A</v>
      </c>
      <c r="DBL27" s="24" t="e">
        <v>#N/A</v>
      </c>
      <c r="DBM27" s="24" t="e">
        <v>#N/A</v>
      </c>
      <c r="DBN27" s="24" t="e">
        <v>#N/A</v>
      </c>
      <c r="DBO27" s="24" t="e">
        <v>#N/A</v>
      </c>
      <c r="DBP27" s="24" t="e">
        <v>#N/A</v>
      </c>
      <c r="DBQ27" s="24" t="e">
        <v>#N/A</v>
      </c>
      <c r="DBR27" s="24" t="e">
        <v>#N/A</v>
      </c>
      <c r="DBS27" s="24" t="e">
        <v>#N/A</v>
      </c>
      <c r="DBT27" s="24" t="e">
        <v>#N/A</v>
      </c>
      <c r="DBU27" s="24" t="e">
        <v>#N/A</v>
      </c>
      <c r="DBV27" s="24" t="e">
        <v>#N/A</v>
      </c>
      <c r="DBW27" s="24" t="e">
        <v>#N/A</v>
      </c>
      <c r="DBX27" s="24" t="e">
        <v>#N/A</v>
      </c>
      <c r="DBY27" s="24" t="e">
        <v>#N/A</v>
      </c>
      <c r="DBZ27" s="24" t="e">
        <v>#N/A</v>
      </c>
      <c r="DCA27" s="24" t="e">
        <v>#N/A</v>
      </c>
      <c r="DCB27" s="24" t="e">
        <v>#N/A</v>
      </c>
      <c r="DCC27" s="24" t="e">
        <v>#N/A</v>
      </c>
      <c r="DCD27" s="24" t="e">
        <v>#N/A</v>
      </c>
      <c r="DCE27" s="24" t="e">
        <v>#N/A</v>
      </c>
      <c r="DCF27" s="24" t="e">
        <v>#N/A</v>
      </c>
      <c r="DCG27" s="24" t="e">
        <v>#N/A</v>
      </c>
      <c r="DCH27" s="24" t="e">
        <v>#N/A</v>
      </c>
      <c r="DCI27" s="24" t="e">
        <v>#N/A</v>
      </c>
      <c r="DCJ27" s="24" t="e">
        <v>#N/A</v>
      </c>
      <c r="DCK27" s="24" t="e">
        <v>#N/A</v>
      </c>
      <c r="DCL27" s="24" t="e">
        <v>#N/A</v>
      </c>
      <c r="DCM27" s="24" t="e">
        <v>#N/A</v>
      </c>
      <c r="DCN27" s="24" t="e">
        <v>#N/A</v>
      </c>
      <c r="DCO27" s="24" t="e">
        <v>#N/A</v>
      </c>
      <c r="DCP27" s="24" t="e">
        <v>#N/A</v>
      </c>
      <c r="DCQ27" s="24" t="e">
        <v>#N/A</v>
      </c>
      <c r="DCR27" s="24" t="e">
        <v>#N/A</v>
      </c>
      <c r="DCS27" s="24" t="e">
        <v>#N/A</v>
      </c>
      <c r="DCT27" s="24" t="e">
        <v>#N/A</v>
      </c>
      <c r="DCU27" s="24" t="e">
        <v>#N/A</v>
      </c>
      <c r="DCV27" s="24" t="e">
        <v>#N/A</v>
      </c>
      <c r="DCW27" s="24" t="e">
        <v>#N/A</v>
      </c>
      <c r="DCX27" s="24" t="e">
        <v>#N/A</v>
      </c>
      <c r="DCY27" s="24" t="e">
        <v>#N/A</v>
      </c>
      <c r="DCZ27" s="24" t="e">
        <v>#N/A</v>
      </c>
      <c r="DDA27" s="24" t="e">
        <v>#N/A</v>
      </c>
      <c r="DDB27" s="24" t="e">
        <v>#N/A</v>
      </c>
      <c r="DDC27" s="24" t="e">
        <v>#N/A</v>
      </c>
      <c r="DDD27" s="24" t="e">
        <v>#N/A</v>
      </c>
      <c r="DDE27" s="24" t="e">
        <v>#N/A</v>
      </c>
      <c r="DDF27" s="24" t="e">
        <v>#N/A</v>
      </c>
      <c r="DDG27" s="24" t="e">
        <v>#N/A</v>
      </c>
      <c r="DDH27" s="24" t="e">
        <v>#N/A</v>
      </c>
      <c r="DDI27" s="24" t="e">
        <v>#N/A</v>
      </c>
      <c r="DDJ27" s="24" t="e">
        <v>#N/A</v>
      </c>
      <c r="DDK27" s="24" t="e">
        <v>#N/A</v>
      </c>
      <c r="DDL27" s="24" t="e">
        <v>#N/A</v>
      </c>
      <c r="DDM27" s="24" t="e">
        <v>#N/A</v>
      </c>
      <c r="DDN27" s="24" t="e">
        <v>#N/A</v>
      </c>
      <c r="DDO27" s="24" t="e">
        <v>#N/A</v>
      </c>
      <c r="DDP27" s="24" t="e">
        <v>#N/A</v>
      </c>
      <c r="DDQ27" s="24" t="e">
        <v>#N/A</v>
      </c>
      <c r="DDR27" s="24" t="e">
        <v>#N/A</v>
      </c>
      <c r="DDS27" s="24" t="e">
        <v>#N/A</v>
      </c>
      <c r="DDT27" s="24" t="e">
        <v>#N/A</v>
      </c>
      <c r="DDU27" s="24" t="e">
        <v>#N/A</v>
      </c>
      <c r="DDV27" s="24" t="e">
        <v>#N/A</v>
      </c>
      <c r="DDW27" s="24" t="e">
        <v>#N/A</v>
      </c>
      <c r="DDX27" s="24" t="e">
        <v>#N/A</v>
      </c>
      <c r="DDY27" s="24" t="e">
        <v>#N/A</v>
      </c>
      <c r="DDZ27" s="24" t="e">
        <v>#N/A</v>
      </c>
      <c r="DEA27" s="24" t="e">
        <v>#N/A</v>
      </c>
      <c r="DEB27" s="24" t="e">
        <v>#N/A</v>
      </c>
      <c r="DEC27" s="24" t="e">
        <v>#N/A</v>
      </c>
      <c r="DED27" s="24" t="e">
        <v>#N/A</v>
      </c>
      <c r="DEE27" s="24" t="e">
        <v>#N/A</v>
      </c>
      <c r="DEF27" s="24" t="e">
        <v>#N/A</v>
      </c>
      <c r="DEG27" s="24" t="e">
        <v>#N/A</v>
      </c>
      <c r="DEH27" s="24" t="e">
        <v>#N/A</v>
      </c>
      <c r="DEI27" s="24" t="e">
        <v>#N/A</v>
      </c>
      <c r="DEJ27" s="24" t="e">
        <v>#N/A</v>
      </c>
      <c r="DEK27" s="24" t="e">
        <v>#N/A</v>
      </c>
      <c r="DEL27" s="24" t="e">
        <v>#N/A</v>
      </c>
      <c r="DEM27" s="24" t="e">
        <v>#N/A</v>
      </c>
      <c r="DEN27" s="24" t="e">
        <v>#N/A</v>
      </c>
      <c r="DEO27" s="24" t="e">
        <v>#N/A</v>
      </c>
      <c r="DEP27" s="24" t="e">
        <v>#N/A</v>
      </c>
      <c r="DEQ27" s="24" t="e">
        <v>#N/A</v>
      </c>
      <c r="DER27" s="24" t="e">
        <v>#N/A</v>
      </c>
      <c r="DES27" s="24" t="e">
        <v>#N/A</v>
      </c>
      <c r="DET27" s="24" t="e">
        <v>#N/A</v>
      </c>
      <c r="DEU27" s="24" t="e">
        <v>#N/A</v>
      </c>
      <c r="DEV27" s="24" t="e">
        <v>#N/A</v>
      </c>
      <c r="DEW27" s="24" t="e">
        <v>#N/A</v>
      </c>
      <c r="DEX27" s="24" t="e">
        <v>#N/A</v>
      </c>
      <c r="DEY27" s="24" t="e">
        <v>#N/A</v>
      </c>
      <c r="DEZ27" s="24" t="e">
        <v>#N/A</v>
      </c>
      <c r="DFA27" s="24" t="e">
        <v>#N/A</v>
      </c>
      <c r="DFB27" s="24" t="e">
        <v>#N/A</v>
      </c>
      <c r="DFC27" s="24" t="e">
        <v>#N/A</v>
      </c>
      <c r="DFD27" s="24" t="e">
        <v>#N/A</v>
      </c>
      <c r="DFE27" s="24" t="e">
        <v>#N/A</v>
      </c>
      <c r="DFF27" s="24" t="e">
        <v>#N/A</v>
      </c>
      <c r="DFG27" s="24" t="e">
        <v>#N/A</v>
      </c>
      <c r="DFH27" s="24" t="e">
        <v>#N/A</v>
      </c>
      <c r="DFI27" s="24" t="e">
        <v>#N/A</v>
      </c>
      <c r="DFJ27" s="24" t="e">
        <v>#N/A</v>
      </c>
      <c r="DFK27" s="24" t="e">
        <v>#N/A</v>
      </c>
      <c r="DFL27" s="24" t="e">
        <v>#N/A</v>
      </c>
      <c r="DFM27" s="24" t="e">
        <v>#N/A</v>
      </c>
      <c r="DFN27" s="24" t="e">
        <v>#N/A</v>
      </c>
      <c r="DFO27" s="24" t="e">
        <v>#N/A</v>
      </c>
      <c r="DFP27" s="24" t="e">
        <v>#N/A</v>
      </c>
      <c r="DFQ27" s="24" t="e">
        <v>#N/A</v>
      </c>
      <c r="DFR27" s="24" t="e">
        <v>#N/A</v>
      </c>
      <c r="DFS27" s="24" t="e">
        <v>#N/A</v>
      </c>
      <c r="DFT27" s="24" t="e">
        <v>#N/A</v>
      </c>
      <c r="DFU27" s="24" t="e">
        <v>#N/A</v>
      </c>
      <c r="DFV27" s="24" t="e">
        <v>#N/A</v>
      </c>
      <c r="DFW27" s="24" t="e">
        <v>#N/A</v>
      </c>
      <c r="DFX27" s="24" t="e">
        <v>#N/A</v>
      </c>
      <c r="DFY27" s="24" t="e">
        <v>#N/A</v>
      </c>
      <c r="DFZ27" s="24" t="e">
        <v>#N/A</v>
      </c>
      <c r="DGA27" s="24" t="e">
        <v>#N/A</v>
      </c>
      <c r="DGB27" s="24" t="e">
        <v>#N/A</v>
      </c>
      <c r="DGC27" s="24" t="e">
        <v>#N/A</v>
      </c>
      <c r="DGD27" s="24" t="e">
        <v>#N/A</v>
      </c>
      <c r="DGE27" s="24" t="e">
        <v>#N/A</v>
      </c>
      <c r="DGF27" s="24" t="e">
        <v>#N/A</v>
      </c>
      <c r="DGG27" s="24" t="e">
        <v>#N/A</v>
      </c>
      <c r="DGH27" s="24" t="e">
        <v>#N/A</v>
      </c>
      <c r="DGI27" s="24" t="e">
        <v>#N/A</v>
      </c>
      <c r="DGJ27" s="24" t="e">
        <v>#N/A</v>
      </c>
      <c r="DGK27" s="24" t="e">
        <v>#N/A</v>
      </c>
      <c r="DGL27" s="24" t="e">
        <v>#N/A</v>
      </c>
      <c r="DGM27" s="24" t="e">
        <v>#N/A</v>
      </c>
      <c r="DGN27" s="24" t="e">
        <v>#N/A</v>
      </c>
      <c r="DGO27" s="24" t="e">
        <v>#N/A</v>
      </c>
      <c r="DGP27" s="24" t="e">
        <v>#N/A</v>
      </c>
      <c r="DGQ27" s="24" t="e">
        <v>#N/A</v>
      </c>
      <c r="DGR27" s="24" t="e">
        <v>#N/A</v>
      </c>
      <c r="DGS27" s="24" t="e">
        <v>#N/A</v>
      </c>
      <c r="DGT27" s="24" t="e">
        <v>#N/A</v>
      </c>
      <c r="DGU27" s="24" t="e">
        <v>#N/A</v>
      </c>
      <c r="DGV27" s="24" t="e">
        <v>#N/A</v>
      </c>
      <c r="DGW27" s="24" t="e">
        <v>#N/A</v>
      </c>
      <c r="DGX27" s="24" t="e">
        <v>#N/A</v>
      </c>
      <c r="DGY27" s="24" t="e">
        <v>#N/A</v>
      </c>
      <c r="DGZ27" s="24" t="e">
        <v>#N/A</v>
      </c>
      <c r="DHA27" s="24" t="e">
        <v>#N/A</v>
      </c>
      <c r="DHB27" s="24" t="e">
        <v>#N/A</v>
      </c>
      <c r="DHC27" s="24" t="e">
        <v>#N/A</v>
      </c>
      <c r="DHD27" s="24" t="e">
        <v>#N/A</v>
      </c>
      <c r="DHE27" s="24" t="e">
        <v>#N/A</v>
      </c>
      <c r="DHF27" s="24" t="e">
        <v>#N/A</v>
      </c>
      <c r="DHG27" s="24" t="e">
        <v>#N/A</v>
      </c>
      <c r="DHH27" s="24" t="e">
        <v>#N/A</v>
      </c>
      <c r="DHI27" s="24" t="e">
        <v>#N/A</v>
      </c>
      <c r="DHJ27" s="24" t="e">
        <v>#N/A</v>
      </c>
      <c r="DHK27" s="24" t="e">
        <v>#N/A</v>
      </c>
      <c r="DHL27" s="24" t="e">
        <v>#N/A</v>
      </c>
      <c r="DHM27" s="24" t="e">
        <v>#N/A</v>
      </c>
      <c r="DHN27" s="24" t="e">
        <v>#N/A</v>
      </c>
      <c r="DHO27" s="24" t="e">
        <v>#N/A</v>
      </c>
      <c r="DHP27" s="24" t="e">
        <v>#N/A</v>
      </c>
      <c r="DHQ27" s="24" t="e">
        <v>#N/A</v>
      </c>
      <c r="DHR27" s="24" t="e">
        <v>#N/A</v>
      </c>
      <c r="DHS27" s="24" t="e">
        <v>#N/A</v>
      </c>
      <c r="DHT27" s="24" t="e">
        <v>#N/A</v>
      </c>
      <c r="DHU27" s="24" t="e">
        <v>#N/A</v>
      </c>
      <c r="DHV27" s="24" t="e">
        <v>#N/A</v>
      </c>
      <c r="DHW27" s="24" t="e">
        <v>#N/A</v>
      </c>
      <c r="DHX27" s="24" t="e">
        <v>#N/A</v>
      </c>
      <c r="DHY27" s="24" t="e">
        <v>#N/A</v>
      </c>
      <c r="DHZ27" s="24" t="e">
        <v>#N/A</v>
      </c>
      <c r="DIA27" s="24" t="e">
        <v>#N/A</v>
      </c>
      <c r="DIB27" s="24" t="e">
        <v>#N/A</v>
      </c>
      <c r="DIC27" s="24" t="e">
        <v>#N/A</v>
      </c>
      <c r="DID27" s="24" t="e">
        <v>#N/A</v>
      </c>
      <c r="DIE27" s="24" t="e">
        <v>#N/A</v>
      </c>
      <c r="DIF27" s="24" t="e">
        <v>#N/A</v>
      </c>
      <c r="DIG27" s="24" t="e">
        <v>#N/A</v>
      </c>
      <c r="DIH27" s="24" t="e">
        <v>#N/A</v>
      </c>
      <c r="DII27" s="24" t="e">
        <v>#N/A</v>
      </c>
      <c r="DIJ27" s="24" t="e">
        <v>#N/A</v>
      </c>
      <c r="DIK27" s="24" t="e">
        <v>#N/A</v>
      </c>
      <c r="DIL27" s="24" t="e">
        <v>#N/A</v>
      </c>
      <c r="DIM27" s="24" t="e">
        <v>#N/A</v>
      </c>
      <c r="DIN27" s="24" t="e">
        <v>#N/A</v>
      </c>
      <c r="DIO27" s="24" t="e">
        <v>#N/A</v>
      </c>
      <c r="DIP27" s="24" t="e">
        <v>#N/A</v>
      </c>
      <c r="DIQ27" s="24" t="e">
        <v>#N/A</v>
      </c>
      <c r="DIR27" s="24" t="e">
        <v>#N/A</v>
      </c>
      <c r="DIS27" s="24" t="e">
        <v>#N/A</v>
      </c>
      <c r="DIT27" s="24" t="e">
        <v>#N/A</v>
      </c>
      <c r="DIU27" s="24" t="e">
        <v>#N/A</v>
      </c>
      <c r="DIV27" s="24" t="e">
        <v>#N/A</v>
      </c>
      <c r="DIW27" s="24" t="e">
        <v>#N/A</v>
      </c>
      <c r="DIX27" s="24" t="e">
        <v>#N/A</v>
      </c>
      <c r="DIY27" s="24" t="e">
        <v>#N/A</v>
      </c>
      <c r="DIZ27" s="24" t="e">
        <v>#N/A</v>
      </c>
      <c r="DJA27" s="24" t="e">
        <v>#N/A</v>
      </c>
      <c r="DJB27" s="24" t="e">
        <v>#N/A</v>
      </c>
      <c r="DJC27" s="24" t="e">
        <v>#N/A</v>
      </c>
      <c r="DJD27" s="24" t="e">
        <v>#N/A</v>
      </c>
      <c r="DJE27" s="24" t="e">
        <v>#N/A</v>
      </c>
      <c r="DJF27" s="24" t="e">
        <v>#N/A</v>
      </c>
      <c r="DJG27" s="24" t="e">
        <v>#N/A</v>
      </c>
      <c r="DJH27" s="24" t="e">
        <v>#N/A</v>
      </c>
      <c r="DJI27" s="24" t="e">
        <v>#N/A</v>
      </c>
      <c r="DJJ27" s="24" t="e">
        <v>#N/A</v>
      </c>
      <c r="DJK27" s="24" t="e">
        <v>#N/A</v>
      </c>
      <c r="DJL27" s="24" t="e">
        <v>#N/A</v>
      </c>
      <c r="DJM27" s="24" t="e">
        <v>#N/A</v>
      </c>
      <c r="DJN27" s="24" t="e">
        <v>#N/A</v>
      </c>
      <c r="DJO27" s="24" t="e">
        <v>#N/A</v>
      </c>
      <c r="DJP27" s="24" t="e">
        <v>#N/A</v>
      </c>
      <c r="DJQ27" s="24" t="e">
        <v>#N/A</v>
      </c>
      <c r="DJR27" s="24" t="e">
        <v>#N/A</v>
      </c>
      <c r="DJS27" s="24" t="e">
        <v>#N/A</v>
      </c>
      <c r="DJT27" s="24" t="e">
        <v>#N/A</v>
      </c>
      <c r="DJU27" s="24" t="e">
        <v>#N/A</v>
      </c>
      <c r="DJV27" s="24" t="e">
        <v>#N/A</v>
      </c>
      <c r="DJW27" s="24" t="e">
        <v>#N/A</v>
      </c>
      <c r="DJX27" s="24" t="e">
        <v>#N/A</v>
      </c>
      <c r="DJY27" s="24" t="e">
        <v>#N/A</v>
      </c>
      <c r="DJZ27" s="24" t="e">
        <v>#N/A</v>
      </c>
      <c r="DKA27" s="24" t="e">
        <v>#N/A</v>
      </c>
      <c r="DKB27" s="24" t="e">
        <v>#N/A</v>
      </c>
      <c r="DKC27" s="24" t="e">
        <v>#N/A</v>
      </c>
      <c r="DKD27" s="24" t="e">
        <v>#N/A</v>
      </c>
      <c r="DKE27" s="24" t="e">
        <v>#N/A</v>
      </c>
      <c r="DKF27" s="24" t="e">
        <v>#N/A</v>
      </c>
      <c r="DKG27" s="24" t="e">
        <v>#N/A</v>
      </c>
      <c r="DKH27" s="24" t="e">
        <v>#N/A</v>
      </c>
      <c r="DKI27" s="24" t="e">
        <v>#N/A</v>
      </c>
      <c r="DKJ27" s="24" t="e">
        <v>#N/A</v>
      </c>
      <c r="DKK27" s="24" t="e">
        <v>#N/A</v>
      </c>
      <c r="DKL27" s="24" t="e">
        <v>#N/A</v>
      </c>
      <c r="DKM27" s="24" t="e">
        <v>#N/A</v>
      </c>
      <c r="DKN27" s="24" t="e">
        <v>#N/A</v>
      </c>
      <c r="DKO27" s="24" t="e">
        <v>#N/A</v>
      </c>
      <c r="DKP27" s="24" t="e">
        <v>#N/A</v>
      </c>
      <c r="DKQ27" s="24" t="e">
        <v>#N/A</v>
      </c>
      <c r="DKR27" s="24" t="e">
        <v>#N/A</v>
      </c>
      <c r="DKS27" s="24" t="e">
        <v>#N/A</v>
      </c>
      <c r="DKT27" s="24" t="e">
        <v>#N/A</v>
      </c>
      <c r="DKU27" s="24" t="e">
        <v>#N/A</v>
      </c>
      <c r="DKV27" s="24" t="e">
        <v>#N/A</v>
      </c>
      <c r="DKW27" s="24" t="e">
        <v>#N/A</v>
      </c>
      <c r="DKX27" s="24" t="e">
        <v>#N/A</v>
      </c>
      <c r="DKY27" s="24" t="e">
        <v>#N/A</v>
      </c>
      <c r="DKZ27" s="24" t="e">
        <v>#N/A</v>
      </c>
      <c r="DLA27" s="24" t="e">
        <v>#N/A</v>
      </c>
      <c r="DLB27" s="24" t="e">
        <v>#N/A</v>
      </c>
      <c r="DLC27" s="24" t="e">
        <v>#N/A</v>
      </c>
      <c r="DLD27" s="24" t="e">
        <v>#N/A</v>
      </c>
      <c r="DLE27" s="24" t="e">
        <v>#N/A</v>
      </c>
      <c r="DLF27" s="24" t="e">
        <v>#N/A</v>
      </c>
      <c r="DLG27" s="24" t="e">
        <v>#N/A</v>
      </c>
      <c r="DLH27" s="24" t="e">
        <v>#N/A</v>
      </c>
      <c r="DLI27" s="24" t="e">
        <v>#N/A</v>
      </c>
      <c r="DLJ27" s="24" t="e">
        <v>#N/A</v>
      </c>
      <c r="DLK27" s="24" t="e">
        <v>#N/A</v>
      </c>
      <c r="DLL27" s="24" t="e">
        <v>#N/A</v>
      </c>
      <c r="DLM27" s="24" t="e">
        <v>#N/A</v>
      </c>
      <c r="DLN27" s="24" t="e">
        <v>#N/A</v>
      </c>
      <c r="DLO27" s="24" t="e">
        <v>#N/A</v>
      </c>
      <c r="DLP27" s="24" t="e">
        <v>#N/A</v>
      </c>
      <c r="DLQ27" s="24" t="e">
        <v>#N/A</v>
      </c>
      <c r="DLR27" s="24" t="e">
        <v>#N/A</v>
      </c>
      <c r="DLS27" s="24" t="e">
        <v>#N/A</v>
      </c>
      <c r="DLT27" s="24" t="e">
        <v>#N/A</v>
      </c>
      <c r="DLU27" s="24" t="e">
        <v>#N/A</v>
      </c>
      <c r="DLV27" s="24" t="e">
        <v>#N/A</v>
      </c>
      <c r="DLW27" s="24" t="e">
        <v>#N/A</v>
      </c>
      <c r="DLX27" s="24" t="e">
        <v>#N/A</v>
      </c>
      <c r="DLY27" s="24" t="e">
        <v>#N/A</v>
      </c>
      <c r="DLZ27" s="24" t="e">
        <v>#N/A</v>
      </c>
      <c r="DMA27" s="24" t="e">
        <v>#N/A</v>
      </c>
      <c r="DMB27" s="24" t="e">
        <v>#N/A</v>
      </c>
      <c r="DMC27" s="24" t="e">
        <v>#N/A</v>
      </c>
      <c r="DMD27" s="24" t="e">
        <v>#N/A</v>
      </c>
      <c r="DME27" s="24" t="e">
        <v>#N/A</v>
      </c>
      <c r="DMF27" s="24" t="e">
        <v>#N/A</v>
      </c>
      <c r="DMG27" s="24" t="e">
        <v>#N/A</v>
      </c>
      <c r="DMH27" s="24" t="e">
        <v>#N/A</v>
      </c>
      <c r="DMI27" s="24" t="e">
        <v>#N/A</v>
      </c>
      <c r="DMJ27" s="24" t="e">
        <v>#N/A</v>
      </c>
      <c r="DMK27" s="24" t="e">
        <v>#N/A</v>
      </c>
      <c r="DML27" s="24" t="e">
        <v>#N/A</v>
      </c>
      <c r="DMM27" s="24" t="e">
        <v>#N/A</v>
      </c>
      <c r="DMN27" s="24" t="e">
        <v>#N/A</v>
      </c>
      <c r="DMO27" s="24" t="e">
        <v>#N/A</v>
      </c>
      <c r="DMP27" s="24" t="e">
        <v>#N/A</v>
      </c>
      <c r="DMQ27" s="24" t="e">
        <v>#N/A</v>
      </c>
      <c r="DMR27" s="24" t="e">
        <v>#N/A</v>
      </c>
      <c r="DMS27" s="24" t="e">
        <v>#N/A</v>
      </c>
      <c r="DMT27" s="24" t="e">
        <v>#N/A</v>
      </c>
      <c r="DMU27" s="24" t="e">
        <v>#N/A</v>
      </c>
      <c r="DMV27" s="24" t="e">
        <v>#N/A</v>
      </c>
      <c r="DMW27" s="24" t="e">
        <v>#N/A</v>
      </c>
      <c r="DMX27" s="24" t="e">
        <v>#N/A</v>
      </c>
      <c r="DMY27" s="24" t="e">
        <v>#N/A</v>
      </c>
      <c r="DMZ27" s="24" t="e">
        <v>#N/A</v>
      </c>
      <c r="DNA27" s="24" t="e">
        <v>#N/A</v>
      </c>
      <c r="DNB27" s="24" t="e">
        <v>#N/A</v>
      </c>
      <c r="DNC27" s="24" t="e">
        <v>#N/A</v>
      </c>
      <c r="DND27" s="24" t="e">
        <v>#N/A</v>
      </c>
      <c r="DNE27" s="24" t="e">
        <v>#N/A</v>
      </c>
      <c r="DNF27" s="24" t="e">
        <v>#N/A</v>
      </c>
      <c r="DNG27" s="24" t="e">
        <v>#N/A</v>
      </c>
      <c r="DNH27" s="24" t="e">
        <v>#N/A</v>
      </c>
      <c r="DNI27" s="24" t="e">
        <v>#N/A</v>
      </c>
      <c r="DNJ27" s="24" t="e">
        <v>#N/A</v>
      </c>
      <c r="DNK27" s="24" t="e">
        <v>#N/A</v>
      </c>
      <c r="DNL27" s="24" t="e">
        <v>#N/A</v>
      </c>
      <c r="DNM27" s="24" t="e">
        <v>#N/A</v>
      </c>
      <c r="DNN27" s="24" t="e">
        <v>#N/A</v>
      </c>
      <c r="DNO27" s="24" t="e">
        <v>#N/A</v>
      </c>
      <c r="DNP27" s="24" t="e">
        <v>#N/A</v>
      </c>
      <c r="DNQ27" s="24" t="e">
        <v>#N/A</v>
      </c>
      <c r="DNR27" s="24" t="e">
        <v>#N/A</v>
      </c>
      <c r="DNS27" s="24" t="e">
        <v>#N/A</v>
      </c>
      <c r="DNT27" s="24" t="e">
        <v>#N/A</v>
      </c>
      <c r="DNU27" s="24" t="e">
        <v>#N/A</v>
      </c>
      <c r="DNV27" s="24" t="e">
        <v>#N/A</v>
      </c>
      <c r="DNW27" s="24" t="e">
        <v>#N/A</v>
      </c>
      <c r="DNX27" s="24" t="e">
        <v>#N/A</v>
      </c>
      <c r="DNY27" s="24" t="e">
        <v>#N/A</v>
      </c>
      <c r="DNZ27" s="24" t="e">
        <v>#N/A</v>
      </c>
      <c r="DOA27" s="24" t="e">
        <v>#N/A</v>
      </c>
      <c r="DOB27" s="24" t="e">
        <v>#N/A</v>
      </c>
      <c r="DOC27" s="24" t="e">
        <v>#N/A</v>
      </c>
      <c r="DOD27" s="24" t="e">
        <v>#N/A</v>
      </c>
      <c r="DOE27" s="24" t="e">
        <v>#N/A</v>
      </c>
      <c r="DOF27" s="24" t="e">
        <v>#N/A</v>
      </c>
      <c r="DOG27" s="24" t="e">
        <v>#N/A</v>
      </c>
      <c r="DOH27" s="24" t="e">
        <v>#N/A</v>
      </c>
      <c r="DOI27" s="24" t="e">
        <v>#N/A</v>
      </c>
      <c r="DOJ27" s="24" t="e">
        <v>#N/A</v>
      </c>
      <c r="DOK27" s="24" t="e">
        <v>#N/A</v>
      </c>
      <c r="DOL27" s="24" t="e">
        <v>#N/A</v>
      </c>
      <c r="DOM27" s="24" t="e">
        <v>#N/A</v>
      </c>
      <c r="DON27" s="24" t="e">
        <v>#N/A</v>
      </c>
      <c r="DOO27" s="24" t="e">
        <v>#N/A</v>
      </c>
      <c r="DOP27" s="24" t="e">
        <v>#N/A</v>
      </c>
      <c r="DOQ27" s="24" t="e">
        <v>#N/A</v>
      </c>
      <c r="DOR27" s="24" t="e">
        <v>#N/A</v>
      </c>
      <c r="DOS27" s="24" t="e">
        <v>#N/A</v>
      </c>
      <c r="DOT27" s="24" t="e">
        <v>#N/A</v>
      </c>
      <c r="DOU27" s="24" t="e">
        <v>#N/A</v>
      </c>
      <c r="DOV27" s="24" t="e">
        <v>#N/A</v>
      </c>
      <c r="DOW27" s="24" t="e">
        <v>#N/A</v>
      </c>
      <c r="DOX27" s="24" t="e">
        <v>#N/A</v>
      </c>
      <c r="DOY27" s="24" t="e">
        <v>#N/A</v>
      </c>
      <c r="DOZ27" s="24" t="e">
        <v>#N/A</v>
      </c>
      <c r="DPA27" s="24" t="e">
        <v>#N/A</v>
      </c>
      <c r="DPB27" s="24" t="e">
        <v>#N/A</v>
      </c>
      <c r="DPC27" s="24" t="e">
        <v>#N/A</v>
      </c>
      <c r="DPD27" s="24" t="e">
        <v>#N/A</v>
      </c>
      <c r="DPE27" s="24" t="e">
        <v>#N/A</v>
      </c>
      <c r="DPF27" s="24" t="e">
        <v>#N/A</v>
      </c>
      <c r="DPG27" s="24" t="e">
        <v>#N/A</v>
      </c>
      <c r="DPH27" s="24" t="e">
        <v>#N/A</v>
      </c>
      <c r="DPI27" s="24" t="e">
        <v>#N/A</v>
      </c>
      <c r="DPJ27" s="24" t="e">
        <v>#N/A</v>
      </c>
      <c r="DPK27" s="24" t="e">
        <v>#N/A</v>
      </c>
      <c r="DPL27" s="24" t="e">
        <v>#N/A</v>
      </c>
      <c r="DPM27" s="24" t="e">
        <v>#N/A</v>
      </c>
      <c r="DPN27" s="24" t="e">
        <v>#N/A</v>
      </c>
      <c r="DPO27" s="24" t="e">
        <v>#N/A</v>
      </c>
      <c r="DPP27" s="24" t="e">
        <v>#N/A</v>
      </c>
      <c r="DPQ27" s="24" t="e">
        <v>#N/A</v>
      </c>
      <c r="DPR27" s="24" t="e">
        <v>#N/A</v>
      </c>
      <c r="DPS27" s="24" t="e">
        <v>#N/A</v>
      </c>
      <c r="DPT27" s="24" t="e">
        <v>#N/A</v>
      </c>
      <c r="DPU27" s="24" t="e">
        <v>#N/A</v>
      </c>
      <c r="DPV27" s="24" t="e">
        <v>#N/A</v>
      </c>
      <c r="DPW27" s="24" t="e">
        <v>#N/A</v>
      </c>
      <c r="DPX27" s="24" t="e">
        <v>#N/A</v>
      </c>
      <c r="DPY27" s="24" t="e">
        <v>#N/A</v>
      </c>
      <c r="DPZ27" s="24" t="e">
        <v>#N/A</v>
      </c>
      <c r="DQA27" s="24" t="e">
        <v>#N/A</v>
      </c>
      <c r="DQB27" s="24" t="e">
        <v>#N/A</v>
      </c>
      <c r="DQC27" s="24" t="e">
        <v>#N/A</v>
      </c>
      <c r="DQD27" s="24" t="e">
        <v>#N/A</v>
      </c>
      <c r="DQE27" s="24" t="e">
        <v>#N/A</v>
      </c>
      <c r="DQF27" s="24" t="e">
        <v>#N/A</v>
      </c>
      <c r="DQG27" s="24" t="e">
        <v>#N/A</v>
      </c>
      <c r="DQH27" s="24" t="e">
        <v>#N/A</v>
      </c>
      <c r="DQI27" s="24" t="e">
        <v>#N/A</v>
      </c>
      <c r="DQJ27" s="24" t="e">
        <v>#N/A</v>
      </c>
      <c r="DQK27" s="24" t="e">
        <v>#N/A</v>
      </c>
      <c r="DQL27" s="24" t="e">
        <v>#N/A</v>
      </c>
      <c r="DQM27" s="24" t="e">
        <v>#N/A</v>
      </c>
      <c r="DQN27" s="24" t="e">
        <v>#N/A</v>
      </c>
      <c r="DQO27" s="24" t="e">
        <v>#N/A</v>
      </c>
      <c r="DQP27" s="24" t="e">
        <v>#N/A</v>
      </c>
      <c r="DQQ27" s="24" t="e">
        <v>#N/A</v>
      </c>
      <c r="DQR27" s="24" t="e">
        <v>#N/A</v>
      </c>
      <c r="DQS27" s="24" t="e">
        <v>#N/A</v>
      </c>
      <c r="DQT27" s="24" t="e">
        <v>#N/A</v>
      </c>
      <c r="DQU27" s="24" t="e">
        <v>#N/A</v>
      </c>
      <c r="DQV27" s="24" t="e">
        <v>#N/A</v>
      </c>
      <c r="DQW27" s="24" t="e">
        <v>#N/A</v>
      </c>
      <c r="DQX27" s="24" t="e">
        <v>#N/A</v>
      </c>
      <c r="DQY27" s="24" t="e">
        <v>#N/A</v>
      </c>
      <c r="DQZ27" s="24" t="e">
        <v>#N/A</v>
      </c>
      <c r="DRA27" s="24" t="e">
        <v>#N/A</v>
      </c>
      <c r="DRB27" s="24" t="e">
        <v>#N/A</v>
      </c>
      <c r="DRC27" s="24" t="e">
        <v>#N/A</v>
      </c>
      <c r="DRD27" s="24" t="e">
        <v>#N/A</v>
      </c>
      <c r="DRE27" s="24" t="e">
        <v>#N/A</v>
      </c>
      <c r="DRF27" s="24" t="e">
        <v>#N/A</v>
      </c>
      <c r="DRG27" s="24" t="e">
        <v>#N/A</v>
      </c>
      <c r="DRH27" s="24" t="e">
        <v>#N/A</v>
      </c>
      <c r="DRI27" s="24" t="e">
        <v>#N/A</v>
      </c>
      <c r="DRJ27" s="24" t="e">
        <v>#N/A</v>
      </c>
      <c r="DRK27" s="24" t="e">
        <v>#N/A</v>
      </c>
      <c r="DRL27" s="24" t="e">
        <v>#N/A</v>
      </c>
      <c r="DRM27" s="24" t="e">
        <v>#N/A</v>
      </c>
      <c r="DRN27" s="24" t="e">
        <v>#N/A</v>
      </c>
      <c r="DRO27" s="24" t="e">
        <v>#N/A</v>
      </c>
      <c r="DRP27" s="24" t="e">
        <v>#N/A</v>
      </c>
      <c r="DRQ27" s="24" t="e">
        <v>#N/A</v>
      </c>
      <c r="DRR27" s="24" t="e">
        <v>#N/A</v>
      </c>
      <c r="DRS27" s="24" t="e">
        <v>#N/A</v>
      </c>
      <c r="DRT27" s="24" t="e">
        <v>#N/A</v>
      </c>
      <c r="DRU27" s="24" t="e">
        <v>#N/A</v>
      </c>
      <c r="DRV27" s="24" t="e">
        <v>#N/A</v>
      </c>
      <c r="DRW27" s="24" t="e">
        <v>#N/A</v>
      </c>
      <c r="DRX27" s="24" t="e">
        <v>#N/A</v>
      </c>
      <c r="DRY27" s="24" t="e">
        <v>#N/A</v>
      </c>
      <c r="DRZ27" s="24" t="e">
        <v>#N/A</v>
      </c>
      <c r="DSA27" s="24" t="e">
        <v>#N/A</v>
      </c>
      <c r="DSB27" s="24" t="e">
        <v>#N/A</v>
      </c>
      <c r="DSC27" s="24" t="e">
        <v>#N/A</v>
      </c>
      <c r="DSD27" s="24" t="e">
        <v>#N/A</v>
      </c>
      <c r="DSE27" s="24" t="e">
        <v>#N/A</v>
      </c>
      <c r="DSF27" s="24" t="e">
        <v>#N/A</v>
      </c>
      <c r="DSG27" s="24" t="e">
        <v>#N/A</v>
      </c>
      <c r="DSH27" s="24" t="e">
        <v>#N/A</v>
      </c>
      <c r="DSI27" s="24" t="e">
        <v>#N/A</v>
      </c>
      <c r="DSJ27" s="24" t="e">
        <v>#N/A</v>
      </c>
      <c r="DSK27" s="24" t="e">
        <v>#N/A</v>
      </c>
      <c r="DSL27" s="24" t="e">
        <v>#N/A</v>
      </c>
      <c r="DSM27" s="24" t="e">
        <v>#N/A</v>
      </c>
      <c r="DSN27" s="24" t="e">
        <v>#N/A</v>
      </c>
      <c r="DSO27" s="24" t="e">
        <v>#N/A</v>
      </c>
      <c r="DSP27" s="24" t="e">
        <v>#N/A</v>
      </c>
      <c r="DSQ27" s="24" t="e">
        <v>#N/A</v>
      </c>
      <c r="DSR27" s="24" t="e">
        <v>#N/A</v>
      </c>
      <c r="DSS27" s="24" t="e">
        <v>#N/A</v>
      </c>
      <c r="DST27" s="24" t="e">
        <v>#N/A</v>
      </c>
      <c r="DSU27" s="24" t="e">
        <v>#N/A</v>
      </c>
      <c r="DSV27" s="24" t="e">
        <v>#N/A</v>
      </c>
      <c r="DSW27" s="24" t="e">
        <v>#N/A</v>
      </c>
      <c r="DSX27" s="24" t="e">
        <v>#N/A</v>
      </c>
      <c r="DSY27" s="24" t="e">
        <v>#N/A</v>
      </c>
      <c r="DSZ27" s="24" t="e">
        <v>#N/A</v>
      </c>
      <c r="DTA27" s="24" t="e">
        <v>#N/A</v>
      </c>
      <c r="DTB27" s="24" t="e">
        <v>#N/A</v>
      </c>
      <c r="DTC27" s="24" t="e">
        <v>#N/A</v>
      </c>
      <c r="DTD27" s="24" t="e">
        <v>#N/A</v>
      </c>
      <c r="DTE27" s="24" t="e">
        <v>#N/A</v>
      </c>
      <c r="DTF27" s="24" t="e">
        <v>#N/A</v>
      </c>
      <c r="DTG27" s="24" t="e">
        <v>#N/A</v>
      </c>
      <c r="DTH27" s="24" t="e">
        <v>#N/A</v>
      </c>
      <c r="DTI27" s="24" t="e">
        <v>#N/A</v>
      </c>
      <c r="DTJ27" s="24" t="e">
        <v>#N/A</v>
      </c>
      <c r="DTK27" s="24" t="e">
        <v>#N/A</v>
      </c>
      <c r="DTL27" s="24" t="e">
        <v>#N/A</v>
      </c>
      <c r="DTM27" s="24" t="e">
        <v>#N/A</v>
      </c>
      <c r="DTN27" s="24" t="e">
        <v>#N/A</v>
      </c>
      <c r="DTO27" s="24" t="e">
        <v>#N/A</v>
      </c>
      <c r="DTP27" s="24" t="e">
        <v>#N/A</v>
      </c>
      <c r="DTQ27" s="24" t="e">
        <v>#N/A</v>
      </c>
      <c r="DTR27" s="24" t="e">
        <v>#N/A</v>
      </c>
      <c r="DTS27" s="24" t="e">
        <v>#N/A</v>
      </c>
      <c r="DTT27" s="24" t="e">
        <v>#N/A</v>
      </c>
      <c r="DTU27" s="24" t="e">
        <v>#N/A</v>
      </c>
      <c r="DTV27" s="24" t="e">
        <v>#N/A</v>
      </c>
      <c r="DTW27" s="24" t="e">
        <v>#N/A</v>
      </c>
      <c r="DTX27" s="24" t="e">
        <v>#N/A</v>
      </c>
      <c r="DTY27" s="24" t="e">
        <v>#N/A</v>
      </c>
      <c r="DTZ27" s="24" t="e">
        <v>#N/A</v>
      </c>
      <c r="DUA27" s="24" t="e">
        <v>#N/A</v>
      </c>
      <c r="DUB27" s="24" t="e">
        <v>#N/A</v>
      </c>
      <c r="DUC27" s="24" t="e">
        <v>#N/A</v>
      </c>
      <c r="DUD27" s="24" t="e">
        <v>#N/A</v>
      </c>
      <c r="DUE27" s="24" t="e">
        <v>#N/A</v>
      </c>
      <c r="DUF27" s="24" t="e">
        <v>#N/A</v>
      </c>
      <c r="DUG27" s="24" t="e">
        <v>#N/A</v>
      </c>
      <c r="DUH27" s="24" t="e">
        <v>#N/A</v>
      </c>
      <c r="DUI27" s="24" t="e">
        <v>#N/A</v>
      </c>
      <c r="DUJ27" s="24" t="e">
        <v>#N/A</v>
      </c>
      <c r="DUK27" s="24" t="e">
        <v>#N/A</v>
      </c>
      <c r="DUL27" s="24" t="e">
        <v>#N/A</v>
      </c>
      <c r="DUM27" s="24" t="e">
        <v>#N/A</v>
      </c>
      <c r="DUN27" s="24" t="e">
        <v>#N/A</v>
      </c>
      <c r="DUO27" s="24" t="e">
        <v>#N/A</v>
      </c>
      <c r="DUP27" s="24" t="e">
        <v>#N/A</v>
      </c>
      <c r="DUQ27" s="24" t="e">
        <v>#N/A</v>
      </c>
      <c r="DUR27" s="24" t="e">
        <v>#N/A</v>
      </c>
      <c r="DUS27" s="24" t="e">
        <v>#N/A</v>
      </c>
      <c r="DUT27" s="24" t="e">
        <v>#N/A</v>
      </c>
      <c r="DUU27" s="24" t="e">
        <v>#N/A</v>
      </c>
      <c r="DUV27" s="24" t="e">
        <v>#N/A</v>
      </c>
      <c r="DUW27" s="24" t="e">
        <v>#N/A</v>
      </c>
      <c r="DUX27" s="24" t="e">
        <v>#N/A</v>
      </c>
      <c r="DUY27" s="24" t="e">
        <v>#N/A</v>
      </c>
      <c r="DUZ27" s="24" t="e">
        <v>#N/A</v>
      </c>
      <c r="DVA27" s="24" t="e">
        <v>#N/A</v>
      </c>
      <c r="DVB27" s="24" t="e">
        <v>#N/A</v>
      </c>
      <c r="DVC27" s="24" t="e">
        <v>#N/A</v>
      </c>
      <c r="DVD27" s="24" t="e">
        <v>#N/A</v>
      </c>
      <c r="DVE27" s="24" t="e">
        <v>#N/A</v>
      </c>
      <c r="DVF27" s="24" t="e">
        <v>#N/A</v>
      </c>
      <c r="DVG27" s="24" t="e">
        <v>#N/A</v>
      </c>
      <c r="DVH27" s="24" t="e">
        <v>#N/A</v>
      </c>
      <c r="DVI27" s="24" t="e">
        <v>#N/A</v>
      </c>
      <c r="DVJ27" s="24" t="e">
        <v>#N/A</v>
      </c>
      <c r="DVK27" s="24" t="e">
        <v>#N/A</v>
      </c>
      <c r="DVL27" s="24" t="e">
        <v>#N/A</v>
      </c>
      <c r="DVM27" s="24" t="e">
        <v>#N/A</v>
      </c>
      <c r="DVN27" s="24" t="e">
        <v>#N/A</v>
      </c>
      <c r="DVO27" s="24" t="e">
        <v>#N/A</v>
      </c>
      <c r="DVP27" s="24" t="e">
        <v>#N/A</v>
      </c>
      <c r="DVQ27" s="24" t="e">
        <v>#N/A</v>
      </c>
      <c r="DVR27" s="24" t="e">
        <v>#N/A</v>
      </c>
      <c r="DVS27" s="24" t="e">
        <v>#N/A</v>
      </c>
      <c r="DVT27" s="24" t="e">
        <v>#N/A</v>
      </c>
      <c r="DVU27" s="24" t="e">
        <v>#N/A</v>
      </c>
      <c r="DVV27" s="24" t="e">
        <v>#N/A</v>
      </c>
      <c r="DVW27" s="24" t="e">
        <v>#N/A</v>
      </c>
      <c r="DVX27" s="24" t="e">
        <v>#N/A</v>
      </c>
      <c r="DVY27" s="24" t="e">
        <v>#N/A</v>
      </c>
      <c r="DVZ27" s="24" t="e">
        <v>#N/A</v>
      </c>
      <c r="DWA27" s="24" t="e">
        <v>#N/A</v>
      </c>
      <c r="DWB27" s="24" t="e">
        <v>#N/A</v>
      </c>
      <c r="DWC27" s="24" t="e">
        <v>#N/A</v>
      </c>
      <c r="DWD27" s="24" t="e">
        <v>#N/A</v>
      </c>
      <c r="DWE27" s="24" t="e">
        <v>#N/A</v>
      </c>
      <c r="DWF27" s="24" t="e">
        <v>#N/A</v>
      </c>
      <c r="DWG27" s="24" t="e">
        <v>#N/A</v>
      </c>
      <c r="DWH27" s="24" t="e">
        <v>#N/A</v>
      </c>
      <c r="DWI27" s="24" t="e">
        <v>#N/A</v>
      </c>
      <c r="DWJ27" s="24" t="e">
        <v>#N/A</v>
      </c>
      <c r="DWK27" s="24" t="e">
        <v>#N/A</v>
      </c>
      <c r="DWL27" s="24" t="e">
        <v>#N/A</v>
      </c>
      <c r="DWM27" s="24" t="e">
        <v>#N/A</v>
      </c>
      <c r="DWN27" s="24" t="e">
        <v>#N/A</v>
      </c>
      <c r="DWO27" s="24" t="e">
        <v>#N/A</v>
      </c>
      <c r="DWP27" s="24" t="e">
        <v>#N/A</v>
      </c>
      <c r="DWQ27" s="24" t="e">
        <v>#N/A</v>
      </c>
      <c r="DWR27" s="24" t="e">
        <v>#N/A</v>
      </c>
      <c r="DWS27" s="24" t="e">
        <v>#N/A</v>
      </c>
      <c r="DWT27" s="24" t="e">
        <v>#N/A</v>
      </c>
      <c r="DWU27" s="24" t="e">
        <v>#N/A</v>
      </c>
      <c r="DWV27" s="24" t="e">
        <v>#N/A</v>
      </c>
      <c r="DWW27" s="24" t="e">
        <v>#N/A</v>
      </c>
      <c r="DWX27" s="24" t="e">
        <v>#N/A</v>
      </c>
      <c r="DWY27" s="24" t="e">
        <v>#N/A</v>
      </c>
      <c r="DWZ27" s="24" t="e">
        <v>#N/A</v>
      </c>
      <c r="DXA27" s="24" t="e">
        <v>#N/A</v>
      </c>
      <c r="DXB27" s="24" t="e">
        <v>#N/A</v>
      </c>
      <c r="DXC27" s="24" t="e">
        <v>#N/A</v>
      </c>
      <c r="DXD27" s="24" t="e">
        <v>#N/A</v>
      </c>
      <c r="DXE27" s="24" t="e">
        <v>#N/A</v>
      </c>
      <c r="DXF27" s="24" t="e">
        <v>#N/A</v>
      </c>
      <c r="DXG27" s="24" t="e">
        <v>#N/A</v>
      </c>
      <c r="DXH27" s="24" t="e">
        <v>#N/A</v>
      </c>
      <c r="DXI27" s="24" t="e">
        <v>#N/A</v>
      </c>
      <c r="DXJ27" s="24" t="e">
        <v>#N/A</v>
      </c>
      <c r="DXK27" s="24" t="e">
        <v>#N/A</v>
      </c>
      <c r="DXL27" s="24" t="e">
        <v>#N/A</v>
      </c>
      <c r="DXM27" s="24" t="e">
        <v>#N/A</v>
      </c>
      <c r="DXN27" s="24" t="e">
        <v>#N/A</v>
      </c>
      <c r="DXO27" s="24" t="e">
        <v>#N/A</v>
      </c>
      <c r="DXP27" s="24" t="e">
        <v>#N/A</v>
      </c>
      <c r="DXQ27" s="24" t="e">
        <v>#N/A</v>
      </c>
      <c r="DXR27" s="24" t="e">
        <v>#N/A</v>
      </c>
      <c r="DXS27" s="24" t="e">
        <v>#N/A</v>
      </c>
      <c r="DXT27" s="24" t="e">
        <v>#N/A</v>
      </c>
      <c r="DXU27" s="24" t="e">
        <v>#N/A</v>
      </c>
      <c r="DXV27" s="24" t="e">
        <v>#N/A</v>
      </c>
      <c r="DXW27" s="24" t="e">
        <v>#N/A</v>
      </c>
      <c r="DXX27" s="24" t="e">
        <v>#N/A</v>
      </c>
      <c r="DXY27" s="24" t="e">
        <v>#N/A</v>
      </c>
      <c r="DXZ27" s="24" t="e">
        <v>#N/A</v>
      </c>
      <c r="DYA27" s="24" t="e">
        <v>#N/A</v>
      </c>
      <c r="DYB27" s="24" t="e">
        <v>#N/A</v>
      </c>
      <c r="DYC27" s="24" t="e">
        <v>#N/A</v>
      </c>
      <c r="DYD27" s="24" t="e">
        <v>#N/A</v>
      </c>
      <c r="DYE27" s="24" t="e">
        <v>#N/A</v>
      </c>
      <c r="DYF27" s="24" t="e">
        <v>#N/A</v>
      </c>
      <c r="DYG27" s="24" t="e">
        <v>#N/A</v>
      </c>
      <c r="DYH27" s="24" t="e">
        <v>#N/A</v>
      </c>
      <c r="DYI27" s="24" t="e">
        <v>#N/A</v>
      </c>
      <c r="DYJ27" s="24" t="e">
        <v>#N/A</v>
      </c>
      <c r="DYK27" s="24" t="e">
        <v>#N/A</v>
      </c>
      <c r="DYL27" s="24" t="e">
        <v>#N/A</v>
      </c>
      <c r="DYM27" s="24" t="e">
        <v>#N/A</v>
      </c>
      <c r="DYN27" s="24" t="e">
        <v>#N/A</v>
      </c>
      <c r="DYO27" s="24" t="e">
        <v>#N/A</v>
      </c>
      <c r="DYP27" s="24" t="e">
        <v>#N/A</v>
      </c>
      <c r="DYQ27" s="24" t="e">
        <v>#N/A</v>
      </c>
      <c r="DYR27" s="24" t="e">
        <v>#N/A</v>
      </c>
      <c r="DYS27" s="24" t="e">
        <v>#N/A</v>
      </c>
      <c r="DYT27" s="24" t="e">
        <v>#N/A</v>
      </c>
      <c r="DYU27" s="24" t="e">
        <v>#N/A</v>
      </c>
      <c r="DYV27" s="24" t="e">
        <v>#N/A</v>
      </c>
      <c r="DYW27" s="24" t="e">
        <v>#N/A</v>
      </c>
      <c r="DYX27" s="24" t="e">
        <v>#N/A</v>
      </c>
      <c r="DYY27" s="24" t="e">
        <v>#N/A</v>
      </c>
      <c r="DYZ27" s="24" t="e">
        <v>#N/A</v>
      </c>
      <c r="DZA27" s="24" t="e">
        <v>#N/A</v>
      </c>
      <c r="DZB27" s="24" t="e">
        <v>#N/A</v>
      </c>
      <c r="DZC27" s="24" t="e">
        <v>#N/A</v>
      </c>
      <c r="DZD27" s="24" t="e">
        <v>#N/A</v>
      </c>
      <c r="DZE27" s="24" t="e">
        <v>#N/A</v>
      </c>
      <c r="DZF27" s="24" t="e">
        <v>#N/A</v>
      </c>
      <c r="DZG27" s="24" t="e">
        <v>#N/A</v>
      </c>
      <c r="DZH27" s="24" t="e">
        <v>#N/A</v>
      </c>
      <c r="DZI27" s="24" t="e">
        <v>#N/A</v>
      </c>
      <c r="DZJ27" s="24" t="e">
        <v>#N/A</v>
      </c>
      <c r="DZK27" s="24" t="e">
        <v>#N/A</v>
      </c>
      <c r="DZL27" s="24" t="e">
        <v>#N/A</v>
      </c>
      <c r="DZM27" s="24" t="e">
        <v>#N/A</v>
      </c>
      <c r="DZN27" s="24" t="e">
        <v>#N/A</v>
      </c>
      <c r="DZO27" s="24" t="e">
        <v>#N/A</v>
      </c>
      <c r="DZP27" s="24" t="e">
        <v>#N/A</v>
      </c>
      <c r="DZQ27" s="24" t="e">
        <v>#N/A</v>
      </c>
      <c r="DZR27" s="24" t="e">
        <v>#N/A</v>
      </c>
      <c r="DZS27" s="24" t="e">
        <v>#N/A</v>
      </c>
      <c r="DZT27" s="24" t="e">
        <v>#N/A</v>
      </c>
      <c r="DZU27" s="24" t="e">
        <v>#N/A</v>
      </c>
      <c r="DZV27" s="24" t="e">
        <v>#N/A</v>
      </c>
      <c r="DZW27" s="24" t="e">
        <v>#N/A</v>
      </c>
      <c r="DZX27" s="24" t="e">
        <v>#N/A</v>
      </c>
      <c r="DZY27" s="24" t="e">
        <v>#N/A</v>
      </c>
      <c r="DZZ27" s="24" t="e">
        <v>#N/A</v>
      </c>
      <c r="EAA27" s="24" t="e">
        <v>#N/A</v>
      </c>
      <c r="EAB27" s="24" t="e">
        <v>#N/A</v>
      </c>
      <c r="EAC27" s="24" t="e">
        <v>#N/A</v>
      </c>
      <c r="EAD27" s="24" t="e">
        <v>#N/A</v>
      </c>
      <c r="EAE27" s="24" t="e">
        <v>#N/A</v>
      </c>
      <c r="EAF27" s="24" t="e">
        <v>#N/A</v>
      </c>
      <c r="EAG27" s="24" t="e">
        <v>#N/A</v>
      </c>
      <c r="EAH27" s="24" t="e">
        <v>#N/A</v>
      </c>
      <c r="EAI27" s="24" t="e">
        <v>#N/A</v>
      </c>
      <c r="EAJ27" s="24" t="e">
        <v>#N/A</v>
      </c>
      <c r="EAK27" s="24" t="e">
        <v>#N/A</v>
      </c>
      <c r="EAL27" s="24" t="e">
        <v>#N/A</v>
      </c>
      <c r="EAM27" s="24" t="e">
        <v>#N/A</v>
      </c>
      <c r="EAN27" s="24" t="e">
        <v>#N/A</v>
      </c>
      <c r="EAO27" s="24" t="e">
        <v>#N/A</v>
      </c>
      <c r="EAP27" s="24" t="e">
        <v>#N/A</v>
      </c>
      <c r="EAQ27" s="24" t="e">
        <v>#N/A</v>
      </c>
      <c r="EAR27" s="24" t="e">
        <v>#N/A</v>
      </c>
      <c r="EAS27" s="24" t="e">
        <v>#N/A</v>
      </c>
      <c r="EAT27" s="24" t="e">
        <v>#N/A</v>
      </c>
      <c r="EAU27" s="24" t="e">
        <v>#N/A</v>
      </c>
      <c r="EAV27" s="24" t="e">
        <v>#N/A</v>
      </c>
      <c r="EAW27" s="24" t="e">
        <v>#N/A</v>
      </c>
      <c r="EAX27" s="24" t="e">
        <v>#N/A</v>
      </c>
      <c r="EAY27" s="24" t="e">
        <v>#N/A</v>
      </c>
      <c r="EAZ27" s="24" t="e">
        <v>#N/A</v>
      </c>
      <c r="EBA27" s="24" t="e">
        <v>#N/A</v>
      </c>
      <c r="EBB27" s="24" t="e">
        <v>#N/A</v>
      </c>
      <c r="EBC27" s="24" t="e">
        <v>#N/A</v>
      </c>
      <c r="EBD27" s="24" t="e">
        <v>#N/A</v>
      </c>
      <c r="EBE27" s="24" t="e">
        <v>#N/A</v>
      </c>
      <c r="EBF27" s="24" t="e">
        <v>#N/A</v>
      </c>
      <c r="EBG27" s="24" t="e">
        <v>#N/A</v>
      </c>
      <c r="EBH27" s="24" t="e">
        <v>#N/A</v>
      </c>
      <c r="EBI27" s="24" t="e">
        <v>#N/A</v>
      </c>
      <c r="EBJ27" s="24" t="e">
        <v>#N/A</v>
      </c>
      <c r="EBK27" s="24" t="e">
        <v>#N/A</v>
      </c>
      <c r="EBL27" s="24" t="e">
        <v>#N/A</v>
      </c>
      <c r="EBM27" s="24" t="e">
        <v>#N/A</v>
      </c>
      <c r="EBN27" s="24" t="e">
        <v>#N/A</v>
      </c>
      <c r="EBO27" s="24" t="e">
        <v>#N/A</v>
      </c>
      <c r="EBP27" s="24" t="e">
        <v>#N/A</v>
      </c>
      <c r="EBQ27" s="24" t="e">
        <v>#N/A</v>
      </c>
      <c r="EBR27" s="24" t="e">
        <v>#N/A</v>
      </c>
      <c r="EBS27" s="24" t="e">
        <v>#N/A</v>
      </c>
      <c r="EBT27" s="24" t="e">
        <v>#N/A</v>
      </c>
      <c r="EBU27" s="24" t="e">
        <v>#N/A</v>
      </c>
      <c r="EBV27" s="24" t="e">
        <v>#N/A</v>
      </c>
      <c r="EBW27" s="24" t="e">
        <v>#N/A</v>
      </c>
      <c r="EBX27" s="24" t="e">
        <v>#N/A</v>
      </c>
      <c r="EBY27" s="24" t="e">
        <v>#N/A</v>
      </c>
      <c r="EBZ27" s="24" t="e">
        <v>#N/A</v>
      </c>
      <c r="ECA27" s="24" t="e">
        <v>#N/A</v>
      </c>
      <c r="ECB27" s="24" t="e">
        <v>#N/A</v>
      </c>
      <c r="ECC27" s="24" t="e">
        <v>#N/A</v>
      </c>
      <c r="ECD27" s="24" t="e">
        <v>#N/A</v>
      </c>
      <c r="ECE27" s="24" t="e">
        <v>#N/A</v>
      </c>
      <c r="ECF27" s="24" t="e">
        <v>#N/A</v>
      </c>
      <c r="ECG27" s="24" t="e">
        <v>#N/A</v>
      </c>
      <c r="ECH27" s="24" t="e">
        <v>#N/A</v>
      </c>
      <c r="ECI27" s="24" t="e">
        <v>#N/A</v>
      </c>
      <c r="ECJ27" s="24" t="e">
        <v>#N/A</v>
      </c>
      <c r="ECK27" s="24" t="e">
        <v>#N/A</v>
      </c>
      <c r="ECL27" s="24" t="e">
        <v>#N/A</v>
      </c>
      <c r="ECM27" s="24" t="e">
        <v>#N/A</v>
      </c>
      <c r="ECN27" s="24" t="e">
        <v>#N/A</v>
      </c>
      <c r="ECO27" s="24" t="e">
        <v>#N/A</v>
      </c>
      <c r="ECP27" s="24" t="e">
        <v>#N/A</v>
      </c>
      <c r="ECQ27" s="24" t="e">
        <v>#N/A</v>
      </c>
      <c r="ECR27" s="24" t="e">
        <v>#N/A</v>
      </c>
      <c r="ECS27" s="24" t="e">
        <v>#N/A</v>
      </c>
      <c r="ECT27" s="24" t="e">
        <v>#N/A</v>
      </c>
      <c r="ECU27" s="24" t="e">
        <v>#N/A</v>
      </c>
      <c r="ECV27" s="24" t="e">
        <v>#N/A</v>
      </c>
      <c r="ECW27" s="24" t="e">
        <v>#N/A</v>
      </c>
      <c r="ECX27" s="24" t="e">
        <v>#N/A</v>
      </c>
      <c r="ECY27" s="24" t="e">
        <v>#N/A</v>
      </c>
      <c r="ECZ27" s="24" t="e">
        <v>#N/A</v>
      </c>
      <c r="EDA27" s="24" t="e">
        <v>#N/A</v>
      </c>
      <c r="EDB27" s="24" t="e">
        <v>#N/A</v>
      </c>
      <c r="EDC27" s="24" t="e">
        <v>#N/A</v>
      </c>
      <c r="EDD27" s="24" t="e">
        <v>#N/A</v>
      </c>
      <c r="EDE27" s="24" t="e">
        <v>#N/A</v>
      </c>
      <c r="EDF27" s="24" t="e">
        <v>#N/A</v>
      </c>
      <c r="EDG27" s="24" t="e">
        <v>#N/A</v>
      </c>
      <c r="EDH27" s="24" t="e">
        <v>#N/A</v>
      </c>
      <c r="EDI27" s="24" t="e">
        <v>#N/A</v>
      </c>
      <c r="EDJ27" s="24" t="e">
        <v>#N/A</v>
      </c>
      <c r="EDK27" s="24" t="e">
        <v>#N/A</v>
      </c>
      <c r="EDL27" s="24" t="e">
        <v>#N/A</v>
      </c>
      <c r="EDM27" s="24" t="e">
        <v>#N/A</v>
      </c>
      <c r="EDN27" s="24" t="e">
        <v>#N/A</v>
      </c>
      <c r="EDO27" s="24" t="e">
        <v>#N/A</v>
      </c>
      <c r="EDP27" s="24" t="e">
        <v>#N/A</v>
      </c>
      <c r="EDQ27" s="24" t="e">
        <v>#N/A</v>
      </c>
      <c r="EDR27" s="24" t="e">
        <v>#N/A</v>
      </c>
      <c r="EDS27" s="24" t="e">
        <v>#N/A</v>
      </c>
      <c r="EDT27" s="24" t="e">
        <v>#N/A</v>
      </c>
      <c r="EDU27" s="24" t="e">
        <v>#N/A</v>
      </c>
      <c r="EDV27" s="24" t="e">
        <v>#N/A</v>
      </c>
      <c r="EDW27" s="24" t="e">
        <v>#N/A</v>
      </c>
      <c r="EDX27" s="24" t="e">
        <v>#N/A</v>
      </c>
      <c r="EDY27" s="24" t="e">
        <v>#N/A</v>
      </c>
      <c r="EDZ27" s="24" t="e">
        <v>#N/A</v>
      </c>
      <c r="EEA27" s="24" t="e">
        <v>#N/A</v>
      </c>
      <c r="EEB27" s="24" t="e">
        <v>#N/A</v>
      </c>
      <c r="EEC27" s="24" t="e">
        <v>#N/A</v>
      </c>
      <c r="EED27" s="24" t="e">
        <v>#N/A</v>
      </c>
      <c r="EEE27" s="24" t="e">
        <v>#N/A</v>
      </c>
      <c r="EEF27" s="24" t="e">
        <v>#N/A</v>
      </c>
      <c r="EEG27" s="24" t="e">
        <v>#N/A</v>
      </c>
      <c r="EEH27" s="24" t="e">
        <v>#N/A</v>
      </c>
      <c r="EEI27" s="24" t="e">
        <v>#N/A</v>
      </c>
      <c r="EEJ27" s="24" t="e">
        <v>#N/A</v>
      </c>
      <c r="EEK27" s="24" t="e">
        <v>#N/A</v>
      </c>
      <c r="EEL27" s="24" t="e">
        <v>#N/A</v>
      </c>
      <c r="EEM27" s="24" t="e">
        <v>#N/A</v>
      </c>
      <c r="EEN27" s="24" t="e">
        <v>#N/A</v>
      </c>
      <c r="EEO27" s="24" t="e">
        <v>#N/A</v>
      </c>
      <c r="EEP27" s="24" t="e">
        <v>#N/A</v>
      </c>
      <c r="EEQ27" s="24" t="e">
        <v>#N/A</v>
      </c>
      <c r="EER27" s="24" t="e">
        <v>#N/A</v>
      </c>
      <c r="EES27" s="24" t="e">
        <v>#N/A</v>
      </c>
      <c r="EET27" s="24" t="e">
        <v>#N/A</v>
      </c>
      <c r="EEU27" s="24" t="e">
        <v>#N/A</v>
      </c>
      <c r="EEV27" s="24" t="e">
        <v>#N/A</v>
      </c>
      <c r="EEW27" s="24" t="e">
        <v>#N/A</v>
      </c>
      <c r="EEX27" s="24" t="e">
        <v>#N/A</v>
      </c>
      <c r="EEY27" s="24" t="e">
        <v>#N/A</v>
      </c>
      <c r="EEZ27" s="24" t="e">
        <v>#N/A</v>
      </c>
      <c r="EFA27" s="24" t="e">
        <v>#N/A</v>
      </c>
      <c r="EFB27" s="24" t="e">
        <v>#N/A</v>
      </c>
      <c r="EFC27" s="24" t="e">
        <v>#N/A</v>
      </c>
      <c r="EFD27" s="24" t="e">
        <v>#N/A</v>
      </c>
      <c r="EFE27" s="24" t="e">
        <v>#N/A</v>
      </c>
      <c r="EFF27" s="24" t="e">
        <v>#N/A</v>
      </c>
      <c r="EFG27" s="24" t="e">
        <v>#N/A</v>
      </c>
      <c r="EFH27" s="24" t="e">
        <v>#N/A</v>
      </c>
      <c r="EFI27" s="24" t="e">
        <v>#N/A</v>
      </c>
      <c r="EFJ27" s="24" t="e">
        <v>#N/A</v>
      </c>
      <c r="EFK27" s="24" t="e">
        <v>#N/A</v>
      </c>
      <c r="EFL27" s="24" t="e">
        <v>#N/A</v>
      </c>
      <c r="EFM27" s="24" t="e">
        <v>#N/A</v>
      </c>
      <c r="EFN27" s="24" t="e">
        <v>#N/A</v>
      </c>
      <c r="EFO27" s="24" t="e">
        <v>#N/A</v>
      </c>
      <c r="EFP27" s="24" t="e">
        <v>#N/A</v>
      </c>
      <c r="EFQ27" s="24" t="e">
        <v>#N/A</v>
      </c>
      <c r="EFR27" s="24" t="e">
        <v>#N/A</v>
      </c>
      <c r="EFS27" s="24" t="e">
        <v>#N/A</v>
      </c>
      <c r="EFT27" s="24" t="e">
        <v>#N/A</v>
      </c>
      <c r="EFU27" s="24" t="e">
        <v>#N/A</v>
      </c>
      <c r="EFV27" s="24" t="e">
        <v>#N/A</v>
      </c>
      <c r="EFW27" s="24" t="e">
        <v>#N/A</v>
      </c>
      <c r="EFX27" s="24" t="e">
        <v>#N/A</v>
      </c>
      <c r="EFY27" s="24" t="e">
        <v>#N/A</v>
      </c>
      <c r="EFZ27" s="24" t="e">
        <v>#N/A</v>
      </c>
      <c r="EGA27" s="24" t="e">
        <v>#N/A</v>
      </c>
      <c r="EGB27" s="24" t="e">
        <v>#N/A</v>
      </c>
      <c r="EGC27" s="24" t="e">
        <v>#N/A</v>
      </c>
      <c r="EGD27" s="24" t="e">
        <v>#N/A</v>
      </c>
      <c r="EGE27" s="24" t="e">
        <v>#N/A</v>
      </c>
      <c r="EGF27" s="24" t="e">
        <v>#N/A</v>
      </c>
      <c r="EGG27" s="24" t="e">
        <v>#N/A</v>
      </c>
      <c r="EGH27" s="24" t="e">
        <v>#N/A</v>
      </c>
      <c r="EGI27" s="24" t="e">
        <v>#N/A</v>
      </c>
      <c r="EGJ27" s="24" t="e">
        <v>#N/A</v>
      </c>
      <c r="EGK27" s="24" t="e">
        <v>#N/A</v>
      </c>
      <c r="EGL27" s="24" t="e">
        <v>#N/A</v>
      </c>
      <c r="EGM27" s="24" t="e">
        <v>#N/A</v>
      </c>
      <c r="EGN27" s="24" t="e">
        <v>#N/A</v>
      </c>
      <c r="EGO27" s="24" t="e">
        <v>#N/A</v>
      </c>
      <c r="EGP27" s="24" t="e">
        <v>#N/A</v>
      </c>
      <c r="EGQ27" s="24" t="e">
        <v>#N/A</v>
      </c>
      <c r="EGR27" s="24" t="e">
        <v>#N/A</v>
      </c>
      <c r="EGS27" s="24" t="e">
        <v>#N/A</v>
      </c>
      <c r="EGT27" s="24" t="e">
        <v>#N/A</v>
      </c>
      <c r="EGU27" s="24" t="e">
        <v>#N/A</v>
      </c>
      <c r="EGV27" s="24" t="e">
        <v>#N/A</v>
      </c>
      <c r="EGW27" s="24" t="e">
        <v>#N/A</v>
      </c>
      <c r="EGX27" s="24" t="e">
        <v>#N/A</v>
      </c>
      <c r="EGY27" s="24" t="e">
        <v>#N/A</v>
      </c>
      <c r="EGZ27" s="24" t="e">
        <v>#N/A</v>
      </c>
      <c r="EHA27" s="24" t="e">
        <v>#N/A</v>
      </c>
      <c r="EHB27" s="24" t="e">
        <v>#N/A</v>
      </c>
      <c r="EHC27" s="24" t="e">
        <v>#N/A</v>
      </c>
      <c r="EHD27" s="24" t="e">
        <v>#N/A</v>
      </c>
      <c r="EHE27" s="24" t="e">
        <v>#N/A</v>
      </c>
      <c r="EHF27" s="24" t="e">
        <v>#N/A</v>
      </c>
      <c r="EHG27" s="24" t="e">
        <v>#N/A</v>
      </c>
      <c r="EHH27" s="24" t="e">
        <v>#N/A</v>
      </c>
      <c r="EHI27" s="24" t="e">
        <v>#N/A</v>
      </c>
      <c r="EHJ27" s="24" t="e">
        <v>#N/A</v>
      </c>
      <c r="EHK27" s="24" t="e">
        <v>#N/A</v>
      </c>
      <c r="EHL27" s="24" t="e">
        <v>#N/A</v>
      </c>
      <c r="EHM27" s="24" t="e">
        <v>#N/A</v>
      </c>
      <c r="EHN27" s="24" t="e">
        <v>#N/A</v>
      </c>
      <c r="EHO27" s="24" t="e">
        <v>#N/A</v>
      </c>
      <c r="EHP27" s="24" t="e">
        <v>#N/A</v>
      </c>
      <c r="EHQ27" s="24" t="e">
        <v>#N/A</v>
      </c>
      <c r="EHR27" s="24" t="e">
        <v>#N/A</v>
      </c>
      <c r="EHS27" s="24" t="e">
        <v>#N/A</v>
      </c>
      <c r="EHT27" s="24" t="e">
        <v>#N/A</v>
      </c>
      <c r="EHU27" s="24" t="e">
        <v>#N/A</v>
      </c>
      <c r="EHV27" s="24" t="e">
        <v>#N/A</v>
      </c>
      <c r="EHW27" s="24" t="e">
        <v>#N/A</v>
      </c>
      <c r="EHX27" s="24" t="e">
        <v>#N/A</v>
      </c>
      <c r="EHY27" s="24" t="e">
        <v>#N/A</v>
      </c>
      <c r="EHZ27" s="24" t="e">
        <v>#N/A</v>
      </c>
      <c r="EIA27" s="24" t="e">
        <v>#N/A</v>
      </c>
      <c r="EIB27" s="24" t="e">
        <v>#N/A</v>
      </c>
      <c r="EIC27" s="24" t="e">
        <v>#N/A</v>
      </c>
      <c r="EID27" s="24" t="e">
        <v>#N/A</v>
      </c>
      <c r="EIE27" s="24" t="e">
        <v>#N/A</v>
      </c>
      <c r="EIF27" s="24" t="e">
        <v>#N/A</v>
      </c>
      <c r="EIG27" s="24" t="e">
        <v>#N/A</v>
      </c>
      <c r="EIH27" s="24" t="e">
        <v>#N/A</v>
      </c>
      <c r="EII27" s="24" t="e">
        <v>#N/A</v>
      </c>
      <c r="EIJ27" s="24" t="e">
        <v>#N/A</v>
      </c>
      <c r="EIK27" s="24" t="e">
        <v>#N/A</v>
      </c>
      <c r="EIL27" s="24" t="e">
        <v>#N/A</v>
      </c>
      <c r="EIM27" s="24" t="e">
        <v>#N/A</v>
      </c>
      <c r="EIN27" s="24" t="e">
        <v>#N/A</v>
      </c>
      <c r="EIO27" s="24" t="e">
        <v>#N/A</v>
      </c>
      <c r="EIP27" s="24" t="e">
        <v>#N/A</v>
      </c>
      <c r="EIQ27" s="24" t="e">
        <v>#N/A</v>
      </c>
      <c r="EIR27" s="24" t="e">
        <v>#N/A</v>
      </c>
      <c r="EIS27" s="24" t="e">
        <v>#N/A</v>
      </c>
      <c r="EIT27" s="24" t="e">
        <v>#N/A</v>
      </c>
      <c r="EIU27" s="24" t="e">
        <v>#N/A</v>
      </c>
      <c r="EIV27" s="24" t="e">
        <v>#N/A</v>
      </c>
      <c r="EIW27" s="24" t="e">
        <v>#N/A</v>
      </c>
      <c r="EIX27" s="24" t="e">
        <v>#N/A</v>
      </c>
      <c r="EIY27" s="24" t="e">
        <v>#N/A</v>
      </c>
      <c r="EIZ27" s="24" t="e">
        <v>#N/A</v>
      </c>
      <c r="EJA27" s="24" t="e">
        <v>#N/A</v>
      </c>
      <c r="EJB27" s="24" t="e">
        <v>#N/A</v>
      </c>
      <c r="EJC27" s="24" t="e">
        <v>#N/A</v>
      </c>
      <c r="EJD27" s="24" t="e">
        <v>#N/A</v>
      </c>
      <c r="EJE27" s="24" t="e">
        <v>#N/A</v>
      </c>
      <c r="EJF27" s="24" t="e">
        <v>#N/A</v>
      </c>
      <c r="EJG27" s="24" t="e">
        <v>#N/A</v>
      </c>
      <c r="EJH27" s="24" t="e">
        <v>#N/A</v>
      </c>
      <c r="EJI27" s="24" t="e">
        <v>#N/A</v>
      </c>
      <c r="EJJ27" s="24" t="e">
        <v>#N/A</v>
      </c>
      <c r="EJK27" s="24" t="e">
        <v>#N/A</v>
      </c>
      <c r="EJL27" s="24" t="e">
        <v>#N/A</v>
      </c>
      <c r="EJM27" s="24" t="e">
        <v>#N/A</v>
      </c>
      <c r="EJN27" s="24" t="e">
        <v>#N/A</v>
      </c>
      <c r="EJO27" s="24" t="e">
        <v>#N/A</v>
      </c>
      <c r="EJP27" s="24" t="e">
        <v>#N/A</v>
      </c>
      <c r="EJQ27" s="24" t="e">
        <v>#N/A</v>
      </c>
      <c r="EJR27" s="24" t="e">
        <v>#N/A</v>
      </c>
      <c r="EJS27" s="24" t="e">
        <v>#N/A</v>
      </c>
      <c r="EJT27" s="24" t="e">
        <v>#N/A</v>
      </c>
      <c r="EJU27" s="24" t="e">
        <v>#N/A</v>
      </c>
      <c r="EJV27" s="24" t="e">
        <v>#N/A</v>
      </c>
      <c r="EJW27" s="24" t="e">
        <v>#N/A</v>
      </c>
      <c r="EJX27" s="24" t="e">
        <v>#N/A</v>
      </c>
      <c r="EJY27" s="24" t="e">
        <v>#N/A</v>
      </c>
      <c r="EJZ27" s="24" t="e">
        <v>#N/A</v>
      </c>
      <c r="EKA27" s="24" t="e">
        <v>#N/A</v>
      </c>
      <c r="EKB27" s="24" t="e">
        <v>#N/A</v>
      </c>
      <c r="EKC27" s="24" t="e">
        <v>#N/A</v>
      </c>
      <c r="EKD27" s="24" t="e">
        <v>#N/A</v>
      </c>
      <c r="EKE27" s="24" t="e">
        <v>#N/A</v>
      </c>
      <c r="EKF27" s="24" t="e">
        <v>#N/A</v>
      </c>
      <c r="EKG27" s="24" t="e">
        <v>#N/A</v>
      </c>
      <c r="EKH27" s="24" t="e">
        <v>#N/A</v>
      </c>
      <c r="EKI27" s="24" t="e">
        <v>#N/A</v>
      </c>
      <c r="EKJ27" s="24" t="e">
        <v>#N/A</v>
      </c>
      <c r="EKK27" s="24" t="e">
        <v>#N/A</v>
      </c>
      <c r="EKL27" s="24" t="e">
        <v>#N/A</v>
      </c>
      <c r="EKM27" s="24" t="e">
        <v>#N/A</v>
      </c>
      <c r="EKN27" s="24" t="e">
        <v>#N/A</v>
      </c>
      <c r="EKO27" s="24" t="e">
        <v>#N/A</v>
      </c>
      <c r="EKP27" s="24" t="e">
        <v>#N/A</v>
      </c>
      <c r="EKQ27" s="24" t="e">
        <v>#N/A</v>
      </c>
      <c r="EKR27" s="24" t="e">
        <v>#N/A</v>
      </c>
      <c r="EKS27" s="24" t="e">
        <v>#N/A</v>
      </c>
      <c r="EKT27" s="24" t="e">
        <v>#N/A</v>
      </c>
      <c r="EKU27" s="24" t="e">
        <v>#N/A</v>
      </c>
      <c r="EKV27" s="24" t="e">
        <v>#N/A</v>
      </c>
      <c r="EKW27" s="24" t="e">
        <v>#N/A</v>
      </c>
      <c r="EKX27" s="24" t="e">
        <v>#N/A</v>
      </c>
      <c r="EKY27" s="24" t="e">
        <v>#N/A</v>
      </c>
      <c r="EKZ27" s="24" t="e">
        <v>#N/A</v>
      </c>
      <c r="ELA27" s="24" t="e">
        <v>#N/A</v>
      </c>
      <c r="ELB27" s="24" t="e">
        <v>#N/A</v>
      </c>
      <c r="ELC27" s="24" t="e">
        <v>#N/A</v>
      </c>
      <c r="ELD27" s="24" t="e">
        <v>#N/A</v>
      </c>
      <c r="ELE27" s="24" t="e">
        <v>#N/A</v>
      </c>
      <c r="ELF27" s="24" t="e">
        <v>#N/A</v>
      </c>
      <c r="ELG27" s="24" t="e">
        <v>#N/A</v>
      </c>
      <c r="ELH27" s="24" t="e">
        <v>#N/A</v>
      </c>
      <c r="ELI27" s="24" t="e">
        <v>#N/A</v>
      </c>
      <c r="ELJ27" s="24" t="e">
        <v>#N/A</v>
      </c>
      <c r="ELK27" s="24" t="e">
        <v>#N/A</v>
      </c>
      <c r="ELL27" s="24" t="e">
        <v>#N/A</v>
      </c>
      <c r="ELM27" s="24" t="e">
        <v>#N/A</v>
      </c>
      <c r="ELN27" s="24" t="e">
        <v>#N/A</v>
      </c>
      <c r="ELO27" s="24" t="e">
        <v>#N/A</v>
      </c>
      <c r="ELP27" s="24" t="e">
        <v>#N/A</v>
      </c>
      <c r="ELQ27" s="24" t="e">
        <v>#N/A</v>
      </c>
      <c r="ELR27" s="24" t="e">
        <v>#N/A</v>
      </c>
      <c r="ELS27" s="24" t="e">
        <v>#N/A</v>
      </c>
      <c r="ELT27" s="24" t="e">
        <v>#N/A</v>
      </c>
      <c r="ELU27" s="24" t="e">
        <v>#N/A</v>
      </c>
      <c r="ELV27" s="24" t="e">
        <v>#N/A</v>
      </c>
      <c r="ELW27" s="24" t="e">
        <v>#N/A</v>
      </c>
      <c r="ELX27" s="24" t="e">
        <v>#N/A</v>
      </c>
      <c r="ELY27" s="24" t="e">
        <v>#N/A</v>
      </c>
      <c r="ELZ27" s="24" t="e">
        <v>#N/A</v>
      </c>
      <c r="EMA27" s="24" t="e">
        <v>#N/A</v>
      </c>
      <c r="EMB27" s="24" t="e">
        <v>#N/A</v>
      </c>
      <c r="EMC27" s="24" t="e">
        <v>#N/A</v>
      </c>
      <c r="EMD27" s="24" t="e">
        <v>#N/A</v>
      </c>
      <c r="EME27" s="24" t="e">
        <v>#N/A</v>
      </c>
      <c r="EMF27" s="24" t="e">
        <v>#N/A</v>
      </c>
      <c r="EMG27" s="24" t="e">
        <v>#N/A</v>
      </c>
      <c r="EMH27" s="24" t="e">
        <v>#N/A</v>
      </c>
      <c r="EMI27" s="24" t="e">
        <v>#N/A</v>
      </c>
      <c r="EMJ27" s="24" t="e">
        <v>#N/A</v>
      </c>
      <c r="EMK27" s="24" t="e">
        <v>#N/A</v>
      </c>
      <c r="EML27" s="24" t="e">
        <v>#N/A</v>
      </c>
      <c r="EMM27" s="24" t="e">
        <v>#N/A</v>
      </c>
      <c r="EMN27" s="24" t="e">
        <v>#N/A</v>
      </c>
      <c r="EMO27" s="24" t="e">
        <v>#N/A</v>
      </c>
      <c r="EMP27" s="24" t="e">
        <v>#N/A</v>
      </c>
      <c r="EMQ27" s="24" t="e">
        <v>#N/A</v>
      </c>
      <c r="EMR27" s="24" t="e">
        <v>#N/A</v>
      </c>
      <c r="EMS27" s="24" t="e">
        <v>#N/A</v>
      </c>
      <c r="EMT27" s="24" t="e">
        <v>#N/A</v>
      </c>
      <c r="EMU27" s="24" t="e">
        <v>#N/A</v>
      </c>
      <c r="EMV27" s="24" t="e">
        <v>#N/A</v>
      </c>
      <c r="EMW27" s="24" t="e">
        <v>#N/A</v>
      </c>
      <c r="EMX27" s="24" t="e">
        <v>#N/A</v>
      </c>
      <c r="EMY27" s="24" t="e">
        <v>#N/A</v>
      </c>
      <c r="EMZ27" s="24" t="e">
        <v>#N/A</v>
      </c>
      <c r="ENA27" s="24" t="e">
        <v>#N/A</v>
      </c>
      <c r="ENB27" s="24" t="e">
        <v>#N/A</v>
      </c>
      <c r="ENC27" s="24" t="e">
        <v>#N/A</v>
      </c>
      <c r="END27" s="24" t="e">
        <v>#N/A</v>
      </c>
      <c r="ENE27" s="24" t="e">
        <v>#N/A</v>
      </c>
      <c r="ENF27" s="24" t="e">
        <v>#N/A</v>
      </c>
      <c r="ENG27" s="24" t="e">
        <v>#N/A</v>
      </c>
      <c r="ENH27" s="24" t="e">
        <v>#N/A</v>
      </c>
      <c r="ENI27" s="24" t="e">
        <v>#N/A</v>
      </c>
      <c r="ENJ27" s="24" t="e">
        <v>#N/A</v>
      </c>
      <c r="ENK27" s="24" t="e">
        <v>#N/A</v>
      </c>
      <c r="ENL27" s="24" t="e">
        <v>#N/A</v>
      </c>
      <c r="ENM27" s="24" t="e">
        <v>#N/A</v>
      </c>
      <c r="ENN27" s="24" t="e">
        <v>#N/A</v>
      </c>
      <c r="ENO27" s="24" t="e">
        <v>#N/A</v>
      </c>
      <c r="ENP27" s="24" t="e">
        <v>#N/A</v>
      </c>
      <c r="ENQ27" s="24" t="e">
        <v>#N/A</v>
      </c>
      <c r="ENR27" s="24" t="e">
        <v>#N/A</v>
      </c>
      <c r="ENS27" s="24" t="e">
        <v>#N/A</v>
      </c>
      <c r="ENT27" s="24" t="e">
        <v>#N/A</v>
      </c>
      <c r="ENU27" s="24" t="e">
        <v>#N/A</v>
      </c>
      <c r="ENV27" s="24" t="e">
        <v>#N/A</v>
      </c>
      <c r="ENW27" s="24" t="e">
        <v>#N/A</v>
      </c>
      <c r="ENX27" s="24" t="e">
        <v>#N/A</v>
      </c>
      <c r="ENY27" s="24" t="e">
        <v>#N/A</v>
      </c>
      <c r="ENZ27" s="24" t="e">
        <v>#N/A</v>
      </c>
      <c r="EOA27" s="24" t="e">
        <v>#N/A</v>
      </c>
      <c r="EOB27" s="24" t="e">
        <v>#N/A</v>
      </c>
      <c r="EOC27" s="24" t="e">
        <v>#N/A</v>
      </c>
      <c r="EOD27" s="24" t="e">
        <v>#N/A</v>
      </c>
      <c r="EOE27" s="24" t="e">
        <v>#N/A</v>
      </c>
      <c r="EOF27" s="24" t="e">
        <v>#N/A</v>
      </c>
      <c r="EOG27" s="24" t="e">
        <v>#N/A</v>
      </c>
      <c r="EOH27" s="24" t="e">
        <v>#N/A</v>
      </c>
      <c r="EOI27" s="24" t="e">
        <v>#N/A</v>
      </c>
      <c r="EOJ27" s="24" t="e">
        <v>#N/A</v>
      </c>
      <c r="EOK27" s="24" t="e">
        <v>#N/A</v>
      </c>
      <c r="EOL27" s="24" t="e">
        <v>#N/A</v>
      </c>
      <c r="EOM27" s="24" t="e">
        <v>#N/A</v>
      </c>
      <c r="EON27" s="24" t="e">
        <v>#N/A</v>
      </c>
      <c r="EOO27" s="24" t="e">
        <v>#N/A</v>
      </c>
      <c r="EOP27" s="24" t="e">
        <v>#N/A</v>
      </c>
      <c r="EOQ27" s="24" t="e">
        <v>#N/A</v>
      </c>
      <c r="EOR27" s="24" t="e">
        <v>#N/A</v>
      </c>
      <c r="EOS27" s="24" t="e">
        <v>#N/A</v>
      </c>
      <c r="EOT27" s="24" t="e">
        <v>#N/A</v>
      </c>
      <c r="EOU27" s="24" t="e">
        <v>#N/A</v>
      </c>
      <c r="EOV27" s="24" t="e">
        <v>#N/A</v>
      </c>
      <c r="EOW27" s="24" t="e">
        <v>#N/A</v>
      </c>
      <c r="EOX27" s="24" t="e">
        <v>#N/A</v>
      </c>
      <c r="EOY27" s="24" t="e">
        <v>#N/A</v>
      </c>
      <c r="EOZ27" s="24" t="e">
        <v>#N/A</v>
      </c>
      <c r="EPA27" s="24" t="e">
        <v>#N/A</v>
      </c>
      <c r="EPB27" s="24" t="e">
        <v>#N/A</v>
      </c>
      <c r="EPC27" s="24" t="e">
        <v>#N/A</v>
      </c>
      <c r="EPD27" s="24" t="e">
        <v>#N/A</v>
      </c>
      <c r="EPE27" s="24" t="e">
        <v>#N/A</v>
      </c>
      <c r="EPF27" s="24" t="e">
        <v>#N/A</v>
      </c>
      <c r="EPG27" s="24" t="e">
        <v>#N/A</v>
      </c>
      <c r="EPH27" s="24" t="e">
        <v>#N/A</v>
      </c>
      <c r="EPI27" s="24" t="e">
        <v>#N/A</v>
      </c>
      <c r="EPJ27" s="24" t="e">
        <v>#N/A</v>
      </c>
      <c r="EPK27" s="24" t="e">
        <v>#N/A</v>
      </c>
      <c r="EPL27" s="24" t="e">
        <v>#N/A</v>
      </c>
      <c r="EPM27" s="24" t="e">
        <v>#N/A</v>
      </c>
      <c r="EPN27" s="24" t="e">
        <v>#N/A</v>
      </c>
      <c r="EPO27" s="24" t="e">
        <v>#N/A</v>
      </c>
      <c r="EPP27" s="24" t="e">
        <v>#N/A</v>
      </c>
      <c r="EPQ27" s="24" t="e">
        <v>#N/A</v>
      </c>
      <c r="EPR27" s="24" t="e">
        <v>#N/A</v>
      </c>
      <c r="EPS27" s="24" t="e">
        <v>#N/A</v>
      </c>
      <c r="EPT27" s="24" t="e">
        <v>#N/A</v>
      </c>
      <c r="EPU27" s="24" t="e">
        <v>#N/A</v>
      </c>
      <c r="EPV27" s="24" t="e">
        <v>#N/A</v>
      </c>
      <c r="EPW27" s="24" t="e">
        <v>#N/A</v>
      </c>
      <c r="EPX27" s="24" t="e">
        <v>#N/A</v>
      </c>
      <c r="EPY27" s="24" t="e">
        <v>#N/A</v>
      </c>
      <c r="EPZ27" s="24" t="e">
        <v>#N/A</v>
      </c>
      <c r="EQA27" s="24" t="e">
        <v>#N/A</v>
      </c>
      <c r="EQB27" s="24" t="e">
        <v>#N/A</v>
      </c>
      <c r="EQC27" s="24" t="e">
        <v>#N/A</v>
      </c>
      <c r="EQD27" s="24" t="e">
        <v>#N/A</v>
      </c>
      <c r="EQE27" s="24" t="e">
        <v>#N/A</v>
      </c>
      <c r="EQF27" s="24" t="e">
        <v>#N/A</v>
      </c>
      <c r="EQG27" s="24" t="e">
        <v>#N/A</v>
      </c>
      <c r="EQH27" s="24" t="e">
        <v>#N/A</v>
      </c>
      <c r="EQI27" s="24" t="e">
        <v>#N/A</v>
      </c>
      <c r="EQJ27" s="24" t="e">
        <v>#N/A</v>
      </c>
      <c r="EQK27" s="24" t="e">
        <v>#N/A</v>
      </c>
      <c r="EQL27" s="24" t="e">
        <v>#N/A</v>
      </c>
      <c r="EQM27" s="24" t="e">
        <v>#N/A</v>
      </c>
      <c r="EQN27" s="24" t="e">
        <v>#N/A</v>
      </c>
      <c r="EQO27" s="24" t="e">
        <v>#N/A</v>
      </c>
      <c r="EQP27" s="24" t="e">
        <v>#N/A</v>
      </c>
      <c r="EQQ27" s="24" t="e">
        <v>#N/A</v>
      </c>
      <c r="EQR27" s="24" t="e">
        <v>#N/A</v>
      </c>
      <c r="EQS27" s="24" t="e">
        <v>#N/A</v>
      </c>
      <c r="EQT27" s="24" t="e">
        <v>#N/A</v>
      </c>
      <c r="EQU27" s="24" t="e">
        <v>#N/A</v>
      </c>
      <c r="EQV27" s="24" t="e">
        <v>#N/A</v>
      </c>
      <c r="EQW27" s="24" t="e">
        <v>#N/A</v>
      </c>
      <c r="EQX27" s="24" t="e">
        <v>#N/A</v>
      </c>
      <c r="EQY27" s="24" t="e">
        <v>#N/A</v>
      </c>
      <c r="EQZ27" s="24" t="e">
        <v>#N/A</v>
      </c>
      <c r="ERA27" s="24" t="e">
        <v>#N/A</v>
      </c>
      <c r="ERB27" s="24" t="e">
        <v>#N/A</v>
      </c>
      <c r="ERC27" s="24" t="e">
        <v>#N/A</v>
      </c>
      <c r="ERD27" s="24" t="e">
        <v>#N/A</v>
      </c>
      <c r="ERE27" s="24" t="e">
        <v>#N/A</v>
      </c>
      <c r="ERF27" s="24" t="e">
        <v>#N/A</v>
      </c>
      <c r="ERG27" s="24" t="e">
        <v>#N/A</v>
      </c>
      <c r="ERH27" s="24" t="e">
        <v>#N/A</v>
      </c>
      <c r="ERI27" s="24" t="e">
        <v>#N/A</v>
      </c>
      <c r="ERJ27" s="24" t="e">
        <v>#N/A</v>
      </c>
      <c r="ERK27" s="24" t="e">
        <v>#N/A</v>
      </c>
      <c r="ERL27" s="24" t="e">
        <v>#N/A</v>
      </c>
      <c r="ERM27" s="24" t="e">
        <v>#N/A</v>
      </c>
      <c r="ERN27" s="24" t="e">
        <v>#N/A</v>
      </c>
      <c r="ERO27" s="24" t="e">
        <v>#N/A</v>
      </c>
      <c r="ERP27" s="24" t="e">
        <v>#N/A</v>
      </c>
      <c r="ERQ27" s="24" t="e">
        <v>#N/A</v>
      </c>
      <c r="ERR27" s="24" t="e">
        <v>#N/A</v>
      </c>
      <c r="ERS27" s="24" t="e">
        <v>#N/A</v>
      </c>
      <c r="ERT27" s="24" t="e">
        <v>#N/A</v>
      </c>
      <c r="ERU27" s="24" t="e">
        <v>#N/A</v>
      </c>
      <c r="ERV27" s="24" t="e">
        <v>#N/A</v>
      </c>
      <c r="ERW27" s="24" t="e">
        <v>#N/A</v>
      </c>
      <c r="ERX27" s="24" t="e">
        <v>#N/A</v>
      </c>
      <c r="ERY27" s="24" t="e">
        <v>#N/A</v>
      </c>
      <c r="ERZ27" s="24" t="e">
        <v>#N/A</v>
      </c>
      <c r="ESA27" s="24" t="e">
        <v>#N/A</v>
      </c>
      <c r="ESB27" s="24" t="e">
        <v>#N/A</v>
      </c>
      <c r="ESC27" s="24" t="e">
        <v>#N/A</v>
      </c>
      <c r="ESD27" s="24" t="e">
        <v>#N/A</v>
      </c>
      <c r="ESE27" s="24" t="e">
        <v>#N/A</v>
      </c>
      <c r="ESF27" s="24" t="e">
        <v>#N/A</v>
      </c>
      <c r="ESG27" s="24" t="e">
        <v>#N/A</v>
      </c>
      <c r="ESH27" s="24" t="e">
        <v>#N/A</v>
      </c>
      <c r="ESI27" s="24" t="e">
        <v>#N/A</v>
      </c>
      <c r="ESJ27" s="24" t="e">
        <v>#N/A</v>
      </c>
      <c r="ESK27" s="24" t="e">
        <v>#N/A</v>
      </c>
      <c r="ESL27" s="24" t="e">
        <v>#N/A</v>
      </c>
      <c r="ESM27" s="24" t="e">
        <v>#N/A</v>
      </c>
      <c r="ESN27" s="24" t="e">
        <v>#N/A</v>
      </c>
      <c r="ESO27" s="24" t="e">
        <v>#N/A</v>
      </c>
      <c r="ESP27" s="24" t="e">
        <v>#N/A</v>
      </c>
      <c r="ESQ27" s="24" t="e">
        <v>#N/A</v>
      </c>
      <c r="ESR27" s="24" t="e">
        <v>#N/A</v>
      </c>
      <c r="ESS27" s="24" t="e">
        <v>#N/A</v>
      </c>
      <c r="EST27" s="24" t="e">
        <v>#N/A</v>
      </c>
      <c r="ESU27" s="24" t="e">
        <v>#N/A</v>
      </c>
      <c r="ESV27" s="24" t="e">
        <v>#N/A</v>
      </c>
      <c r="ESW27" s="24" t="e">
        <v>#N/A</v>
      </c>
      <c r="ESX27" s="24" t="e">
        <v>#N/A</v>
      </c>
      <c r="ESY27" s="24" t="e">
        <v>#N/A</v>
      </c>
      <c r="ESZ27" s="24" t="e">
        <v>#N/A</v>
      </c>
      <c r="ETA27" s="24" t="e">
        <v>#N/A</v>
      </c>
      <c r="ETB27" s="24" t="e">
        <v>#N/A</v>
      </c>
      <c r="ETC27" s="24" t="e">
        <v>#N/A</v>
      </c>
      <c r="ETD27" s="24" t="e">
        <v>#N/A</v>
      </c>
      <c r="ETE27" s="24" t="e">
        <v>#N/A</v>
      </c>
      <c r="ETF27" s="24" t="e">
        <v>#N/A</v>
      </c>
      <c r="ETG27" s="24" t="e">
        <v>#N/A</v>
      </c>
      <c r="ETH27" s="24" t="e">
        <v>#N/A</v>
      </c>
      <c r="ETI27" s="24" t="e">
        <v>#N/A</v>
      </c>
      <c r="ETJ27" s="24" t="e">
        <v>#N/A</v>
      </c>
      <c r="ETK27" s="24" t="e">
        <v>#N/A</v>
      </c>
      <c r="ETL27" s="24" t="e">
        <v>#N/A</v>
      </c>
      <c r="ETM27" s="24" t="e">
        <v>#N/A</v>
      </c>
      <c r="ETN27" s="24" t="e">
        <v>#N/A</v>
      </c>
      <c r="ETO27" s="24" t="e">
        <v>#N/A</v>
      </c>
      <c r="ETP27" s="24" t="e">
        <v>#N/A</v>
      </c>
      <c r="ETQ27" s="24" t="e">
        <v>#N/A</v>
      </c>
      <c r="ETR27" s="24" t="e">
        <v>#N/A</v>
      </c>
      <c r="ETS27" s="24" t="e">
        <v>#N/A</v>
      </c>
      <c r="ETT27" s="24" t="e">
        <v>#N/A</v>
      </c>
      <c r="ETU27" s="24" t="e">
        <v>#N/A</v>
      </c>
      <c r="ETV27" s="24" t="e">
        <v>#N/A</v>
      </c>
      <c r="ETW27" s="24" t="e">
        <v>#N/A</v>
      </c>
      <c r="ETX27" s="24" t="e">
        <v>#N/A</v>
      </c>
      <c r="ETY27" s="24" t="e">
        <v>#N/A</v>
      </c>
      <c r="ETZ27" s="24" t="e">
        <v>#N/A</v>
      </c>
      <c r="EUA27" s="24" t="e">
        <v>#N/A</v>
      </c>
      <c r="EUB27" s="24" t="e">
        <v>#N/A</v>
      </c>
      <c r="EUC27" s="24" t="e">
        <v>#N/A</v>
      </c>
      <c r="EUD27" s="24" t="e">
        <v>#N/A</v>
      </c>
      <c r="EUE27" s="24" t="e">
        <v>#N/A</v>
      </c>
      <c r="EUF27" s="24" t="e">
        <v>#N/A</v>
      </c>
      <c r="EUG27" s="24" t="e">
        <v>#N/A</v>
      </c>
      <c r="EUH27" s="24" t="e">
        <v>#N/A</v>
      </c>
      <c r="EUI27" s="24" t="e">
        <v>#N/A</v>
      </c>
      <c r="EUJ27" s="24" t="e">
        <v>#N/A</v>
      </c>
      <c r="EUK27" s="24" t="e">
        <v>#N/A</v>
      </c>
      <c r="EUL27" s="24" t="e">
        <v>#N/A</v>
      </c>
      <c r="EUM27" s="24" t="e">
        <v>#N/A</v>
      </c>
      <c r="EUN27" s="24" t="e">
        <v>#N/A</v>
      </c>
      <c r="EUO27" s="24" t="e">
        <v>#N/A</v>
      </c>
      <c r="EUP27" s="24" t="e">
        <v>#N/A</v>
      </c>
      <c r="EUQ27" s="24" t="e">
        <v>#N/A</v>
      </c>
      <c r="EUR27" s="24" t="e">
        <v>#N/A</v>
      </c>
      <c r="EUS27" s="24" t="e">
        <v>#N/A</v>
      </c>
      <c r="EUT27" s="24" t="e">
        <v>#N/A</v>
      </c>
      <c r="EUU27" s="24" t="e">
        <v>#N/A</v>
      </c>
      <c r="EUV27" s="24" t="e">
        <v>#N/A</v>
      </c>
      <c r="EUW27" s="24" t="e">
        <v>#N/A</v>
      </c>
      <c r="EUX27" s="24" t="e">
        <v>#N/A</v>
      </c>
      <c r="EUY27" s="24" t="e">
        <v>#N/A</v>
      </c>
      <c r="EUZ27" s="24" t="e">
        <v>#N/A</v>
      </c>
      <c r="EVA27" s="24" t="e">
        <v>#N/A</v>
      </c>
      <c r="EVB27" s="24" t="e">
        <v>#N/A</v>
      </c>
      <c r="EVC27" s="24" t="e">
        <v>#N/A</v>
      </c>
      <c r="EVD27" s="24" t="e">
        <v>#N/A</v>
      </c>
      <c r="EVE27" s="24" t="e">
        <v>#N/A</v>
      </c>
      <c r="EVF27" s="24" t="e">
        <v>#N/A</v>
      </c>
      <c r="EVG27" s="24" t="e">
        <v>#N/A</v>
      </c>
      <c r="EVH27" s="24" t="e">
        <v>#N/A</v>
      </c>
      <c r="EVI27" s="24" t="e">
        <v>#N/A</v>
      </c>
      <c r="EVJ27" s="24" t="e">
        <v>#N/A</v>
      </c>
      <c r="EVK27" s="24" t="e">
        <v>#N/A</v>
      </c>
      <c r="EVL27" s="24" t="e">
        <v>#N/A</v>
      </c>
      <c r="EVM27" s="24" t="e">
        <v>#N/A</v>
      </c>
      <c r="EVN27" s="24" t="e">
        <v>#N/A</v>
      </c>
      <c r="EVO27" s="24" t="e">
        <v>#N/A</v>
      </c>
      <c r="EVP27" s="24" t="e">
        <v>#N/A</v>
      </c>
      <c r="EVQ27" s="24" t="e">
        <v>#N/A</v>
      </c>
      <c r="EVR27" s="24" t="e">
        <v>#N/A</v>
      </c>
      <c r="EVS27" s="24" t="e">
        <v>#N/A</v>
      </c>
      <c r="EVT27" s="24" t="e">
        <v>#N/A</v>
      </c>
      <c r="EVU27" s="24" t="e">
        <v>#N/A</v>
      </c>
      <c r="EVV27" s="24" t="e">
        <v>#N/A</v>
      </c>
      <c r="EVW27" s="24" t="e">
        <v>#N/A</v>
      </c>
      <c r="EVX27" s="24" t="e">
        <v>#N/A</v>
      </c>
      <c r="EVY27" s="24" t="e">
        <v>#N/A</v>
      </c>
      <c r="EVZ27" s="24" t="e">
        <v>#N/A</v>
      </c>
      <c r="EWA27" s="24" t="e">
        <v>#N/A</v>
      </c>
      <c r="EWB27" s="24" t="e">
        <v>#N/A</v>
      </c>
      <c r="EWC27" s="24" t="e">
        <v>#N/A</v>
      </c>
      <c r="EWD27" s="24" t="e">
        <v>#N/A</v>
      </c>
      <c r="EWE27" s="24" t="e">
        <v>#N/A</v>
      </c>
      <c r="EWF27" s="24" t="e">
        <v>#N/A</v>
      </c>
      <c r="EWG27" s="24" t="e">
        <v>#N/A</v>
      </c>
      <c r="EWH27" s="24" t="e">
        <v>#N/A</v>
      </c>
      <c r="EWI27" s="24" t="e">
        <v>#N/A</v>
      </c>
      <c r="EWJ27" s="24" t="e">
        <v>#N/A</v>
      </c>
      <c r="EWK27" s="24" t="e">
        <v>#N/A</v>
      </c>
      <c r="EWL27" s="24" t="e">
        <v>#N/A</v>
      </c>
      <c r="EWM27" s="24" t="e">
        <v>#N/A</v>
      </c>
      <c r="EWN27" s="24" t="e">
        <v>#N/A</v>
      </c>
      <c r="EWO27" s="24" t="e">
        <v>#N/A</v>
      </c>
      <c r="EWP27" s="24" t="e">
        <v>#N/A</v>
      </c>
      <c r="EWQ27" s="24" t="e">
        <v>#N/A</v>
      </c>
      <c r="EWR27" s="24" t="e">
        <v>#N/A</v>
      </c>
      <c r="EWS27" s="24" t="e">
        <v>#N/A</v>
      </c>
      <c r="EWT27" s="24" t="e">
        <v>#N/A</v>
      </c>
      <c r="EWU27" s="24" t="e">
        <v>#N/A</v>
      </c>
      <c r="EWV27" s="24" t="e">
        <v>#N/A</v>
      </c>
      <c r="EWW27" s="24" t="e">
        <v>#N/A</v>
      </c>
      <c r="EWX27" s="24" t="e">
        <v>#N/A</v>
      </c>
      <c r="EWY27" s="24" t="e">
        <v>#N/A</v>
      </c>
      <c r="EWZ27" s="24" t="e">
        <v>#N/A</v>
      </c>
      <c r="EXA27" s="24" t="e">
        <v>#N/A</v>
      </c>
      <c r="EXB27" s="24" t="e">
        <v>#N/A</v>
      </c>
      <c r="EXC27" s="24" t="e">
        <v>#N/A</v>
      </c>
      <c r="EXD27" s="24" t="e">
        <v>#N/A</v>
      </c>
      <c r="EXE27" s="24" t="e">
        <v>#N/A</v>
      </c>
      <c r="EXF27" s="24" t="e">
        <v>#N/A</v>
      </c>
      <c r="EXG27" s="24" t="e">
        <v>#N/A</v>
      </c>
      <c r="EXH27" s="24" t="e">
        <v>#N/A</v>
      </c>
      <c r="EXI27" s="24" t="e">
        <v>#N/A</v>
      </c>
      <c r="EXJ27" s="24" t="e">
        <v>#N/A</v>
      </c>
      <c r="EXK27" s="24" t="e">
        <v>#N/A</v>
      </c>
      <c r="EXL27" s="24" t="e">
        <v>#N/A</v>
      </c>
      <c r="EXM27" s="24" t="e">
        <v>#N/A</v>
      </c>
      <c r="EXN27" s="24" t="e">
        <v>#N/A</v>
      </c>
      <c r="EXO27" s="24" t="e">
        <v>#N/A</v>
      </c>
      <c r="EXP27" s="24" t="e">
        <v>#N/A</v>
      </c>
      <c r="EXQ27" s="24" t="e">
        <v>#N/A</v>
      </c>
      <c r="EXR27" s="24" t="e">
        <v>#N/A</v>
      </c>
      <c r="EXS27" s="24" t="e">
        <v>#N/A</v>
      </c>
      <c r="EXT27" s="24" t="e">
        <v>#N/A</v>
      </c>
      <c r="EXU27" s="24" t="e">
        <v>#N/A</v>
      </c>
      <c r="EXV27" s="24" t="e">
        <v>#N/A</v>
      </c>
      <c r="EXW27" s="24" t="e">
        <v>#N/A</v>
      </c>
      <c r="EXX27" s="24" t="e">
        <v>#N/A</v>
      </c>
      <c r="EXY27" s="24" t="e">
        <v>#N/A</v>
      </c>
      <c r="EXZ27" s="24" t="e">
        <v>#N/A</v>
      </c>
      <c r="EYA27" s="24" t="e">
        <v>#N/A</v>
      </c>
      <c r="EYB27" s="24" t="e">
        <v>#N/A</v>
      </c>
      <c r="EYC27" s="24" t="e">
        <v>#N/A</v>
      </c>
      <c r="EYD27" s="24" t="e">
        <v>#N/A</v>
      </c>
      <c r="EYE27" s="24" t="e">
        <v>#N/A</v>
      </c>
      <c r="EYF27" s="24" t="e">
        <v>#N/A</v>
      </c>
      <c r="EYG27" s="24" t="e">
        <v>#N/A</v>
      </c>
      <c r="EYH27" s="24" t="e">
        <v>#N/A</v>
      </c>
      <c r="EYI27" s="24" t="e">
        <v>#N/A</v>
      </c>
      <c r="EYJ27" s="24" t="e">
        <v>#N/A</v>
      </c>
      <c r="EYK27" s="24" t="e">
        <v>#N/A</v>
      </c>
      <c r="EYL27" s="24" t="e">
        <v>#N/A</v>
      </c>
      <c r="EYM27" s="24" t="e">
        <v>#N/A</v>
      </c>
      <c r="EYN27" s="24" t="e">
        <v>#N/A</v>
      </c>
      <c r="EYO27" s="24" t="e">
        <v>#N/A</v>
      </c>
      <c r="EYP27" s="24" t="e">
        <v>#N/A</v>
      </c>
      <c r="EYQ27" s="24" t="e">
        <v>#N/A</v>
      </c>
      <c r="EYR27" s="24" t="e">
        <v>#N/A</v>
      </c>
      <c r="EYS27" s="24" t="e">
        <v>#N/A</v>
      </c>
      <c r="EYT27" s="24" t="e">
        <v>#N/A</v>
      </c>
      <c r="EYU27" s="24" t="e">
        <v>#N/A</v>
      </c>
      <c r="EYV27" s="24" t="e">
        <v>#N/A</v>
      </c>
      <c r="EYW27" s="24" t="e">
        <v>#N/A</v>
      </c>
      <c r="EYX27" s="24" t="e">
        <v>#N/A</v>
      </c>
      <c r="EYY27" s="24" t="e">
        <v>#N/A</v>
      </c>
      <c r="EYZ27" s="24" t="e">
        <v>#N/A</v>
      </c>
      <c r="EZA27" s="24" t="e">
        <v>#N/A</v>
      </c>
      <c r="EZB27" s="24" t="e">
        <v>#N/A</v>
      </c>
      <c r="EZC27" s="24" t="e">
        <v>#N/A</v>
      </c>
      <c r="EZD27" s="24" t="e">
        <v>#N/A</v>
      </c>
      <c r="EZE27" s="24" t="e">
        <v>#N/A</v>
      </c>
      <c r="EZF27" s="24" t="e">
        <v>#N/A</v>
      </c>
      <c r="EZG27" s="24" t="e">
        <v>#N/A</v>
      </c>
      <c r="EZH27" s="24" t="e">
        <v>#N/A</v>
      </c>
      <c r="EZI27" s="24" t="e">
        <v>#N/A</v>
      </c>
      <c r="EZJ27" s="24" t="e">
        <v>#N/A</v>
      </c>
      <c r="EZK27" s="24" t="e">
        <v>#N/A</v>
      </c>
      <c r="EZL27" s="24" t="e">
        <v>#N/A</v>
      </c>
      <c r="EZM27" s="24" t="e">
        <v>#N/A</v>
      </c>
      <c r="EZN27" s="24" t="e">
        <v>#N/A</v>
      </c>
      <c r="EZO27" s="24" t="e">
        <v>#N/A</v>
      </c>
      <c r="EZP27" s="24" t="e">
        <v>#N/A</v>
      </c>
      <c r="EZQ27" s="24" t="e">
        <v>#N/A</v>
      </c>
      <c r="EZR27" s="24" t="e">
        <v>#N/A</v>
      </c>
      <c r="EZS27" s="24" t="e">
        <v>#N/A</v>
      </c>
      <c r="EZT27" s="24" t="e">
        <v>#N/A</v>
      </c>
      <c r="EZU27" s="24" t="e">
        <v>#N/A</v>
      </c>
      <c r="EZV27" s="24" t="e">
        <v>#N/A</v>
      </c>
      <c r="EZW27" s="24" t="e">
        <v>#N/A</v>
      </c>
      <c r="EZX27" s="24" t="e">
        <v>#N/A</v>
      </c>
      <c r="EZY27" s="24" t="e">
        <v>#N/A</v>
      </c>
      <c r="EZZ27" s="24" t="e">
        <v>#N/A</v>
      </c>
      <c r="FAA27" s="24" t="e">
        <v>#N/A</v>
      </c>
      <c r="FAB27" s="24" t="e">
        <v>#N/A</v>
      </c>
      <c r="FAC27" s="24" t="e">
        <v>#N/A</v>
      </c>
      <c r="FAD27" s="24" t="e">
        <v>#N/A</v>
      </c>
      <c r="FAE27" s="24" t="e">
        <v>#N/A</v>
      </c>
      <c r="FAF27" s="24" t="e">
        <v>#N/A</v>
      </c>
      <c r="FAG27" s="24" t="e">
        <v>#N/A</v>
      </c>
      <c r="FAH27" s="24" t="e">
        <v>#N/A</v>
      </c>
      <c r="FAI27" s="24" t="e">
        <v>#N/A</v>
      </c>
      <c r="FAJ27" s="24" t="e">
        <v>#N/A</v>
      </c>
      <c r="FAK27" s="24" t="e">
        <v>#N/A</v>
      </c>
      <c r="FAL27" s="24" t="e">
        <v>#N/A</v>
      </c>
      <c r="FAM27" s="24" t="e">
        <v>#N/A</v>
      </c>
      <c r="FAN27" s="24" t="e">
        <v>#N/A</v>
      </c>
      <c r="FAO27" s="24" t="e">
        <v>#N/A</v>
      </c>
      <c r="FAP27" s="24" t="e">
        <v>#N/A</v>
      </c>
      <c r="FAQ27" s="24" t="e">
        <v>#N/A</v>
      </c>
      <c r="FAR27" s="24" t="e">
        <v>#N/A</v>
      </c>
      <c r="FAS27" s="24" t="e">
        <v>#N/A</v>
      </c>
      <c r="FAT27" s="24" t="e">
        <v>#N/A</v>
      </c>
      <c r="FAU27" s="24" t="e">
        <v>#N/A</v>
      </c>
      <c r="FAV27" s="24" t="e">
        <v>#N/A</v>
      </c>
      <c r="FAW27" s="24" t="e">
        <v>#N/A</v>
      </c>
      <c r="FAX27" s="24" t="e">
        <v>#N/A</v>
      </c>
      <c r="FAY27" s="24" t="e">
        <v>#N/A</v>
      </c>
      <c r="FAZ27" s="24" t="e">
        <v>#N/A</v>
      </c>
      <c r="FBA27" s="24" t="e">
        <v>#N/A</v>
      </c>
      <c r="FBB27" s="24" t="e">
        <v>#N/A</v>
      </c>
      <c r="FBC27" s="24" t="e">
        <v>#N/A</v>
      </c>
      <c r="FBD27" s="24" t="e">
        <v>#N/A</v>
      </c>
      <c r="FBE27" s="24" t="e">
        <v>#N/A</v>
      </c>
      <c r="FBF27" s="24" t="e">
        <v>#N/A</v>
      </c>
      <c r="FBG27" s="24" t="e">
        <v>#N/A</v>
      </c>
      <c r="FBH27" s="24" t="e">
        <v>#N/A</v>
      </c>
      <c r="FBI27" s="24" t="e">
        <v>#N/A</v>
      </c>
      <c r="FBJ27" s="24" t="e">
        <v>#N/A</v>
      </c>
      <c r="FBK27" s="24" t="e">
        <v>#N/A</v>
      </c>
      <c r="FBL27" s="24" t="e">
        <v>#N/A</v>
      </c>
      <c r="FBM27" s="24" t="e">
        <v>#N/A</v>
      </c>
      <c r="FBN27" s="24" t="e">
        <v>#N/A</v>
      </c>
      <c r="FBO27" s="24" t="e">
        <v>#N/A</v>
      </c>
      <c r="FBP27" s="24" t="e">
        <v>#N/A</v>
      </c>
      <c r="FBQ27" s="24" t="e">
        <v>#N/A</v>
      </c>
      <c r="FBR27" s="24" t="e">
        <v>#N/A</v>
      </c>
      <c r="FBS27" s="24" t="e">
        <v>#N/A</v>
      </c>
      <c r="FBT27" s="24" t="e">
        <v>#N/A</v>
      </c>
      <c r="FBU27" s="24" t="e">
        <v>#N/A</v>
      </c>
      <c r="FBV27" s="24" t="e">
        <v>#N/A</v>
      </c>
      <c r="FBW27" s="24" t="e">
        <v>#N/A</v>
      </c>
      <c r="FBX27" s="24" t="e">
        <v>#N/A</v>
      </c>
      <c r="FBY27" s="24" t="e">
        <v>#N/A</v>
      </c>
      <c r="FBZ27" s="24" t="e">
        <v>#N/A</v>
      </c>
      <c r="FCA27" s="24" t="e">
        <v>#N/A</v>
      </c>
      <c r="FCB27" s="24" t="e">
        <v>#N/A</v>
      </c>
      <c r="FCC27" s="24" t="e">
        <v>#N/A</v>
      </c>
      <c r="FCD27" s="24" t="e">
        <v>#N/A</v>
      </c>
      <c r="FCE27" s="24" t="e">
        <v>#N/A</v>
      </c>
      <c r="FCF27" s="24" t="e">
        <v>#N/A</v>
      </c>
      <c r="FCG27" s="24" t="e">
        <v>#N/A</v>
      </c>
      <c r="FCH27" s="24" t="e">
        <v>#N/A</v>
      </c>
      <c r="FCI27" s="24" t="e">
        <v>#N/A</v>
      </c>
      <c r="FCJ27" s="24" t="e">
        <v>#N/A</v>
      </c>
      <c r="FCK27" s="24" t="e">
        <v>#N/A</v>
      </c>
      <c r="FCL27" s="24" t="e">
        <v>#N/A</v>
      </c>
      <c r="FCM27" s="24" t="e">
        <v>#N/A</v>
      </c>
      <c r="FCN27" s="24" t="e">
        <v>#N/A</v>
      </c>
      <c r="FCO27" s="24" t="e">
        <v>#N/A</v>
      </c>
      <c r="FCP27" s="24" t="e">
        <v>#N/A</v>
      </c>
      <c r="FCQ27" s="24" t="e">
        <v>#N/A</v>
      </c>
      <c r="FCR27" s="24" t="e">
        <v>#N/A</v>
      </c>
      <c r="FCS27" s="24" t="e">
        <v>#N/A</v>
      </c>
      <c r="FCT27" s="24" t="e">
        <v>#N/A</v>
      </c>
      <c r="FCU27" s="24" t="e">
        <v>#N/A</v>
      </c>
      <c r="FCV27" s="24" t="e">
        <v>#N/A</v>
      </c>
      <c r="FCW27" s="24" t="e">
        <v>#N/A</v>
      </c>
      <c r="FCX27" s="24" t="e">
        <v>#N/A</v>
      </c>
      <c r="FCY27" s="24" t="e">
        <v>#N/A</v>
      </c>
      <c r="FCZ27" s="24" t="e">
        <v>#N/A</v>
      </c>
      <c r="FDA27" s="24" t="e">
        <v>#N/A</v>
      </c>
      <c r="FDB27" s="24" t="e">
        <v>#N/A</v>
      </c>
      <c r="FDC27" s="24" t="e">
        <v>#N/A</v>
      </c>
      <c r="FDD27" s="24" t="e">
        <v>#N/A</v>
      </c>
      <c r="FDE27" s="24" t="e">
        <v>#N/A</v>
      </c>
      <c r="FDF27" s="24" t="e">
        <v>#N/A</v>
      </c>
      <c r="FDG27" s="24" t="e">
        <v>#N/A</v>
      </c>
      <c r="FDH27" s="24" t="e">
        <v>#N/A</v>
      </c>
      <c r="FDI27" s="24" t="e">
        <v>#N/A</v>
      </c>
      <c r="FDJ27" s="24" t="e">
        <v>#N/A</v>
      </c>
      <c r="FDK27" s="24" t="e">
        <v>#N/A</v>
      </c>
      <c r="FDL27" s="24" t="e">
        <v>#N/A</v>
      </c>
      <c r="FDM27" s="24" t="e">
        <v>#N/A</v>
      </c>
      <c r="FDN27" s="24" t="e">
        <v>#N/A</v>
      </c>
      <c r="FDO27" s="24" t="e">
        <v>#N/A</v>
      </c>
      <c r="FDP27" s="24" t="e">
        <v>#N/A</v>
      </c>
      <c r="FDQ27" s="24" t="e">
        <v>#N/A</v>
      </c>
      <c r="FDR27" s="24" t="e">
        <v>#N/A</v>
      </c>
      <c r="FDS27" s="24" t="e">
        <v>#N/A</v>
      </c>
      <c r="FDT27" s="24" t="e">
        <v>#N/A</v>
      </c>
      <c r="FDU27" s="24" t="e">
        <v>#N/A</v>
      </c>
      <c r="FDV27" s="24" t="e">
        <v>#N/A</v>
      </c>
      <c r="FDW27" s="24" t="e">
        <v>#N/A</v>
      </c>
      <c r="FDX27" s="24" t="e">
        <v>#N/A</v>
      </c>
      <c r="FDY27" s="24" t="e">
        <v>#N/A</v>
      </c>
      <c r="FDZ27" s="24" t="e">
        <v>#N/A</v>
      </c>
      <c r="FEA27" s="24" t="e">
        <v>#N/A</v>
      </c>
      <c r="FEB27" s="24" t="e">
        <v>#N/A</v>
      </c>
      <c r="FEC27" s="24" t="e">
        <v>#N/A</v>
      </c>
      <c r="FED27" s="24" t="e">
        <v>#N/A</v>
      </c>
      <c r="FEE27" s="24" t="e">
        <v>#N/A</v>
      </c>
      <c r="FEF27" s="24" t="e">
        <v>#N/A</v>
      </c>
      <c r="FEG27" s="24" t="e">
        <v>#N/A</v>
      </c>
      <c r="FEH27" s="24" t="e">
        <v>#N/A</v>
      </c>
      <c r="FEI27" s="24" t="e">
        <v>#N/A</v>
      </c>
      <c r="FEJ27" s="24" t="e">
        <v>#N/A</v>
      </c>
      <c r="FEK27" s="24" t="e">
        <v>#N/A</v>
      </c>
      <c r="FEL27" s="24" t="e">
        <v>#N/A</v>
      </c>
      <c r="FEM27" s="24" t="e">
        <v>#N/A</v>
      </c>
      <c r="FEN27" s="24" t="e">
        <v>#N/A</v>
      </c>
      <c r="FEO27" s="24" t="e">
        <v>#N/A</v>
      </c>
      <c r="FEP27" s="24" t="e">
        <v>#N/A</v>
      </c>
      <c r="FEQ27" s="24" t="e">
        <v>#N/A</v>
      </c>
      <c r="FER27" s="24" t="e">
        <v>#N/A</v>
      </c>
      <c r="FES27" s="24" t="e">
        <v>#N/A</v>
      </c>
      <c r="FET27" s="24" t="e">
        <v>#N/A</v>
      </c>
      <c r="FEU27" s="24" t="e">
        <v>#N/A</v>
      </c>
      <c r="FEV27" s="24" t="e">
        <v>#N/A</v>
      </c>
      <c r="FEW27" s="24" t="e">
        <v>#N/A</v>
      </c>
      <c r="FEX27" s="24" t="e">
        <v>#N/A</v>
      </c>
      <c r="FEY27" s="24" t="e">
        <v>#N/A</v>
      </c>
      <c r="FEZ27" s="24" t="e">
        <v>#N/A</v>
      </c>
      <c r="FFA27" s="24" t="e">
        <v>#N/A</v>
      </c>
      <c r="FFB27" s="24" t="e">
        <v>#N/A</v>
      </c>
      <c r="FFC27" s="24" t="e">
        <v>#N/A</v>
      </c>
      <c r="FFD27" s="24" t="e">
        <v>#N/A</v>
      </c>
      <c r="FFE27" s="24" t="e">
        <v>#N/A</v>
      </c>
      <c r="FFF27" s="24" t="e">
        <v>#N/A</v>
      </c>
      <c r="FFG27" s="24" t="e">
        <v>#N/A</v>
      </c>
      <c r="FFH27" s="24" t="e">
        <v>#N/A</v>
      </c>
      <c r="FFI27" s="24" t="e">
        <v>#N/A</v>
      </c>
      <c r="FFJ27" s="24" t="e">
        <v>#N/A</v>
      </c>
      <c r="FFK27" s="24" t="e">
        <v>#N/A</v>
      </c>
      <c r="FFL27" s="24" t="e">
        <v>#N/A</v>
      </c>
      <c r="FFM27" s="24" t="e">
        <v>#N/A</v>
      </c>
      <c r="FFN27" s="24" t="e">
        <v>#N/A</v>
      </c>
      <c r="FFO27" s="24" t="e">
        <v>#N/A</v>
      </c>
      <c r="FFP27" s="24" t="e">
        <v>#N/A</v>
      </c>
      <c r="FFQ27" s="24" t="e">
        <v>#N/A</v>
      </c>
      <c r="FFR27" s="24" t="e">
        <v>#N/A</v>
      </c>
      <c r="FFS27" s="24" t="e">
        <v>#N/A</v>
      </c>
      <c r="FFT27" s="24" t="e">
        <v>#N/A</v>
      </c>
      <c r="FFU27" s="24" t="e">
        <v>#N/A</v>
      </c>
      <c r="FFV27" s="24" t="e">
        <v>#N/A</v>
      </c>
      <c r="FFW27" s="24" t="e">
        <v>#N/A</v>
      </c>
      <c r="FFX27" s="24" t="e">
        <v>#N/A</v>
      </c>
      <c r="FFY27" s="24" t="e">
        <v>#N/A</v>
      </c>
      <c r="FFZ27" s="24" t="e">
        <v>#N/A</v>
      </c>
      <c r="FGA27" s="24" t="e">
        <v>#N/A</v>
      </c>
      <c r="FGB27" s="24" t="e">
        <v>#N/A</v>
      </c>
      <c r="FGC27" s="24" t="e">
        <v>#N/A</v>
      </c>
      <c r="FGD27" s="24" t="e">
        <v>#N/A</v>
      </c>
      <c r="FGE27" s="24" t="e">
        <v>#N/A</v>
      </c>
      <c r="FGF27" s="24" t="e">
        <v>#N/A</v>
      </c>
      <c r="FGG27" s="24" t="e">
        <v>#N/A</v>
      </c>
      <c r="FGH27" s="24" t="e">
        <v>#N/A</v>
      </c>
      <c r="FGI27" s="24" t="e">
        <v>#N/A</v>
      </c>
      <c r="FGJ27" s="24" t="e">
        <v>#N/A</v>
      </c>
      <c r="FGK27" s="24" t="e">
        <v>#N/A</v>
      </c>
      <c r="FGL27" s="24" t="e">
        <v>#N/A</v>
      </c>
      <c r="FGM27" s="24" t="e">
        <v>#N/A</v>
      </c>
      <c r="FGN27" s="24" t="e">
        <v>#N/A</v>
      </c>
      <c r="FGO27" s="24" t="e">
        <v>#N/A</v>
      </c>
      <c r="FGP27" s="24" t="e">
        <v>#N/A</v>
      </c>
      <c r="FGQ27" s="24" t="e">
        <v>#N/A</v>
      </c>
      <c r="FGR27" s="24" t="e">
        <v>#N/A</v>
      </c>
      <c r="FGS27" s="24" t="e">
        <v>#N/A</v>
      </c>
      <c r="FGT27" s="24" t="e">
        <v>#N/A</v>
      </c>
      <c r="FGU27" s="24" t="e">
        <v>#N/A</v>
      </c>
      <c r="FGV27" s="24" t="e">
        <v>#N/A</v>
      </c>
      <c r="FGW27" s="24" t="e">
        <v>#N/A</v>
      </c>
      <c r="FGX27" s="24" t="e">
        <v>#N/A</v>
      </c>
      <c r="FGY27" s="24" t="e">
        <v>#N/A</v>
      </c>
      <c r="FGZ27" s="24" t="e">
        <v>#N/A</v>
      </c>
      <c r="FHA27" s="24" t="e">
        <v>#N/A</v>
      </c>
      <c r="FHB27" s="24" t="e">
        <v>#N/A</v>
      </c>
      <c r="FHC27" s="24" t="e">
        <v>#N/A</v>
      </c>
      <c r="FHD27" s="24" t="e">
        <v>#N/A</v>
      </c>
      <c r="FHE27" s="24" t="e">
        <v>#N/A</v>
      </c>
      <c r="FHF27" s="24" t="e">
        <v>#N/A</v>
      </c>
      <c r="FHG27" s="24" t="e">
        <v>#N/A</v>
      </c>
      <c r="FHH27" s="24" t="e">
        <v>#N/A</v>
      </c>
      <c r="FHI27" s="24" t="e">
        <v>#N/A</v>
      </c>
      <c r="FHJ27" s="24" t="e">
        <v>#N/A</v>
      </c>
      <c r="FHK27" s="24" t="e">
        <v>#N/A</v>
      </c>
      <c r="FHL27" s="24" t="e">
        <v>#N/A</v>
      </c>
      <c r="FHM27" s="24" t="e">
        <v>#N/A</v>
      </c>
      <c r="FHN27" s="24" t="e">
        <v>#N/A</v>
      </c>
      <c r="FHO27" s="24" t="e">
        <v>#N/A</v>
      </c>
      <c r="FHP27" s="24" t="e">
        <v>#N/A</v>
      </c>
      <c r="FHQ27" s="24" t="e">
        <v>#N/A</v>
      </c>
      <c r="FHR27" s="24" t="e">
        <v>#N/A</v>
      </c>
      <c r="FHS27" s="24" t="e">
        <v>#N/A</v>
      </c>
      <c r="FHT27" s="24" t="e">
        <v>#N/A</v>
      </c>
      <c r="FHU27" s="24" t="e">
        <v>#N/A</v>
      </c>
      <c r="FHV27" s="24" t="e">
        <v>#N/A</v>
      </c>
      <c r="FHW27" s="24" t="e">
        <v>#N/A</v>
      </c>
      <c r="FHX27" s="24" t="e">
        <v>#N/A</v>
      </c>
      <c r="FHY27" s="24" t="e">
        <v>#N/A</v>
      </c>
      <c r="FHZ27" s="24" t="e">
        <v>#N/A</v>
      </c>
      <c r="FIA27" s="24" t="e">
        <v>#N/A</v>
      </c>
      <c r="FIB27" s="24" t="e">
        <v>#N/A</v>
      </c>
      <c r="FIC27" s="24" t="e">
        <v>#N/A</v>
      </c>
      <c r="FID27" s="24" t="e">
        <v>#N/A</v>
      </c>
      <c r="FIE27" s="24" t="e">
        <v>#N/A</v>
      </c>
      <c r="FIF27" s="24" t="e">
        <v>#N/A</v>
      </c>
      <c r="FIG27" s="24" t="e">
        <v>#N/A</v>
      </c>
      <c r="FIH27" s="24" t="e">
        <v>#N/A</v>
      </c>
      <c r="FII27" s="24" t="e">
        <v>#N/A</v>
      </c>
      <c r="FIJ27" s="24" t="e">
        <v>#N/A</v>
      </c>
      <c r="FIK27" s="24" t="e">
        <v>#N/A</v>
      </c>
      <c r="FIL27" s="24" t="e">
        <v>#N/A</v>
      </c>
      <c r="FIM27" s="24" t="e">
        <v>#N/A</v>
      </c>
      <c r="FIN27" s="24" t="e">
        <v>#N/A</v>
      </c>
      <c r="FIO27" s="24" t="e">
        <v>#N/A</v>
      </c>
      <c r="FIP27" s="24" t="e">
        <v>#N/A</v>
      </c>
      <c r="FIQ27" s="24" t="e">
        <v>#N/A</v>
      </c>
      <c r="FIR27" s="24" t="e">
        <v>#N/A</v>
      </c>
      <c r="FIS27" s="24" t="e">
        <v>#N/A</v>
      </c>
      <c r="FIT27" s="24" t="e">
        <v>#N/A</v>
      </c>
      <c r="FIU27" s="24" t="e">
        <v>#N/A</v>
      </c>
      <c r="FIV27" s="24" t="e">
        <v>#N/A</v>
      </c>
      <c r="FIW27" s="24" t="e">
        <v>#N/A</v>
      </c>
      <c r="FIX27" s="24" t="e">
        <v>#N/A</v>
      </c>
      <c r="FIY27" s="24" t="e">
        <v>#N/A</v>
      </c>
      <c r="FIZ27" s="24" t="e">
        <v>#N/A</v>
      </c>
      <c r="FJA27" s="24" t="e">
        <v>#N/A</v>
      </c>
      <c r="FJB27" s="24" t="e">
        <v>#N/A</v>
      </c>
      <c r="FJC27" s="24" t="e">
        <v>#N/A</v>
      </c>
      <c r="FJD27" s="24" t="e">
        <v>#N/A</v>
      </c>
      <c r="FJE27" s="24" t="e">
        <v>#N/A</v>
      </c>
      <c r="FJF27" s="24" t="e">
        <v>#N/A</v>
      </c>
      <c r="FJG27" s="24" t="e">
        <v>#N/A</v>
      </c>
      <c r="FJH27" s="24" t="e">
        <v>#N/A</v>
      </c>
      <c r="FJI27" s="24" t="e">
        <v>#N/A</v>
      </c>
      <c r="FJJ27" s="24" t="e">
        <v>#N/A</v>
      </c>
      <c r="FJK27" s="24" t="e">
        <v>#N/A</v>
      </c>
      <c r="FJL27" s="24" t="e">
        <v>#N/A</v>
      </c>
      <c r="FJM27" s="24" t="e">
        <v>#N/A</v>
      </c>
      <c r="FJN27" s="24" t="e">
        <v>#N/A</v>
      </c>
      <c r="FJO27" s="24" t="e">
        <v>#N/A</v>
      </c>
      <c r="FJP27" s="24" t="e">
        <v>#N/A</v>
      </c>
      <c r="FJQ27" s="24" t="e">
        <v>#N/A</v>
      </c>
      <c r="FJR27" s="24" t="e">
        <v>#N/A</v>
      </c>
      <c r="FJS27" s="24" t="e">
        <v>#N/A</v>
      </c>
      <c r="FJT27" s="24" t="e">
        <v>#N/A</v>
      </c>
      <c r="FJU27" s="24" t="e">
        <v>#N/A</v>
      </c>
      <c r="FJV27" s="24" t="e">
        <v>#N/A</v>
      </c>
      <c r="FJW27" s="24" t="e">
        <v>#N/A</v>
      </c>
      <c r="FJX27" s="24" t="e">
        <v>#N/A</v>
      </c>
      <c r="FJY27" s="24" t="e">
        <v>#N/A</v>
      </c>
      <c r="FJZ27" s="24" t="e">
        <v>#N/A</v>
      </c>
      <c r="FKA27" s="24" t="e">
        <v>#N/A</v>
      </c>
      <c r="FKB27" s="24" t="e">
        <v>#N/A</v>
      </c>
      <c r="FKC27" s="24" t="e">
        <v>#N/A</v>
      </c>
      <c r="FKD27" s="24" t="e">
        <v>#N/A</v>
      </c>
      <c r="FKE27" s="24" t="e">
        <v>#N/A</v>
      </c>
      <c r="FKF27" s="24" t="e">
        <v>#N/A</v>
      </c>
      <c r="FKG27" s="24" t="e">
        <v>#N/A</v>
      </c>
      <c r="FKH27" s="24" t="e">
        <v>#N/A</v>
      </c>
      <c r="FKI27" s="24" t="e">
        <v>#N/A</v>
      </c>
      <c r="FKJ27" s="24" t="e">
        <v>#N/A</v>
      </c>
      <c r="FKK27" s="24" t="e">
        <v>#N/A</v>
      </c>
      <c r="FKL27" s="24" t="e">
        <v>#N/A</v>
      </c>
      <c r="FKM27" s="24" t="e">
        <v>#N/A</v>
      </c>
      <c r="FKN27" s="24" t="e">
        <v>#N/A</v>
      </c>
      <c r="FKO27" s="24" t="e">
        <v>#N/A</v>
      </c>
      <c r="FKP27" s="24" t="e">
        <v>#N/A</v>
      </c>
      <c r="FKQ27" s="24" t="e">
        <v>#N/A</v>
      </c>
      <c r="FKR27" s="24" t="e">
        <v>#N/A</v>
      </c>
      <c r="FKS27" s="24" t="e">
        <v>#N/A</v>
      </c>
      <c r="FKT27" s="24" t="e">
        <v>#N/A</v>
      </c>
      <c r="FKU27" s="24" t="e">
        <v>#N/A</v>
      </c>
      <c r="FKV27" s="24" t="e">
        <v>#N/A</v>
      </c>
      <c r="FKW27" s="24" t="e">
        <v>#N/A</v>
      </c>
      <c r="FKX27" s="24" t="e">
        <v>#N/A</v>
      </c>
      <c r="FKY27" s="24" t="e">
        <v>#N/A</v>
      </c>
      <c r="FKZ27" s="24" t="e">
        <v>#N/A</v>
      </c>
      <c r="FLA27" s="24" t="e">
        <v>#N/A</v>
      </c>
      <c r="FLB27" s="24" t="e">
        <v>#N/A</v>
      </c>
      <c r="FLC27" s="24" t="e">
        <v>#N/A</v>
      </c>
      <c r="FLD27" s="24" t="e">
        <v>#N/A</v>
      </c>
      <c r="FLE27" s="24" t="e">
        <v>#N/A</v>
      </c>
      <c r="FLF27" s="24" t="e">
        <v>#N/A</v>
      </c>
      <c r="FLG27" s="24" t="e">
        <v>#N/A</v>
      </c>
      <c r="FLH27" s="24" t="e">
        <v>#N/A</v>
      </c>
      <c r="FLI27" s="24" t="e">
        <v>#N/A</v>
      </c>
      <c r="FLJ27" s="24" t="e">
        <v>#N/A</v>
      </c>
      <c r="FLK27" s="24" t="e">
        <v>#N/A</v>
      </c>
      <c r="FLL27" s="24" t="e">
        <v>#N/A</v>
      </c>
      <c r="FLM27" s="24" t="e">
        <v>#N/A</v>
      </c>
      <c r="FLN27" s="24" t="e">
        <v>#N/A</v>
      </c>
      <c r="FLO27" s="24" t="e">
        <v>#N/A</v>
      </c>
      <c r="FLP27" s="24" t="e">
        <v>#N/A</v>
      </c>
      <c r="FLQ27" s="24" t="e">
        <v>#N/A</v>
      </c>
      <c r="FLR27" s="24" t="e">
        <v>#N/A</v>
      </c>
      <c r="FLS27" s="24" t="e">
        <v>#N/A</v>
      </c>
      <c r="FLT27" s="24" t="e">
        <v>#N/A</v>
      </c>
      <c r="FLU27" s="24" t="e">
        <v>#N/A</v>
      </c>
      <c r="FLV27" s="24" t="e">
        <v>#N/A</v>
      </c>
      <c r="FLW27" s="24" t="e">
        <v>#N/A</v>
      </c>
      <c r="FLX27" s="24" t="e">
        <v>#N/A</v>
      </c>
      <c r="FLY27" s="24" t="e">
        <v>#N/A</v>
      </c>
      <c r="FLZ27" s="24" t="e">
        <v>#N/A</v>
      </c>
      <c r="FMA27" s="24" t="e">
        <v>#N/A</v>
      </c>
      <c r="FMB27" s="24" t="e">
        <v>#N/A</v>
      </c>
      <c r="FMC27" s="24" t="e">
        <v>#N/A</v>
      </c>
      <c r="FMD27" s="24" t="e">
        <v>#N/A</v>
      </c>
      <c r="FME27" s="24" t="e">
        <v>#N/A</v>
      </c>
      <c r="FMF27" s="24" t="e">
        <v>#N/A</v>
      </c>
      <c r="FMG27" s="24" t="e">
        <v>#N/A</v>
      </c>
      <c r="FMH27" s="24" t="e">
        <v>#N/A</v>
      </c>
      <c r="FMI27" s="24" t="e">
        <v>#N/A</v>
      </c>
      <c r="FMJ27" s="24" t="e">
        <v>#N/A</v>
      </c>
      <c r="FMK27" s="24" t="e">
        <v>#N/A</v>
      </c>
      <c r="FML27" s="24" t="e">
        <v>#N/A</v>
      </c>
      <c r="FMM27" s="24" t="e">
        <v>#N/A</v>
      </c>
      <c r="FMN27" s="24" t="e">
        <v>#N/A</v>
      </c>
      <c r="FMO27" s="24" t="e">
        <v>#N/A</v>
      </c>
      <c r="FMP27" s="24" t="e">
        <v>#N/A</v>
      </c>
      <c r="FMQ27" s="24" t="e">
        <v>#N/A</v>
      </c>
      <c r="FMR27" s="24" t="e">
        <v>#N/A</v>
      </c>
      <c r="FMS27" s="24" t="e">
        <v>#N/A</v>
      </c>
      <c r="FMT27" s="24" t="e">
        <v>#N/A</v>
      </c>
      <c r="FMU27" s="24" t="e">
        <v>#N/A</v>
      </c>
      <c r="FMV27" s="24" t="e">
        <v>#N/A</v>
      </c>
      <c r="FMW27" s="24" t="e">
        <v>#N/A</v>
      </c>
      <c r="FMX27" s="24" t="e">
        <v>#N/A</v>
      </c>
      <c r="FMY27" s="24" t="e">
        <v>#N/A</v>
      </c>
      <c r="FMZ27" s="24" t="e">
        <v>#N/A</v>
      </c>
      <c r="FNA27" s="24" t="e">
        <v>#N/A</v>
      </c>
      <c r="FNB27" s="24" t="e">
        <v>#N/A</v>
      </c>
      <c r="FNC27" s="24" t="e">
        <v>#N/A</v>
      </c>
      <c r="FND27" s="24" t="e">
        <v>#N/A</v>
      </c>
      <c r="FNE27" s="24" t="e">
        <v>#N/A</v>
      </c>
      <c r="FNF27" s="24" t="e">
        <v>#N/A</v>
      </c>
      <c r="FNG27" s="24" t="e">
        <v>#N/A</v>
      </c>
      <c r="FNH27" s="24" t="e">
        <v>#N/A</v>
      </c>
      <c r="FNI27" s="24" t="e">
        <v>#N/A</v>
      </c>
      <c r="FNJ27" s="24" t="e">
        <v>#N/A</v>
      </c>
      <c r="FNK27" s="24" t="e">
        <v>#N/A</v>
      </c>
      <c r="FNL27" s="24" t="e">
        <v>#N/A</v>
      </c>
      <c r="FNM27" s="24" t="e">
        <v>#N/A</v>
      </c>
      <c r="FNN27" s="24" t="e">
        <v>#N/A</v>
      </c>
      <c r="FNO27" s="24" t="e">
        <v>#N/A</v>
      </c>
      <c r="FNP27" s="24" t="e">
        <v>#N/A</v>
      </c>
      <c r="FNQ27" s="24" t="e">
        <v>#N/A</v>
      </c>
      <c r="FNR27" s="24" t="e">
        <v>#N/A</v>
      </c>
      <c r="FNS27" s="24" t="e">
        <v>#N/A</v>
      </c>
      <c r="FNT27" s="24" t="e">
        <v>#N/A</v>
      </c>
      <c r="FNU27" s="24" t="e">
        <v>#N/A</v>
      </c>
      <c r="FNV27" s="24" t="e">
        <v>#N/A</v>
      </c>
      <c r="FNW27" s="24" t="e">
        <v>#N/A</v>
      </c>
      <c r="FNX27" s="24" t="e">
        <v>#N/A</v>
      </c>
      <c r="FNY27" s="24" t="e">
        <v>#N/A</v>
      </c>
      <c r="FNZ27" s="24" t="e">
        <v>#N/A</v>
      </c>
      <c r="FOA27" s="24" t="e">
        <v>#N/A</v>
      </c>
      <c r="FOB27" s="24" t="e">
        <v>#N/A</v>
      </c>
      <c r="FOC27" s="24" t="e">
        <v>#N/A</v>
      </c>
      <c r="FOD27" s="24" t="e">
        <v>#N/A</v>
      </c>
      <c r="FOE27" s="24" t="e">
        <v>#N/A</v>
      </c>
      <c r="FOF27" s="24" t="e">
        <v>#N/A</v>
      </c>
      <c r="FOG27" s="24" t="e">
        <v>#N/A</v>
      </c>
      <c r="FOH27" s="24" t="e">
        <v>#N/A</v>
      </c>
      <c r="FOI27" s="24" t="e">
        <v>#N/A</v>
      </c>
      <c r="FOJ27" s="24" t="e">
        <v>#N/A</v>
      </c>
      <c r="FOK27" s="24" t="e">
        <v>#N/A</v>
      </c>
      <c r="FOL27" s="24" t="e">
        <v>#N/A</v>
      </c>
      <c r="FOM27" s="24" t="e">
        <v>#N/A</v>
      </c>
      <c r="FON27" s="24" t="e">
        <v>#N/A</v>
      </c>
      <c r="FOO27" s="24" t="e">
        <v>#N/A</v>
      </c>
      <c r="FOP27" s="24" t="e">
        <v>#N/A</v>
      </c>
      <c r="FOQ27" s="24" t="e">
        <v>#N/A</v>
      </c>
      <c r="FOR27" s="24" t="e">
        <v>#N/A</v>
      </c>
      <c r="FOS27" s="24" t="e">
        <v>#N/A</v>
      </c>
      <c r="FOT27" s="24" t="e">
        <v>#N/A</v>
      </c>
      <c r="FOU27" s="24" t="e">
        <v>#N/A</v>
      </c>
      <c r="FOV27" s="24" t="e">
        <v>#N/A</v>
      </c>
      <c r="FOW27" s="24" t="e">
        <v>#N/A</v>
      </c>
      <c r="FOX27" s="24" t="e">
        <v>#N/A</v>
      </c>
      <c r="FOY27" s="24" t="e">
        <v>#N/A</v>
      </c>
      <c r="FOZ27" s="24" t="e">
        <v>#N/A</v>
      </c>
      <c r="FPA27" s="24" t="e">
        <v>#N/A</v>
      </c>
      <c r="FPB27" s="24" t="e">
        <v>#N/A</v>
      </c>
      <c r="FPC27" s="24" t="e">
        <v>#N/A</v>
      </c>
      <c r="FPD27" s="24" t="e">
        <v>#N/A</v>
      </c>
      <c r="FPE27" s="24" t="e">
        <v>#N/A</v>
      </c>
      <c r="FPF27" s="24" t="e">
        <v>#N/A</v>
      </c>
      <c r="FPG27" s="24" t="e">
        <v>#N/A</v>
      </c>
      <c r="FPH27" s="24" t="e">
        <v>#N/A</v>
      </c>
      <c r="FPI27" s="24" t="e">
        <v>#N/A</v>
      </c>
      <c r="FPJ27" s="24" t="e">
        <v>#N/A</v>
      </c>
      <c r="FPK27" s="24" t="e">
        <v>#N/A</v>
      </c>
      <c r="FPL27" s="24" t="e">
        <v>#N/A</v>
      </c>
      <c r="FPM27" s="24" t="e">
        <v>#N/A</v>
      </c>
      <c r="FPN27" s="24" t="e">
        <v>#N/A</v>
      </c>
      <c r="FPO27" s="24" t="e">
        <v>#N/A</v>
      </c>
      <c r="FPP27" s="24" t="e">
        <v>#N/A</v>
      </c>
      <c r="FPQ27" s="24" t="e">
        <v>#N/A</v>
      </c>
      <c r="FPR27" s="24" t="e">
        <v>#N/A</v>
      </c>
      <c r="FPS27" s="24" t="e">
        <v>#N/A</v>
      </c>
      <c r="FPT27" s="24" t="e">
        <v>#N/A</v>
      </c>
      <c r="FPU27" s="24" t="e">
        <v>#N/A</v>
      </c>
      <c r="FPV27" s="24" t="e">
        <v>#N/A</v>
      </c>
      <c r="FPW27" s="24" t="e">
        <v>#N/A</v>
      </c>
      <c r="FPX27" s="24" t="e">
        <v>#N/A</v>
      </c>
      <c r="FPY27" s="24" t="e">
        <v>#N/A</v>
      </c>
      <c r="FPZ27" s="24" t="e">
        <v>#N/A</v>
      </c>
      <c r="FQA27" s="24" t="e">
        <v>#N/A</v>
      </c>
      <c r="FQB27" s="24" t="e">
        <v>#N/A</v>
      </c>
      <c r="FQC27" s="24" t="e">
        <v>#N/A</v>
      </c>
      <c r="FQD27" s="24" t="e">
        <v>#N/A</v>
      </c>
      <c r="FQE27" s="24" t="e">
        <v>#N/A</v>
      </c>
      <c r="FQF27" s="24" t="e">
        <v>#N/A</v>
      </c>
      <c r="FQG27" s="24" t="e">
        <v>#N/A</v>
      </c>
      <c r="FQH27" s="24" t="e">
        <v>#N/A</v>
      </c>
      <c r="FQI27" s="24" t="e">
        <v>#N/A</v>
      </c>
      <c r="FQJ27" s="24" t="e">
        <v>#N/A</v>
      </c>
      <c r="FQK27" s="24" t="e">
        <v>#N/A</v>
      </c>
      <c r="FQL27" s="24" t="e">
        <v>#N/A</v>
      </c>
      <c r="FQM27" s="24" t="e">
        <v>#N/A</v>
      </c>
      <c r="FQN27" s="24" t="e">
        <v>#N/A</v>
      </c>
      <c r="FQO27" s="24" t="e">
        <v>#N/A</v>
      </c>
      <c r="FQP27" s="24" t="e">
        <v>#N/A</v>
      </c>
      <c r="FQQ27" s="24" t="e">
        <v>#N/A</v>
      </c>
      <c r="FQR27" s="24" t="e">
        <v>#N/A</v>
      </c>
      <c r="FQS27" s="24" t="e">
        <v>#N/A</v>
      </c>
      <c r="FQT27" s="24" t="e">
        <v>#N/A</v>
      </c>
      <c r="FQU27" s="24" t="e">
        <v>#N/A</v>
      </c>
      <c r="FQV27" s="24" t="e">
        <v>#N/A</v>
      </c>
      <c r="FQW27" s="24" t="e">
        <v>#N/A</v>
      </c>
      <c r="FQX27" s="24" t="e">
        <v>#N/A</v>
      </c>
      <c r="FQY27" s="24" t="e">
        <v>#N/A</v>
      </c>
      <c r="FQZ27" s="24" t="e">
        <v>#N/A</v>
      </c>
      <c r="FRA27" s="24" t="e">
        <v>#N/A</v>
      </c>
      <c r="FRB27" s="24" t="e">
        <v>#N/A</v>
      </c>
      <c r="FRC27" s="24" t="e">
        <v>#N/A</v>
      </c>
      <c r="FRD27" s="24" t="e">
        <v>#N/A</v>
      </c>
      <c r="FRE27" s="24" t="e">
        <v>#N/A</v>
      </c>
      <c r="FRF27" s="24" t="e">
        <v>#N/A</v>
      </c>
      <c r="FRG27" s="24" t="e">
        <v>#N/A</v>
      </c>
      <c r="FRH27" s="24" t="e">
        <v>#N/A</v>
      </c>
      <c r="FRI27" s="24" t="e">
        <v>#N/A</v>
      </c>
      <c r="FRJ27" s="24" t="e">
        <v>#N/A</v>
      </c>
      <c r="FRK27" s="24" t="e">
        <v>#N/A</v>
      </c>
      <c r="FRL27" s="24" t="e">
        <v>#N/A</v>
      </c>
      <c r="FRM27" s="24" t="e">
        <v>#N/A</v>
      </c>
      <c r="FRN27" s="24" t="e">
        <v>#N/A</v>
      </c>
      <c r="FRO27" s="24" t="e">
        <v>#N/A</v>
      </c>
      <c r="FRP27" s="24" t="e">
        <v>#N/A</v>
      </c>
      <c r="FRQ27" s="24" t="e">
        <v>#N/A</v>
      </c>
      <c r="FRR27" s="24" t="e">
        <v>#N/A</v>
      </c>
      <c r="FRS27" s="24" t="e">
        <v>#N/A</v>
      </c>
      <c r="FRT27" s="24" t="e">
        <v>#N/A</v>
      </c>
      <c r="FRU27" s="24" t="e">
        <v>#N/A</v>
      </c>
      <c r="FRV27" s="24" t="e">
        <v>#N/A</v>
      </c>
      <c r="FRW27" s="24" t="e">
        <v>#N/A</v>
      </c>
      <c r="FRX27" s="24" t="e">
        <v>#N/A</v>
      </c>
      <c r="FRY27" s="24" t="e">
        <v>#N/A</v>
      </c>
      <c r="FRZ27" s="24" t="e">
        <v>#N/A</v>
      </c>
      <c r="FSA27" s="24" t="e">
        <v>#N/A</v>
      </c>
      <c r="FSB27" s="24" t="e">
        <v>#N/A</v>
      </c>
      <c r="FSC27" s="24" t="e">
        <v>#N/A</v>
      </c>
      <c r="FSD27" s="24" t="e">
        <v>#N/A</v>
      </c>
      <c r="FSE27" s="24" t="e">
        <v>#N/A</v>
      </c>
      <c r="FSF27" s="24" t="e">
        <v>#N/A</v>
      </c>
      <c r="FSG27" s="24" t="e">
        <v>#N/A</v>
      </c>
      <c r="FSH27" s="24" t="e">
        <v>#N/A</v>
      </c>
      <c r="FSI27" s="24" t="e">
        <v>#N/A</v>
      </c>
      <c r="FSJ27" s="24" t="e">
        <v>#N/A</v>
      </c>
      <c r="FSK27" s="24" t="e">
        <v>#N/A</v>
      </c>
      <c r="FSL27" s="24" t="e">
        <v>#N/A</v>
      </c>
      <c r="FSM27" s="24" t="e">
        <v>#N/A</v>
      </c>
      <c r="FSN27" s="24" t="e">
        <v>#N/A</v>
      </c>
      <c r="FSO27" s="24" t="e">
        <v>#N/A</v>
      </c>
      <c r="FSP27" s="24" t="e">
        <v>#N/A</v>
      </c>
      <c r="FSQ27" s="24" t="e">
        <v>#N/A</v>
      </c>
      <c r="FSR27" s="24" t="e">
        <v>#N/A</v>
      </c>
      <c r="FSS27" s="24" t="e">
        <v>#N/A</v>
      </c>
      <c r="FST27" s="24" t="e">
        <v>#N/A</v>
      </c>
      <c r="FSU27" s="24" t="e">
        <v>#N/A</v>
      </c>
      <c r="FSV27" s="24" t="e">
        <v>#N/A</v>
      </c>
      <c r="FSW27" s="24" t="e">
        <v>#N/A</v>
      </c>
      <c r="FSX27" s="24" t="e">
        <v>#N/A</v>
      </c>
      <c r="FSY27" s="24" t="e">
        <v>#N/A</v>
      </c>
      <c r="FSZ27" s="24" t="e">
        <v>#N/A</v>
      </c>
      <c r="FTA27" s="24" t="e">
        <v>#N/A</v>
      </c>
      <c r="FTB27" s="24" t="e">
        <v>#N/A</v>
      </c>
      <c r="FTC27" s="24" t="e">
        <v>#N/A</v>
      </c>
      <c r="FTD27" s="24" t="e">
        <v>#N/A</v>
      </c>
      <c r="FTE27" s="24" t="e">
        <v>#N/A</v>
      </c>
      <c r="FTF27" s="24" t="e">
        <v>#N/A</v>
      </c>
      <c r="FTG27" s="24" t="e">
        <v>#N/A</v>
      </c>
      <c r="FTH27" s="24" t="e">
        <v>#N/A</v>
      </c>
      <c r="FTI27" s="24" t="e">
        <v>#N/A</v>
      </c>
      <c r="FTJ27" s="24" t="e">
        <v>#N/A</v>
      </c>
      <c r="FTK27" s="24" t="e">
        <v>#N/A</v>
      </c>
      <c r="FTL27" s="24" t="e">
        <v>#N/A</v>
      </c>
      <c r="FTM27" s="24" t="e">
        <v>#N/A</v>
      </c>
      <c r="FTN27" s="24" t="e">
        <v>#N/A</v>
      </c>
      <c r="FTO27" s="24" t="e">
        <v>#N/A</v>
      </c>
      <c r="FTP27" s="24" t="e">
        <v>#N/A</v>
      </c>
      <c r="FTQ27" s="24" t="e">
        <v>#N/A</v>
      </c>
      <c r="FTR27" s="24" t="e">
        <v>#N/A</v>
      </c>
      <c r="FTS27" s="24" t="e">
        <v>#N/A</v>
      </c>
      <c r="FTT27" s="24" t="e">
        <v>#N/A</v>
      </c>
      <c r="FTU27" s="24" t="e">
        <v>#N/A</v>
      </c>
      <c r="FTV27" s="24" t="e">
        <v>#N/A</v>
      </c>
      <c r="FTW27" s="24" t="e">
        <v>#N/A</v>
      </c>
      <c r="FTX27" s="24" t="e">
        <v>#N/A</v>
      </c>
      <c r="FTY27" s="24" t="e">
        <v>#N/A</v>
      </c>
      <c r="FTZ27" s="24" t="e">
        <v>#N/A</v>
      </c>
      <c r="FUA27" s="24" t="e">
        <v>#N/A</v>
      </c>
      <c r="FUB27" s="24" t="e">
        <v>#N/A</v>
      </c>
      <c r="FUC27" s="24" t="e">
        <v>#N/A</v>
      </c>
      <c r="FUD27" s="24" t="e">
        <v>#N/A</v>
      </c>
      <c r="FUE27" s="24" t="e">
        <v>#N/A</v>
      </c>
      <c r="FUF27" s="24" t="e">
        <v>#N/A</v>
      </c>
      <c r="FUG27" s="24" t="e">
        <v>#N/A</v>
      </c>
      <c r="FUH27" s="24" t="e">
        <v>#N/A</v>
      </c>
      <c r="FUI27" s="24" t="e">
        <v>#N/A</v>
      </c>
      <c r="FUJ27" s="24" t="e">
        <v>#N/A</v>
      </c>
      <c r="FUK27" s="24" t="e">
        <v>#N/A</v>
      </c>
      <c r="FUL27" s="24" t="e">
        <v>#N/A</v>
      </c>
      <c r="FUM27" s="24" t="e">
        <v>#N/A</v>
      </c>
      <c r="FUN27" s="24" t="e">
        <v>#N/A</v>
      </c>
      <c r="FUO27" s="24" t="e">
        <v>#N/A</v>
      </c>
      <c r="FUP27" s="24" t="e">
        <v>#N/A</v>
      </c>
      <c r="FUQ27" s="24" t="e">
        <v>#N/A</v>
      </c>
      <c r="FUR27" s="24" t="e">
        <v>#N/A</v>
      </c>
      <c r="FUS27" s="24" t="e">
        <v>#N/A</v>
      </c>
      <c r="FUT27" s="24" t="e">
        <v>#N/A</v>
      </c>
      <c r="FUU27" s="24" t="e">
        <v>#N/A</v>
      </c>
      <c r="FUV27" s="24" t="e">
        <v>#N/A</v>
      </c>
      <c r="FUW27" s="24" t="e">
        <v>#N/A</v>
      </c>
      <c r="FUX27" s="24" t="e">
        <v>#N/A</v>
      </c>
      <c r="FUY27" s="24" t="e">
        <v>#N/A</v>
      </c>
      <c r="FUZ27" s="24" t="e">
        <v>#N/A</v>
      </c>
      <c r="FVA27" s="24" t="e">
        <v>#N/A</v>
      </c>
      <c r="FVB27" s="24" t="e">
        <v>#N/A</v>
      </c>
      <c r="FVC27" s="24" t="e">
        <v>#N/A</v>
      </c>
      <c r="FVD27" s="24" t="e">
        <v>#N/A</v>
      </c>
      <c r="FVE27" s="24" t="e">
        <v>#N/A</v>
      </c>
      <c r="FVF27" s="24" t="e">
        <v>#N/A</v>
      </c>
      <c r="FVG27" s="24" t="e">
        <v>#N/A</v>
      </c>
      <c r="FVH27" s="24" t="e">
        <v>#N/A</v>
      </c>
      <c r="FVI27" s="24" t="e">
        <v>#N/A</v>
      </c>
      <c r="FVJ27" s="24" t="e">
        <v>#N/A</v>
      </c>
      <c r="FVK27" s="24" t="e">
        <v>#N/A</v>
      </c>
      <c r="FVL27" s="24" t="e">
        <v>#N/A</v>
      </c>
      <c r="FVM27" s="24" t="e">
        <v>#N/A</v>
      </c>
      <c r="FVN27" s="24" t="e">
        <v>#N/A</v>
      </c>
      <c r="FVO27" s="24" t="e">
        <v>#N/A</v>
      </c>
      <c r="FVP27" s="24" t="e">
        <v>#N/A</v>
      </c>
      <c r="FVQ27" s="24" t="e">
        <v>#N/A</v>
      </c>
      <c r="FVR27" s="24" t="e">
        <v>#N/A</v>
      </c>
      <c r="FVS27" s="24" t="e">
        <v>#N/A</v>
      </c>
      <c r="FVT27" s="24" t="e">
        <v>#N/A</v>
      </c>
      <c r="FVU27" s="24" t="e">
        <v>#N/A</v>
      </c>
      <c r="FVV27" s="24" t="e">
        <v>#N/A</v>
      </c>
      <c r="FVW27" s="24" t="e">
        <v>#N/A</v>
      </c>
      <c r="FVX27" s="24" t="e">
        <v>#N/A</v>
      </c>
      <c r="FVY27" s="24" t="e">
        <v>#N/A</v>
      </c>
      <c r="FVZ27" s="24" t="e">
        <v>#N/A</v>
      </c>
      <c r="FWA27" s="24" t="e">
        <v>#N/A</v>
      </c>
      <c r="FWB27" s="24" t="e">
        <v>#N/A</v>
      </c>
      <c r="FWC27" s="24" t="e">
        <v>#N/A</v>
      </c>
      <c r="FWD27" s="24" t="e">
        <v>#N/A</v>
      </c>
      <c r="FWE27" s="24" t="e">
        <v>#N/A</v>
      </c>
      <c r="FWF27" s="24" t="e">
        <v>#N/A</v>
      </c>
      <c r="FWG27" s="24" t="e">
        <v>#N/A</v>
      </c>
      <c r="FWH27" s="24" t="e">
        <v>#N/A</v>
      </c>
      <c r="FWI27" s="24" t="e">
        <v>#N/A</v>
      </c>
      <c r="FWJ27" s="24" t="e">
        <v>#N/A</v>
      </c>
      <c r="FWK27" s="24" t="e">
        <v>#N/A</v>
      </c>
      <c r="FWL27" s="24" t="e">
        <v>#N/A</v>
      </c>
      <c r="FWM27" s="24" t="e">
        <v>#N/A</v>
      </c>
      <c r="FWN27" s="24" t="e">
        <v>#N/A</v>
      </c>
      <c r="FWO27" s="24" t="e">
        <v>#N/A</v>
      </c>
      <c r="FWP27" s="24" t="e">
        <v>#N/A</v>
      </c>
      <c r="FWQ27" s="24" t="e">
        <v>#N/A</v>
      </c>
      <c r="FWR27" s="24" t="e">
        <v>#N/A</v>
      </c>
      <c r="FWS27" s="24" t="e">
        <v>#N/A</v>
      </c>
      <c r="FWT27" s="24" t="e">
        <v>#N/A</v>
      </c>
      <c r="FWU27" s="24" t="e">
        <v>#N/A</v>
      </c>
      <c r="FWV27" s="24" t="e">
        <v>#N/A</v>
      </c>
      <c r="FWW27" s="24" t="e">
        <v>#N/A</v>
      </c>
      <c r="FWX27" s="24" t="e">
        <v>#N/A</v>
      </c>
      <c r="FWY27" s="24" t="e">
        <v>#N/A</v>
      </c>
      <c r="FWZ27" s="24" t="e">
        <v>#N/A</v>
      </c>
      <c r="FXA27" s="24" t="e">
        <v>#N/A</v>
      </c>
      <c r="FXB27" s="24" t="e">
        <v>#N/A</v>
      </c>
      <c r="FXC27" s="24" t="e">
        <v>#N/A</v>
      </c>
      <c r="FXD27" s="24" t="e">
        <v>#N/A</v>
      </c>
      <c r="FXE27" s="24" t="e">
        <v>#N/A</v>
      </c>
      <c r="FXF27" s="24" t="e">
        <v>#N/A</v>
      </c>
      <c r="FXG27" s="24" t="e">
        <v>#N/A</v>
      </c>
      <c r="FXH27" s="24" t="e">
        <v>#N/A</v>
      </c>
      <c r="FXI27" s="24" t="e">
        <v>#N/A</v>
      </c>
      <c r="FXJ27" s="24" t="e">
        <v>#N/A</v>
      </c>
      <c r="FXK27" s="24" t="e">
        <v>#N/A</v>
      </c>
      <c r="FXL27" s="24" t="e">
        <v>#N/A</v>
      </c>
      <c r="FXM27" s="24" t="e">
        <v>#N/A</v>
      </c>
      <c r="FXN27" s="24" t="e">
        <v>#N/A</v>
      </c>
      <c r="FXO27" s="24" t="e">
        <v>#N/A</v>
      </c>
      <c r="FXP27" s="24" t="e">
        <v>#N/A</v>
      </c>
      <c r="FXQ27" s="24" t="e">
        <v>#N/A</v>
      </c>
      <c r="FXR27" s="24" t="e">
        <v>#N/A</v>
      </c>
      <c r="FXS27" s="24" t="e">
        <v>#N/A</v>
      </c>
      <c r="FXT27" s="24" t="e">
        <v>#N/A</v>
      </c>
      <c r="FXU27" s="24" t="e">
        <v>#N/A</v>
      </c>
      <c r="FXV27" s="24" t="e">
        <v>#N/A</v>
      </c>
      <c r="FXW27" s="24" t="e">
        <v>#N/A</v>
      </c>
      <c r="FXX27" s="24" t="e">
        <v>#N/A</v>
      </c>
      <c r="FXY27" s="24" t="e">
        <v>#N/A</v>
      </c>
      <c r="FXZ27" s="24" t="e">
        <v>#N/A</v>
      </c>
      <c r="FYA27" s="24" t="e">
        <v>#N/A</v>
      </c>
      <c r="FYB27" s="24" t="e">
        <v>#N/A</v>
      </c>
      <c r="FYC27" s="24" t="e">
        <v>#N/A</v>
      </c>
      <c r="FYD27" s="24" t="e">
        <v>#N/A</v>
      </c>
      <c r="FYE27" s="24" t="e">
        <v>#N/A</v>
      </c>
      <c r="FYF27" s="24" t="e">
        <v>#N/A</v>
      </c>
      <c r="FYG27" s="24" t="e">
        <v>#N/A</v>
      </c>
      <c r="FYH27" s="24" t="e">
        <v>#N/A</v>
      </c>
      <c r="FYI27" s="24" t="e">
        <v>#N/A</v>
      </c>
      <c r="FYJ27" s="24" t="e">
        <v>#N/A</v>
      </c>
      <c r="FYK27" s="24" t="e">
        <v>#N/A</v>
      </c>
      <c r="FYL27" s="24" t="e">
        <v>#N/A</v>
      </c>
      <c r="FYM27" s="24" t="e">
        <v>#N/A</v>
      </c>
      <c r="FYN27" s="24" t="e">
        <v>#N/A</v>
      </c>
      <c r="FYO27" s="24" t="e">
        <v>#N/A</v>
      </c>
      <c r="FYP27" s="24" t="e">
        <v>#N/A</v>
      </c>
      <c r="FYQ27" s="24" t="e">
        <v>#N/A</v>
      </c>
      <c r="FYR27" s="24" t="e">
        <v>#N/A</v>
      </c>
      <c r="FYS27" s="24" t="e">
        <v>#N/A</v>
      </c>
      <c r="FYT27" s="24" t="e">
        <v>#N/A</v>
      </c>
      <c r="FYU27" s="24" t="e">
        <v>#N/A</v>
      </c>
      <c r="FYV27" s="24" t="e">
        <v>#N/A</v>
      </c>
      <c r="FYW27" s="24" t="e">
        <v>#N/A</v>
      </c>
      <c r="FYX27" s="24" t="e">
        <v>#N/A</v>
      </c>
      <c r="FYY27" s="24" t="e">
        <v>#N/A</v>
      </c>
      <c r="FYZ27" s="24" t="e">
        <v>#N/A</v>
      </c>
      <c r="FZA27" s="24" t="e">
        <v>#N/A</v>
      </c>
      <c r="FZB27" s="24" t="e">
        <v>#N/A</v>
      </c>
      <c r="FZC27" s="24" t="e">
        <v>#N/A</v>
      </c>
      <c r="FZD27" s="24" t="e">
        <v>#N/A</v>
      </c>
      <c r="FZE27" s="24" t="e">
        <v>#N/A</v>
      </c>
      <c r="FZF27" s="24" t="e">
        <v>#N/A</v>
      </c>
      <c r="FZG27" s="24" t="e">
        <v>#N/A</v>
      </c>
      <c r="FZH27" s="24" t="e">
        <v>#N/A</v>
      </c>
      <c r="FZI27" s="24" t="e">
        <v>#N/A</v>
      </c>
      <c r="FZJ27" s="24" t="e">
        <v>#N/A</v>
      </c>
      <c r="FZK27" s="24" t="e">
        <v>#N/A</v>
      </c>
      <c r="FZL27" s="24" t="e">
        <v>#N/A</v>
      </c>
      <c r="FZM27" s="24" t="e">
        <v>#N/A</v>
      </c>
      <c r="FZN27" s="24" t="e">
        <v>#N/A</v>
      </c>
      <c r="FZO27" s="24" t="e">
        <v>#N/A</v>
      </c>
      <c r="FZP27" s="24" t="e">
        <v>#N/A</v>
      </c>
      <c r="FZQ27" s="24" t="e">
        <v>#N/A</v>
      </c>
      <c r="FZR27" s="24" t="e">
        <v>#N/A</v>
      </c>
      <c r="FZS27" s="24" t="e">
        <v>#N/A</v>
      </c>
      <c r="FZT27" s="24" t="e">
        <v>#N/A</v>
      </c>
      <c r="FZU27" s="24" t="e">
        <v>#N/A</v>
      </c>
      <c r="FZV27" s="24" t="e">
        <v>#N/A</v>
      </c>
      <c r="FZW27" s="24" t="e">
        <v>#N/A</v>
      </c>
      <c r="FZX27" s="24" t="e">
        <v>#N/A</v>
      </c>
      <c r="FZY27" s="24" t="e">
        <v>#N/A</v>
      </c>
      <c r="FZZ27" s="24" t="e">
        <v>#N/A</v>
      </c>
      <c r="GAA27" s="24" t="e">
        <v>#N/A</v>
      </c>
      <c r="GAB27" s="24" t="e">
        <v>#N/A</v>
      </c>
      <c r="GAC27" s="24" t="e">
        <v>#N/A</v>
      </c>
      <c r="GAD27" s="24" t="e">
        <v>#N/A</v>
      </c>
      <c r="GAE27" s="24" t="e">
        <v>#N/A</v>
      </c>
      <c r="GAF27" s="24" t="e">
        <v>#N/A</v>
      </c>
      <c r="GAG27" s="24" t="e">
        <v>#N/A</v>
      </c>
      <c r="GAH27" s="24" t="e">
        <v>#N/A</v>
      </c>
      <c r="GAI27" s="24" t="e">
        <v>#N/A</v>
      </c>
      <c r="GAJ27" s="24" t="e">
        <v>#N/A</v>
      </c>
      <c r="GAK27" s="24" t="e">
        <v>#N/A</v>
      </c>
      <c r="GAL27" s="24" t="e">
        <v>#N/A</v>
      </c>
      <c r="GAM27" s="24" t="e">
        <v>#N/A</v>
      </c>
      <c r="GAN27" s="24" t="e">
        <v>#N/A</v>
      </c>
      <c r="GAO27" s="24" t="e">
        <v>#N/A</v>
      </c>
      <c r="GAP27" s="24" t="e">
        <v>#N/A</v>
      </c>
      <c r="GAQ27" s="24" t="e">
        <v>#N/A</v>
      </c>
      <c r="GAR27" s="24" t="e">
        <v>#N/A</v>
      </c>
      <c r="GAS27" s="24" t="e">
        <v>#N/A</v>
      </c>
      <c r="GAT27" s="24" t="e">
        <v>#N/A</v>
      </c>
      <c r="GAU27" s="24" t="e">
        <v>#N/A</v>
      </c>
      <c r="GAV27" s="24" t="e">
        <v>#N/A</v>
      </c>
      <c r="GAW27" s="24" t="e">
        <v>#N/A</v>
      </c>
      <c r="GAX27" s="24" t="e">
        <v>#N/A</v>
      </c>
      <c r="GAY27" s="24" t="e">
        <v>#N/A</v>
      </c>
      <c r="GAZ27" s="24" t="e">
        <v>#N/A</v>
      </c>
      <c r="GBA27" s="24" t="e">
        <v>#N/A</v>
      </c>
      <c r="GBB27" s="24" t="e">
        <v>#N/A</v>
      </c>
      <c r="GBC27" s="24" t="e">
        <v>#N/A</v>
      </c>
      <c r="GBD27" s="24" t="e">
        <v>#N/A</v>
      </c>
      <c r="GBE27" s="24" t="e">
        <v>#N/A</v>
      </c>
      <c r="GBF27" s="24" t="e">
        <v>#N/A</v>
      </c>
      <c r="GBG27" s="24" t="e">
        <v>#N/A</v>
      </c>
      <c r="GBH27" s="24" t="e">
        <v>#N/A</v>
      </c>
      <c r="GBI27" s="24" t="e">
        <v>#N/A</v>
      </c>
      <c r="GBJ27" s="24" t="e">
        <v>#N/A</v>
      </c>
      <c r="GBK27" s="24" t="e">
        <v>#N/A</v>
      </c>
      <c r="GBL27" s="24" t="e">
        <v>#N/A</v>
      </c>
      <c r="GBM27" s="24" t="e">
        <v>#N/A</v>
      </c>
      <c r="GBN27" s="24" t="e">
        <v>#N/A</v>
      </c>
      <c r="GBO27" s="24" t="e">
        <v>#N/A</v>
      </c>
      <c r="GBP27" s="24" t="e">
        <v>#N/A</v>
      </c>
      <c r="GBQ27" s="24" t="e">
        <v>#N/A</v>
      </c>
      <c r="GBR27" s="24" t="e">
        <v>#N/A</v>
      </c>
      <c r="GBS27" s="24" t="e">
        <v>#N/A</v>
      </c>
      <c r="GBT27" s="24" t="e">
        <v>#N/A</v>
      </c>
      <c r="GBU27" s="24" t="e">
        <v>#N/A</v>
      </c>
      <c r="GBV27" s="24" t="e">
        <v>#N/A</v>
      </c>
      <c r="GBW27" s="24" t="e">
        <v>#N/A</v>
      </c>
      <c r="GBX27" s="24" t="e">
        <v>#N/A</v>
      </c>
      <c r="GBY27" s="24" t="e">
        <v>#N/A</v>
      </c>
      <c r="GBZ27" s="24" t="e">
        <v>#N/A</v>
      </c>
      <c r="GCA27" s="24" t="e">
        <v>#N/A</v>
      </c>
      <c r="GCB27" s="24" t="e">
        <v>#N/A</v>
      </c>
      <c r="GCC27" s="24" t="e">
        <v>#N/A</v>
      </c>
      <c r="GCD27" s="24" t="e">
        <v>#N/A</v>
      </c>
      <c r="GCE27" s="24" t="e">
        <v>#N/A</v>
      </c>
      <c r="GCF27" s="24" t="e">
        <v>#N/A</v>
      </c>
      <c r="GCG27" s="24" t="e">
        <v>#N/A</v>
      </c>
      <c r="GCH27" s="24" t="e">
        <v>#N/A</v>
      </c>
      <c r="GCI27" s="24" t="e">
        <v>#N/A</v>
      </c>
      <c r="GCJ27" s="24" t="e">
        <v>#N/A</v>
      </c>
      <c r="GCK27" s="24" t="e">
        <v>#N/A</v>
      </c>
      <c r="GCL27" s="24" t="e">
        <v>#N/A</v>
      </c>
      <c r="GCM27" s="24" t="e">
        <v>#N/A</v>
      </c>
      <c r="GCN27" s="24" t="e">
        <v>#N/A</v>
      </c>
      <c r="GCO27" s="24" t="e">
        <v>#N/A</v>
      </c>
      <c r="GCP27" s="24" t="e">
        <v>#N/A</v>
      </c>
      <c r="GCQ27" s="24" t="e">
        <v>#N/A</v>
      </c>
      <c r="GCR27" s="24" t="e">
        <v>#N/A</v>
      </c>
      <c r="GCS27" s="24" t="e">
        <v>#N/A</v>
      </c>
      <c r="GCT27" s="24" t="e">
        <v>#N/A</v>
      </c>
      <c r="GCU27" s="24" t="e">
        <v>#N/A</v>
      </c>
      <c r="GCV27" s="24" t="e">
        <v>#N/A</v>
      </c>
      <c r="GCW27" s="24" t="e">
        <v>#N/A</v>
      </c>
      <c r="GCX27" s="24" t="e">
        <v>#N/A</v>
      </c>
      <c r="GCY27" s="24" t="e">
        <v>#N/A</v>
      </c>
      <c r="GCZ27" s="24" t="e">
        <v>#N/A</v>
      </c>
      <c r="GDA27" s="24" t="e">
        <v>#N/A</v>
      </c>
      <c r="GDB27" s="24" t="e">
        <v>#N/A</v>
      </c>
      <c r="GDC27" s="24" t="e">
        <v>#N/A</v>
      </c>
      <c r="GDD27" s="24" t="e">
        <v>#N/A</v>
      </c>
      <c r="GDE27" s="24" t="e">
        <v>#N/A</v>
      </c>
      <c r="GDF27" s="24" t="e">
        <v>#N/A</v>
      </c>
      <c r="GDG27" s="24" t="e">
        <v>#N/A</v>
      </c>
      <c r="GDH27" s="24" t="e">
        <v>#N/A</v>
      </c>
      <c r="GDI27" s="24" t="e">
        <v>#N/A</v>
      </c>
      <c r="GDJ27" s="24" t="e">
        <v>#N/A</v>
      </c>
      <c r="GDK27" s="24" t="e">
        <v>#N/A</v>
      </c>
      <c r="GDL27" s="24" t="e">
        <v>#N/A</v>
      </c>
      <c r="GDM27" s="24" t="e">
        <v>#N/A</v>
      </c>
      <c r="GDN27" s="24" t="e">
        <v>#N/A</v>
      </c>
      <c r="GDO27" s="24" t="e">
        <v>#N/A</v>
      </c>
      <c r="GDP27" s="24" t="e">
        <v>#N/A</v>
      </c>
      <c r="GDQ27" s="24" t="e">
        <v>#N/A</v>
      </c>
      <c r="GDR27" s="24" t="e">
        <v>#N/A</v>
      </c>
      <c r="GDS27" s="24" t="e">
        <v>#N/A</v>
      </c>
      <c r="GDT27" s="24" t="e">
        <v>#N/A</v>
      </c>
      <c r="GDU27" s="24" t="e">
        <v>#N/A</v>
      </c>
      <c r="GDV27" s="24" t="e">
        <v>#N/A</v>
      </c>
      <c r="GDW27" s="24" t="e">
        <v>#N/A</v>
      </c>
      <c r="GDX27" s="24" t="e">
        <v>#N/A</v>
      </c>
      <c r="GDY27" s="24" t="e">
        <v>#N/A</v>
      </c>
      <c r="GDZ27" s="24" t="e">
        <v>#N/A</v>
      </c>
      <c r="GEA27" s="24" t="e">
        <v>#N/A</v>
      </c>
      <c r="GEB27" s="24" t="e">
        <v>#N/A</v>
      </c>
      <c r="GEC27" s="24" t="e">
        <v>#N/A</v>
      </c>
      <c r="GED27" s="24" t="e">
        <v>#N/A</v>
      </c>
      <c r="GEE27" s="24" t="e">
        <v>#N/A</v>
      </c>
      <c r="GEF27" s="24" t="e">
        <v>#N/A</v>
      </c>
      <c r="GEG27" s="24" t="e">
        <v>#N/A</v>
      </c>
      <c r="GEH27" s="24" t="e">
        <v>#N/A</v>
      </c>
      <c r="GEI27" s="24" t="e">
        <v>#N/A</v>
      </c>
      <c r="GEJ27" s="24" t="e">
        <v>#N/A</v>
      </c>
      <c r="GEK27" s="24" t="e">
        <v>#N/A</v>
      </c>
      <c r="GEL27" s="24" t="e">
        <v>#N/A</v>
      </c>
      <c r="GEM27" s="24" t="e">
        <v>#N/A</v>
      </c>
      <c r="GEN27" s="24" t="e">
        <v>#N/A</v>
      </c>
      <c r="GEO27" s="24" t="e">
        <v>#N/A</v>
      </c>
      <c r="GEP27" s="24" t="e">
        <v>#N/A</v>
      </c>
      <c r="GEQ27" s="24" t="e">
        <v>#N/A</v>
      </c>
      <c r="GER27" s="24" t="e">
        <v>#N/A</v>
      </c>
      <c r="GES27" s="24" t="e">
        <v>#N/A</v>
      </c>
      <c r="GET27" s="24" t="e">
        <v>#N/A</v>
      </c>
      <c r="GEU27" s="24" t="e">
        <v>#N/A</v>
      </c>
      <c r="GEV27" s="24" t="e">
        <v>#N/A</v>
      </c>
      <c r="GEW27" s="24" t="e">
        <v>#N/A</v>
      </c>
      <c r="GEX27" s="24" t="e">
        <v>#N/A</v>
      </c>
      <c r="GEY27" s="24" t="e">
        <v>#N/A</v>
      </c>
      <c r="GEZ27" s="24" t="e">
        <v>#N/A</v>
      </c>
      <c r="GFA27" s="24" t="e">
        <v>#N/A</v>
      </c>
      <c r="GFB27" s="24" t="e">
        <v>#N/A</v>
      </c>
      <c r="GFC27" s="24" t="e">
        <v>#N/A</v>
      </c>
      <c r="GFD27" s="24" t="e">
        <v>#N/A</v>
      </c>
      <c r="GFE27" s="24" t="e">
        <v>#N/A</v>
      </c>
      <c r="GFF27" s="24" t="e">
        <v>#N/A</v>
      </c>
      <c r="GFG27" s="24" t="e">
        <v>#N/A</v>
      </c>
      <c r="GFH27" s="24" t="e">
        <v>#N/A</v>
      </c>
      <c r="GFI27" s="24" t="e">
        <v>#N/A</v>
      </c>
      <c r="GFJ27" s="24" t="e">
        <v>#N/A</v>
      </c>
      <c r="GFK27" s="24" t="e">
        <v>#N/A</v>
      </c>
      <c r="GFL27" s="24" t="e">
        <v>#N/A</v>
      </c>
      <c r="GFM27" s="24" t="e">
        <v>#N/A</v>
      </c>
      <c r="GFN27" s="24" t="e">
        <v>#N/A</v>
      </c>
      <c r="GFO27" s="24" t="e">
        <v>#N/A</v>
      </c>
      <c r="GFP27" s="24" t="e">
        <v>#N/A</v>
      </c>
      <c r="GFQ27" s="24" t="e">
        <v>#N/A</v>
      </c>
      <c r="GFR27" s="24" t="e">
        <v>#N/A</v>
      </c>
      <c r="GFS27" s="24" t="e">
        <v>#N/A</v>
      </c>
      <c r="GFT27" s="24" t="e">
        <v>#N/A</v>
      </c>
      <c r="GFU27" s="24" t="e">
        <v>#N/A</v>
      </c>
      <c r="GFV27" s="24" t="e">
        <v>#N/A</v>
      </c>
      <c r="GFW27" s="24" t="e">
        <v>#N/A</v>
      </c>
      <c r="GFX27" s="24" t="e">
        <v>#N/A</v>
      </c>
      <c r="GFY27" s="24" t="e">
        <v>#N/A</v>
      </c>
      <c r="GFZ27" s="24" t="e">
        <v>#N/A</v>
      </c>
      <c r="GGA27" s="24" t="e">
        <v>#N/A</v>
      </c>
      <c r="GGB27" s="24" t="e">
        <v>#N/A</v>
      </c>
      <c r="GGC27" s="24" t="e">
        <v>#N/A</v>
      </c>
      <c r="GGD27" s="24" t="e">
        <v>#N/A</v>
      </c>
      <c r="GGE27" s="24" t="e">
        <v>#N/A</v>
      </c>
      <c r="GGF27" s="24" t="e">
        <v>#N/A</v>
      </c>
      <c r="GGG27" s="24" t="e">
        <v>#N/A</v>
      </c>
      <c r="GGH27" s="24" t="e">
        <v>#N/A</v>
      </c>
      <c r="GGI27" s="24" t="e">
        <v>#N/A</v>
      </c>
      <c r="GGJ27" s="24" t="e">
        <v>#N/A</v>
      </c>
      <c r="GGK27" s="24" t="e">
        <v>#N/A</v>
      </c>
      <c r="GGL27" s="24" t="e">
        <v>#N/A</v>
      </c>
      <c r="GGM27" s="24" t="e">
        <v>#N/A</v>
      </c>
      <c r="GGN27" s="24" t="e">
        <v>#N/A</v>
      </c>
      <c r="GGO27" s="24" t="e">
        <v>#N/A</v>
      </c>
      <c r="GGP27" s="24" t="e">
        <v>#N/A</v>
      </c>
      <c r="GGQ27" s="24" t="e">
        <v>#N/A</v>
      </c>
      <c r="GGR27" s="24" t="e">
        <v>#N/A</v>
      </c>
      <c r="GGS27" s="24" t="e">
        <v>#N/A</v>
      </c>
      <c r="GGT27" s="24" t="e">
        <v>#N/A</v>
      </c>
      <c r="GGU27" s="24" t="e">
        <v>#N/A</v>
      </c>
      <c r="GGV27" s="24" t="e">
        <v>#N/A</v>
      </c>
      <c r="GGW27" s="24" t="e">
        <v>#N/A</v>
      </c>
      <c r="GGX27" s="24" t="e">
        <v>#N/A</v>
      </c>
      <c r="GGY27" s="24" t="e">
        <v>#N/A</v>
      </c>
      <c r="GGZ27" s="24" t="e">
        <v>#N/A</v>
      </c>
      <c r="GHA27" s="24" t="e">
        <v>#N/A</v>
      </c>
      <c r="GHB27" s="24" t="e">
        <v>#N/A</v>
      </c>
      <c r="GHC27" s="24" t="e">
        <v>#N/A</v>
      </c>
      <c r="GHD27" s="24" t="e">
        <v>#N/A</v>
      </c>
      <c r="GHE27" s="24" t="e">
        <v>#N/A</v>
      </c>
      <c r="GHF27" s="24" t="e">
        <v>#N/A</v>
      </c>
      <c r="GHG27" s="24" t="e">
        <v>#N/A</v>
      </c>
      <c r="GHH27" s="24" t="e">
        <v>#N/A</v>
      </c>
      <c r="GHI27" s="24" t="e">
        <v>#N/A</v>
      </c>
      <c r="GHJ27" s="24" t="e">
        <v>#N/A</v>
      </c>
      <c r="GHK27" s="24" t="e">
        <v>#N/A</v>
      </c>
      <c r="GHL27" s="24" t="e">
        <v>#N/A</v>
      </c>
      <c r="GHM27" s="24" t="e">
        <v>#N/A</v>
      </c>
      <c r="GHN27" s="24" t="e">
        <v>#N/A</v>
      </c>
      <c r="GHO27" s="24" t="e">
        <v>#N/A</v>
      </c>
      <c r="GHP27" s="24" t="e">
        <v>#N/A</v>
      </c>
      <c r="GHQ27" s="24" t="e">
        <v>#N/A</v>
      </c>
      <c r="GHR27" s="24" t="e">
        <v>#N/A</v>
      </c>
      <c r="GHS27" s="24" t="e">
        <v>#N/A</v>
      </c>
      <c r="GHT27" s="24" t="e">
        <v>#N/A</v>
      </c>
      <c r="GHU27" s="24" t="e">
        <v>#N/A</v>
      </c>
      <c r="GHV27" s="24" t="e">
        <v>#N/A</v>
      </c>
      <c r="GHW27" s="24" t="e">
        <v>#N/A</v>
      </c>
      <c r="GHX27" s="24" t="e">
        <v>#N/A</v>
      </c>
      <c r="GHY27" s="24" t="e">
        <v>#N/A</v>
      </c>
      <c r="GHZ27" s="24" t="e">
        <v>#N/A</v>
      </c>
      <c r="GIA27" s="24" t="e">
        <v>#N/A</v>
      </c>
      <c r="GIB27" s="24" t="e">
        <v>#N/A</v>
      </c>
      <c r="GIC27" s="24" t="e">
        <v>#N/A</v>
      </c>
      <c r="GID27" s="24" t="e">
        <v>#N/A</v>
      </c>
      <c r="GIE27" s="24" t="e">
        <v>#N/A</v>
      </c>
      <c r="GIF27" s="24" t="e">
        <v>#N/A</v>
      </c>
      <c r="GIG27" s="24" t="e">
        <v>#N/A</v>
      </c>
      <c r="GIH27" s="24" t="e">
        <v>#N/A</v>
      </c>
      <c r="GII27" s="24" t="e">
        <v>#N/A</v>
      </c>
      <c r="GIJ27" s="24" t="e">
        <v>#N/A</v>
      </c>
      <c r="GIK27" s="24" t="e">
        <v>#N/A</v>
      </c>
      <c r="GIL27" s="24" t="e">
        <v>#N/A</v>
      </c>
      <c r="GIM27" s="24" t="e">
        <v>#N/A</v>
      </c>
      <c r="GIN27" s="24" t="e">
        <v>#N/A</v>
      </c>
      <c r="GIO27" s="24" t="e">
        <v>#N/A</v>
      </c>
      <c r="GIP27" s="24" t="e">
        <v>#N/A</v>
      </c>
      <c r="GIQ27" s="24" t="e">
        <v>#N/A</v>
      </c>
      <c r="GIR27" s="24" t="e">
        <v>#N/A</v>
      </c>
      <c r="GIS27" s="24" t="e">
        <v>#N/A</v>
      </c>
      <c r="GIT27" s="24" t="e">
        <v>#N/A</v>
      </c>
      <c r="GIU27" s="24" t="e">
        <v>#N/A</v>
      </c>
      <c r="GIV27" s="24" t="e">
        <v>#N/A</v>
      </c>
      <c r="GIW27" s="24" t="e">
        <v>#N/A</v>
      </c>
      <c r="GIX27" s="24" t="e">
        <v>#N/A</v>
      </c>
      <c r="GIY27" s="24" t="e">
        <v>#N/A</v>
      </c>
      <c r="GIZ27" s="24" t="e">
        <v>#N/A</v>
      </c>
      <c r="GJA27" s="24" t="e">
        <v>#N/A</v>
      </c>
      <c r="GJB27" s="24" t="e">
        <v>#N/A</v>
      </c>
      <c r="GJC27" s="24" t="e">
        <v>#N/A</v>
      </c>
      <c r="GJD27" s="24" t="e">
        <v>#N/A</v>
      </c>
      <c r="GJE27" s="24" t="e">
        <v>#N/A</v>
      </c>
      <c r="GJF27" s="24" t="e">
        <v>#N/A</v>
      </c>
      <c r="GJG27" s="24" t="e">
        <v>#N/A</v>
      </c>
      <c r="GJH27" s="24" t="e">
        <v>#N/A</v>
      </c>
      <c r="GJI27" s="24" t="e">
        <v>#N/A</v>
      </c>
      <c r="GJJ27" s="24" t="e">
        <v>#N/A</v>
      </c>
      <c r="GJK27" s="24" t="e">
        <v>#N/A</v>
      </c>
      <c r="GJL27" s="24" t="e">
        <v>#N/A</v>
      </c>
      <c r="GJM27" s="24" t="e">
        <v>#N/A</v>
      </c>
      <c r="GJN27" s="24" t="e">
        <v>#N/A</v>
      </c>
      <c r="GJO27" s="24" t="e">
        <v>#N/A</v>
      </c>
      <c r="GJP27" s="24" t="e">
        <v>#N/A</v>
      </c>
      <c r="GJQ27" s="24" t="e">
        <v>#N/A</v>
      </c>
      <c r="GJR27" s="24" t="e">
        <v>#N/A</v>
      </c>
      <c r="GJS27" s="24" t="e">
        <v>#N/A</v>
      </c>
      <c r="GJT27" s="24" t="e">
        <v>#N/A</v>
      </c>
      <c r="GJU27" s="24" t="e">
        <v>#N/A</v>
      </c>
      <c r="GJV27" s="24" t="e">
        <v>#N/A</v>
      </c>
      <c r="GJW27" s="24" t="e">
        <v>#N/A</v>
      </c>
      <c r="GJX27" s="24" t="e">
        <v>#N/A</v>
      </c>
      <c r="GJY27" s="24" t="e">
        <v>#N/A</v>
      </c>
      <c r="GJZ27" s="24" t="e">
        <v>#N/A</v>
      </c>
      <c r="GKA27" s="24" t="e">
        <v>#N/A</v>
      </c>
      <c r="GKB27" s="24" t="e">
        <v>#N/A</v>
      </c>
      <c r="GKC27" s="24" t="e">
        <v>#N/A</v>
      </c>
      <c r="GKD27" s="24" t="e">
        <v>#N/A</v>
      </c>
      <c r="GKE27" s="24" t="e">
        <v>#N/A</v>
      </c>
      <c r="GKF27" s="24" t="e">
        <v>#N/A</v>
      </c>
      <c r="GKG27" s="24" t="e">
        <v>#N/A</v>
      </c>
      <c r="GKH27" s="24" t="e">
        <v>#N/A</v>
      </c>
      <c r="GKI27" s="24" t="e">
        <v>#N/A</v>
      </c>
      <c r="GKJ27" s="24" t="e">
        <v>#N/A</v>
      </c>
      <c r="GKK27" s="24" t="e">
        <v>#N/A</v>
      </c>
      <c r="GKL27" s="24" t="e">
        <v>#N/A</v>
      </c>
      <c r="GKM27" s="24" t="e">
        <v>#N/A</v>
      </c>
      <c r="GKN27" s="24" t="e">
        <v>#N/A</v>
      </c>
      <c r="GKO27" s="24" t="e">
        <v>#N/A</v>
      </c>
      <c r="GKP27" s="24" t="e">
        <v>#N/A</v>
      </c>
      <c r="GKQ27" s="24" t="e">
        <v>#N/A</v>
      </c>
      <c r="GKR27" s="24" t="e">
        <v>#N/A</v>
      </c>
      <c r="GKS27" s="24" t="e">
        <v>#N/A</v>
      </c>
      <c r="GKT27" s="24" t="e">
        <v>#N/A</v>
      </c>
      <c r="GKU27" s="24" t="e">
        <v>#N/A</v>
      </c>
      <c r="GKV27" s="24" t="e">
        <v>#N/A</v>
      </c>
      <c r="GKW27" s="24" t="e">
        <v>#N/A</v>
      </c>
      <c r="GKX27" s="24" t="e">
        <v>#N/A</v>
      </c>
      <c r="GKY27" s="24" t="e">
        <v>#N/A</v>
      </c>
      <c r="GKZ27" s="24" t="e">
        <v>#N/A</v>
      </c>
      <c r="GLA27" s="24" t="e">
        <v>#N/A</v>
      </c>
      <c r="GLB27" s="24" t="e">
        <v>#N/A</v>
      </c>
      <c r="GLC27" s="24" t="e">
        <v>#N/A</v>
      </c>
      <c r="GLD27" s="24" t="e">
        <v>#N/A</v>
      </c>
      <c r="GLE27" s="24" t="e">
        <v>#N/A</v>
      </c>
      <c r="GLF27" s="24" t="e">
        <v>#N/A</v>
      </c>
      <c r="GLG27" s="24" t="e">
        <v>#N/A</v>
      </c>
      <c r="GLH27" s="24" t="e">
        <v>#N/A</v>
      </c>
      <c r="GLI27" s="24" t="e">
        <v>#N/A</v>
      </c>
      <c r="GLJ27" s="24" t="e">
        <v>#N/A</v>
      </c>
      <c r="GLK27" s="24" t="e">
        <v>#N/A</v>
      </c>
      <c r="GLL27" s="24" t="e">
        <v>#N/A</v>
      </c>
      <c r="GLM27" s="24" t="e">
        <v>#N/A</v>
      </c>
      <c r="GLN27" s="24" t="e">
        <v>#N/A</v>
      </c>
      <c r="GLO27" s="24" t="e">
        <v>#N/A</v>
      </c>
      <c r="GLP27" s="24" t="e">
        <v>#N/A</v>
      </c>
      <c r="GLQ27" s="24" t="e">
        <v>#N/A</v>
      </c>
      <c r="GLR27" s="24" t="e">
        <v>#N/A</v>
      </c>
      <c r="GLS27" s="24" t="e">
        <v>#N/A</v>
      </c>
      <c r="GLT27" s="24" t="e">
        <v>#N/A</v>
      </c>
      <c r="GLU27" s="24" t="e">
        <v>#N/A</v>
      </c>
      <c r="GLV27" s="24" t="e">
        <v>#N/A</v>
      </c>
      <c r="GLW27" s="24" t="e">
        <v>#N/A</v>
      </c>
      <c r="GLX27" s="24" t="e">
        <v>#N/A</v>
      </c>
      <c r="GLY27" s="24" t="e">
        <v>#N/A</v>
      </c>
      <c r="GLZ27" s="24" t="e">
        <v>#N/A</v>
      </c>
      <c r="GMA27" s="24" t="e">
        <v>#N/A</v>
      </c>
      <c r="GMB27" s="24" t="e">
        <v>#N/A</v>
      </c>
      <c r="GMC27" s="24" t="e">
        <v>#N/A</v>
      </c>
      <c r="GMD27" s="24" t="e">
        <v>#N/A</v>
      </c>
      <c r="GME27" s="24" t="e">
        <v>#N/A</v>
      </c>
      <c r="GMF27" s="24" t="e">
        <v>#N/A</v>
      </c>
      <c r="GMG27" s="24" t="e">
        <v>#N/A</v>
      </c>
      <c r="GMH27" s="24" t="e">
        <v>#N/A</v>
      </c>
      <c r="GMI27" s="24" t="e">
        <v>#N/A</v>
      </c>
      <c r="GMJ27" s="24" t="e">
        <v>#N/A</v>
      </c>
      <c r="GMK27" s="24" t="e">
        <v>#N/A</v>
      </c>
      <c r="GML27" s="24" t="e">
        <v>#N/A</v>
      </c>
      <c r="GMM27" s="24" t="e">
        <v>#N/A</v>
      </c>
      <c r="GMN27" s="24" t="e">
        <v>#N/A</v>
      </c>
      <c r="GMO27" s="24" t="e">
        <v>#N/A</v>
      </c>
      <c r="GMP27" s="24" t="e">
        <v>#N/A</v>
      </c>
      <c r="GMQ27" s="24" t="e">
        <v>#N/A</v>
      </c>
      <c r="GMR27" s="24" t="e">
        <v>#N/A</v>
      </c>
      <c r="GMS27" s="24" t="e">
        <v>#N/A</v>
      </c>
      <c r="GMT27" s="24" t="e">
        <v>#N/A</v>
      </c>
      <c r="GMU27" s="24" t="e">
        <v>#N/A</v>
      </c>
      <c r="GMV27" s="24" t="e">
        <v>#N/A</v>
      </c>
      <c r="GMW27" s="24" t="e">
        <v>#N/A</v>
      </c>
      <c r="GMX27" s="24" t="e">
        <v>#N/A</v>
      </c>
      <c r="GMY27" s="24" t="e">
        <v>#N/A</v>
      </c>
      <c r="GMZ27" s="24" t="e">
        <v>#N/A</v>
      </c>
      <c r="GNA27" s="24" t="e">
        <v>#N/A</v>
      </c>
      <c r="GNB27" s="24" t="e">
        <v>#N/A</v>
      </c>
      <c r="GNC27" s="24" t="e">
        <v>#N/A</v>
      </c>
      <c r="GND27" s="24" t="e">
        <v>#N/A</v>
      </c>
      <c r="GNE27" s="24" t="e">
        <v>#N/A</v>
      </c>
      <c r="GNF27" s="24" t="e">
        <v>#N/A</v>
      </c>
      <c r="GNG27" s="24" t="e">
        <v>#N/A</v>
      </c>
      <c r="GNH27" s="24" t="e">
        <v>#N/A</v>
      </c>
      <c r="GNI27" s="24" t="e">
        <v>#N/A</v>
      </c>
      <c r="GNJ27" s="24" t="e">
        <v>#N/A</v>
      </c>
      <c r="GNK27" s="24" t="e">
        <v>#N/A</v>
      </c>
      <c r="GNL27" s="24" t="e">
        <v>#N/A</v>
      </c>
      <c r="GNM27" s="24" t="e">
        <v>#N/A</v>
      </c>
      <c r="GNN27" s="24" t="e">
        <v>#N/A</v>
      </c>
      <c r="GNO27" s="24" t="e">
        <v>#N/A</v>
      </c>
      <c r="GNP27" s="24" t="e">
        <v>#N/A</v>
      </c>
      <c r="GNQ27" s="24" t="e">
        <v>#N/A</v>
      </c>
      <c r="GNR27" s="24" t="e">
        <v>#N/A</v>
      </c>
      <c r="GNS27" s="24" t="e">
        <v>#N/A</v>
      </c>
      <c r="GNT27" s="24" t="e">
        <v>#N/A</v>
      </c>
      <c r="GNU27" s="24" t="e">
        <v>#N/A</v>
      </c>
      <c r="GNV27" s="24" t="e">
        <v>#N/A</v>
      </c>
      <c r="GNW27" s="24" t="e">
        <v>#N/A</v>
      </c>
      <c r="GNX27" s="24" t="e">
        <v>#N/A</v>
      </c>
      <c r="GNY27" s="24" t="e">
        <v>#N/A</v>
      </c>
      <c r="GNZ27" s="24" t="e">
        <v>#N/A</v>
      </c>
      <c r="GOA27" s="24" t="e">
        <v>#N/A</v>
      </c>
      <c r="GOB27" s="24" t="e">
        <v>#N/A</v>
      </c>
      <c r="GOC27" s="24" t="e">
        <v>#N/A</v>
      </c>
      <c r="GOD27" s="24" t="e">
        <v>#N/A</v>
      </c>
      <c r="GOE27" s="24" t="e">
        <v>#N/A</v>
      </c>
      <c r="GOF27" s="24" t="e">
        <v>#N/A</v>
      </c>
      <c r="GOG27" s="24" t="e">
        <v>#N/A</v>
      </c>
      <c r="GOH27" s="24" t="e">
        <v>#N/A</v>
      </c>
      <c r="GOI27" s="24" t="e">
        <v>#N/A</v>
      </c>
      <c r="GOJ27" s="24" t="e">
        <v>#N/A</v>
      </c>
      <c r="GOK27" s="24" t="e">
        <v>#N/A</v>
      </c>
      <c r="GOL27" s="24" t="e">
        <v>#N/A</v>
      </c>
      <c r="GOM27" s="24" t="e">
        <v>#N/A</v>
      </c>
      <c r="GON27" s="24" t="e">
        <v>#N/A</v>
      </c>
      <c r="GOO27" s="24" t="e">
        <v>#N/A</v>
      </c>
      <c r="GOP27" s="24" t="e">
        <v>#N/A</v>
      </c>
      <c r="GOQ27" s="24" t="e">
        <v>#N/A</v>
      </c>
      <c r="GOR27" s="24" t="e">
        <v>#N/A</v>
      </c>
      <c r="GOS27" s="24" t="e">
        <v>#N/A</v>
      </c>
      <c r="GOT27" s="24" t="e">
        <v>#N/A</v>
      </c>
      <c r="GOU27" s="24" t="e">
        <v>#N/A</v>
      </c>
      <c r="GOV27" s="24" t="e">
        <v>#N/A</v>
      </c>
      <c r="GOW27" s="24" t="e">
        <v>#N/A</v>
      </c>
      <c r="GOX27" s="24" t="e">
        <v>#N/A</v>
      </c>
      <c r="GOY27" s="24" t="e">
        <v>#N/A</v>
      </c>
      <c r="GOZ27" s="24" t="e">
        <v>#N/A</v>
      </c>
      <c r="GPA27" s="24" t="e">
        <v>#N/A</v>
      </c>
      <c r="GPB27" s="24" t="e">
        <v>#N/A</v>
      </c>
      <c r="GPC27" s="24" t="e">
        <v>#N/A</v>
      </c>
      <c r="GPD27" s="24" t="e">
        <v>#N/A</v>
      </c>
      <c r="GPE27" s="24" t="e">
        <v>#N/A</v>
      </c>
      <c r="GPF27" s="24" t="e">
        <v>#N/A</v>
      </c>
      <c r="GPG27" s="24" t="e">
        <v>#N/A</v>
      </c>
      <c r="GPH27" s="24" t="e">
        <v>#N/A</v>
      </c>
      <c r="GPI27" s="24" t="e">
        <v>#N/A</v>
      </c>
      <c r="GPJ27" s="24" t="e">
        <v>#N/A</v>
      </c>
      <c r="GPK27" s="24" t="e">
        <v>#N/A</v>
      </c>
      <c r="GPL27" s="24" t="e">
        <v>#N/A</v>
      </c>
      <c r="GPM27" s="24" t="e">
        <v>#N/A</v>
      </c>
      <c r="GPN27" s="24" t="e">
        <v>#N/A</v>
      </c>
      <c r="GPO27" s="24" t="e">
        <v>#N/A</v>
      </c>
      <c r="GPP27" s="24" t="e">
        <v>#N/A</v>
      </c>
      <c r="GPQ27" s="24" t="e">
        <v>#N/A</v>
      </c>
      <c r="GPR27" s="24" t="e">
        <v>#N/A</v>
      </c>
      <c r="GPS27" s="24" t="e">
        <v>#N/A</v>
      </c>
      <c r="GPT27" s="24" t="e">
        <v>#N/A</v>
      </c>
      <c r="GPU27" s="24" t="e">
        <v>#N/A</v>
      </c>
      <c r="GPV27" s="24" t="e">
        <v>#N/A</v>
      </c>
      <c r="GPW27" s="24" t="e">
        <v>#N/A</v>
      </c>
      <c r="GPX27" s="24" t="e">
        <v>#N/A</v>
      </c>
      <c r="GPY27" s="24" t="e">
        <v>#N/A</v>
      </c>
      <c r="GPZ27" s="24" t="e">
        <v>#N/A</v>
      </c>
      <c r="GQA27" s="24" t="e">
        <v>#N/A</v>
      </c>
      <c r="GQB27" s="24" t="e">
        <v>#N/A</v>
      </c>
      <c r="GQC27" s="24" t="e">
        <v>#N/A</v>
      </c>
      <c r="GQD27" s="24" t="e">
        <v>#N/A</v>
      </c>
      <c r="GQE27" s="24" t="e">
        <v>#N/A</v>
      </c>
      <c r="GQF27" s="24" t="e">
        <v>#N/A</v>
      </c>
      <c r="GQG27" s="24" t="e">
        <v>#N/A</v>
      </c>
      <c r="GQH27" s="24" t="e">
        <v>#N/A</v>
      </c>
      <c r="GQI27" s="24" t="e">
        <v>#N/A</v>
      </c>
      <c r="GQJ27" s="24" t="e">
        <v>#N/A</v>
      </c>
      <c r="GQK27" s="24" t="e">
        <v>#N/A</v>
      </c>
      <c r="GQL27" s="24" t="e">
        <v>#N/A</v>
      </c>
      <c r="GQM27" s="24" t="e">
        <v>#N/A</v>
      </c>
      <c r="GQN27" s="24" t="e">
        <v>#N/A</v>
      </c>
      <c r="GQO27" s="24" t="e">
        <v>#N/A</v>
      </c>
      <c r="GQP27" s="24" t="e">
        <v>#N/A</v>
      </c>
      <c r="GQQ27" s="24" t="e">
        <v>#N/A</v>
      </c>
      <c r="GQR27" s="24" t="e">
        <v>#N/A</v>
      </c>
      <c r="GQS27" s="24" t="e">
        <v>#N/A</v>
      </c>
      <c r="GQT27" s="24" t="e">
        <v>#N/A</v>
      </c>
      <c r="GQU27" s="24" t="e">
        <v>#N/A</v>
      </c>
      <c r="GQV27" s="24" t="e">
        <v>#N/A</v>
      </c>
      <c r="GQW27" s="24" t="e">
        <v>#N/A</v>
      </c>
      <c r="GQX27" s="24" t="e">
        <v>#N/A</v>
      </c>
      <c r="GQY27" s="24" t="e">
        <v>#N/A</v>
      </c>
      <c r="GQZ27" s="24" t="e">
        <v>#N/A</v>
      </c>
      <c r="GRA27" s="24" t="e">
        <v>#N/A</v>
      </c>
      <c r="GRB27" s="24" t="e">
        <v>#N/A</v>
      </c>
      <c r="GRC27" s="24" t="e">
        <v>#N/A</v>
      </c>
      <c r="GRD27" s="24" t="e">
        <v>#N/A</v>
      </c>
      <c r="GRE27" s="24" t="e">
        <v>#N/A</v>
      </c>
      <c r="GRF27" s="24" t="e">
        <v>#N/A</v>
      </c>
      <c r="GRG27" s="24" t="e">
        <v>#N/A</v>
      </c>
      <c r="GRH27" s="24" t="e">
        <v>#N/A</v>
      </c>
      <c r="GRI27" s="24" t="e">
        <v>#N/A</v>
      </c>
      <c r="GRJ27" s="24" t="e">
        <v>#N/A</v>
      </c>
      <c r="GRK27" s="24" t="e">
        <v>#N/A</v>
      </c>
      <c r="GRL27" s="24" t="e">
        <v>#N/A</v>
      </c>
      <c r="GRM27" s="24" t="e">
        <v>#N/A</v>
      </c>
      <c r="GRN27" s="24" t="e">
        <v>#N/A</v>
      </c>
      <c r="GRO27" s="24" t="e">
        <v>#N/A</v>
      </c>
      <c r="GRP27" s="24" t="e">
        <v>#N/A</v>
      </c>
      <c r="GRQ27" s="24" t="e">
        <v>#N/A</v>
      </c>
      <c r="GRR27" s="24" t="e">
        <v>#N/A</v>
      </c>
      <c r="GRS27" s="24" t="e">
        <v>#N/A</v>
      </c>
      <c r="GRT27" s="24" t="e">
        <v>#N/A</v>
      </c>
      <c r="GRU27" s="24" t="e">
        <v>#N/A</v>
      </c>
      <c r="GRV27" s="24" t="e">
        <v>#N/A</v>
      </c>
      <c r="GRW27" s="24" t="e">
        <v>#N/A</v>
      </c>
      <c r="GRX27" s="24" t="e">
        <v>#N/A</v>
      </c>
      <c r="GRY27" s="24" t="e">
        <v>#N/A</v>
      </c>
      <c r="GRZ27" s="24" t="e">
        <v>#N/A</v>
      </c>
      <c r="GSA27" s="24" t="e">
        <v>#N/A</v>
      </c>
      <c r="GSB27" s="24" t="e">
        <v>#N/A</v>
      </c>
      <c r="GSC27" s="24" t="e">
        <v>#N/A</v>
      </c>
      <c r="GSD27" s="24" t="e">
        <v>#N/A</v>
      </c>
      <c r="GSE27" s="24" t="e">
        <v>#N/A</v>
      </c>
      <c r="GSF27" s="24" t="e">
        <v>#N/A</v>
      </c>
      <c r="GSG27" s="24" t="e">
        <v>#N/A</v>
      </c>
      <c r="GSH27" s="24" t="e">
        <v>#N/A</v>
      </c>
      <c r="GSI27" s="24" t="e">
        <v>#N/A</v>
      </c>
      <c r="GSJ27" s="24" t="e">
        <v>#N/A</v>
      </c>
      <c r="GSK27" s="24" t="e">
        <v>#N/A</v>
      </c>
      <c r="GSL27" s="24" t="e">
        <v>#N/A</v>
      </c>
      <c r="GSM27" s="24" t="e">
        <v>#N/A</v>
      </c>
      <c r="GSN27" s="24" t="e">
        <v>#N/A</v>
      </c>
      <c r="GSO27" s="24" t="e">
        <v>#N/A</v>
      </c>
      <c r="GSP27" s="24" t="e">
        <v>#N/A</v>
      </c>
      <c r="GSQ27" s="24" t="e">
        <v>#N/A</v>
      </c>
      <c r="GSR27" s="24" t="e">
        <v>#N/A</v>
      </c>
      <c r="GSS27" s="24" t="e">
        <v>#N/A</v>
      </c>
      <c r="GST27" s="24" t="e">
        <v>#N/A</v>
      </c>
      <c r="GSU27" s="24" t="e">
        <v>#N/A</v>
      </c>
      <c r="GSV27" s="24" t="e">
        <v>#N/A</v>
      </c>
      <c r="GSW27" s="24" t="e">
        <v>#N/A</v>
      </c>
      <c r="GSX27" s="24" t="e">
        <v>#N/A</v>
      </c>
      <c r="GSY27" s="24" t="e">
        <v>#N/A</v>
      </c>
      <c r="GSZ27" s="24" t="e">
        <v>#N/A</v>
      </c>
      <c r="GTA27" s="24" t="e">
        <v>#N/A</v>
      </c>
      <c r="GTB27" s="24" t="e">
        <v>#N/A</v>
      </c>
      <c r="GTC27" s="24" t="e">
        <v>#N/A</v>
      </c>
      <c r="GTD27" s="24" t="e">
        <v>#N/A</v>
      </c>
      <c r="GTE27" s="24" t="e">
        <v>#N/A</v>
      </c>
      <c r="GTF27" s="24" t="e">
        <v>#N/A</v>
      </c>
      <c r="GTG27" s="24" t="e">
        <v>#N/A</v>
      </c>
      <c r="GTH27" s="24" t="e">
        <v>#N/A</v>
      </c>
      <c r="GTI27" s="24" t="e">
        <v>#N/A</v>
      </c>
      <c r="GTJ27" s="24" t="e">
        <v>#N/A</v>
      </c>
      <c r="GTK27" s="24" t="e">
        <v>#N/A</v>
      </c>
      <c r="GTL27" s="24" t="e">
        <v>#N/A</v>
      </c>
      <c r="GTM27" s="24" t="e">
        <v>#N/A</v>
      </c>
      <c r="GTN27" s="24" t="e">
        <v>#N/A</v>
      </c>
      <c r="GTO27" s="24" t="e">
        <v>#N/A</v>
      </c>
      <c r="GTP27" s="24" t="e">
        <v>#N/A</v>
      </c>
      <c r="GTQ27" s="24" t="e">
        <v>#N/A</v>
      </c>
      <c r="GTR27" s="24" t="e">
        <v>#N/A</v>
      </c>
      <c r="GTS27" s="24" t="e">
        <v>#N/A</v>
      </c>
      <c r="GTT27" s="24" t="e">
        <v>#N/A</v>
      </c>
      <c r="GTU27" s="24" t="e">
        <v>#N/A</v>
      </c>
      <c r="GTV27" s="24" t="e">
        <v>#N/A</v>
      </c>
      <c r="GTW27" s="24" t="e">
        <v>#N/A</v>
      </c>
      <c r="GTX27" s="24" t="e">
        <v>#N/A</v>
      </c>
      <c r="GTY27" s="24" t="e">
        <v>#N/A</v>
      </c>
      <c r="GTZ27" s="24" t="e">
        <v>#N/A</v>
      </c>
      <c r="GUA27" s="24" t="e">
        <v>#N/A</v>
      </c>
      <c r="GUB27" s="24" t="e">
        <v>#N/A</v>
      </c>
      <c r="GUC27" s="24" t="e">
        <v>#N/A</v>
      </c>
      <c r="GUD27" s="24" t="e">
        <v>#N/A</v>
      </c>
      <c r="GUE27" s="24" t="e">
        <v>#N/A</v>
      </c>
      <c r="GUF27" s="24" t="e">
        <v>#N/A</v>
      </c>
      <c r="GUG27" s="24" t="e">
        <v>#N/A</v>
      </c>
      <c r="GUH27" s="24" t="e">
        <v>#N/A</v>
      </c>
      <c r="GUI27" s="24" t="e">
        <v>#N/A</v>
      </c>
      <c r="GUJ27" s="24" t="e">
        <v>#N/A</v>
      </c>
      <c r="GUK27" s="24" t="e">
        <v>#N/A</v>
      </c>
      <c r="GUL27" s="24" t="e">
        <v>#N/A</v>
      </c>
      <c r="GUM27" s="24" t="e">
        <v>#N/A</v>
      </c>
      <c r="GUN27" s="24" t="e">
        <v>#N/A</v>
      </c>
      <c r="GUO27" s="24" t="e">
        <v>#N/A</v>
      </c>
      <c r="GUP27" s="24" t="e">
        <v>#N/A</v>
      </c>
      <c r="GUQ27" s="24" t="e">
        <v>#N/A</v>
      </c>
      <c r="GUR27" s="24" t="e">
        <v>#N/A</v>
      </c>
      <c r="GUS27" s="24" t="e">
        <v>#N/A</v>
      </c>
      <c r="GUT27" s="24" t="e">
        <v>#N/A</v>
      </c>
      <c r="GUU27" s="24" t="e">
        <v>#N/A</v>
      </c>
      <c r="GUV27" s="24" t="e">
        <v>#N/A</v>
      </c>
      <c r="GUW27" s="24" t="e">
        <v>#N/A</v>
      </c>
      <c r="GUX27" s="24" t="e">
        <v>#N/A</v>
      </c>
      <c r="GUY27" s="24" t="e">
        <v>#N/A</v>
      </c>
      <c r="GUZ27" s="24" t="e">
        <v>#N/A</v>
      </c>
      <c r="GVA27" s="24" t="e">
        <v>#N/A</v>
      </c>
      <c r="GVB27" s="24" t="e">
        <v>#N/A</v>
      </c>
      <c r="GVC27" s="24" t="e">
        <v>#N/A</v>
      </c>
      <c r="GVD27" s="24" t="e">
        <v>#N/A</v>
      </c>
      <c r="GVE27" s="24" t="e">
        <v>#N/A</v>
      </c>
      <c r="GVF27" s="24" t="e">
        <v>#N/A</v>
      </c>
      <c r="GVG27" s="24" t="e">
        <v>#N/A</v>
      </c>
      <c r="GVH27" s="24" t="e">
        <v>#N/A</v>
      </c>
      <c r="GVI27" s="24" t="e">
        <v>#N/A</v>
      </c>
      <c r="GVJ27" s="24" t="e">
        <v>#N/A</v>
      </c>
      <c r="GVK27" s="24" t="e">
        <v>#N/A</v>
      </c>
      <c r="GVL27" s="24" t="e">
        <v>#N/A</v>
      </c>
      <c r="GVM27" s="24" t="e">
        <v>#N/A</v>
      </c>
      <c r="GVN27" s="24" t="e">
        <v>#N/A</v>
      </c>
      <c r="GVO27" s="24" t="e">
        <v>#N/A</v>
      </c>
      <c r="GVP27" s="24" t="e">
        <v>#N/A</v>
      </c>
      <c r="GVQ27" s="24" t="e">
        <v>#N/A</v>
      </c>
      <c r="GVR27" s="24" t="e">
        <v>#N/A</v>
      </c>
      <c r="GVS27" s="24" t="e">
        <v>#N/A</v>
      </c>
      <c r="GVT27" s="24" t="e">
        <v>#N/A</v>
      </c>
      <c r="GVU27" s="24" t="e">
        <v>#N/A</v>
      </c>
      <c r="GVV27" s="24" t="e">
        <v>#N/A</v>
      </c>
      <c r="GVW27" s="24" t="e">
        <v>#N/A</v>
      </c>
      <c r="GVX27" s="24" t="e">
        <v>#N/A</v>
      </c>
      <c r="GVY27" s="24" t="e">
        <v>#N/A</v>
      </c>
      <c r="GVZ27" s="24" t="e">
        <v>#N/A</v>
      </c>
      <c r="GWA27" s="24" t="e">
        <v>#N/A</v>
      </c>
      <c r="GWB27" s="24" t="e">
        <v>#N/A</v>
      </c>
      <c r="GWC27" s="24" t="e">
        <v>#N/A</v>
      </c>
      <c r="GWD27" s="24" t="e">
        <v>#N/A</v>
      </c>
      <c r="GWE27" s="24" t="e">
        <v>#N/A</v>
      </c>
      <c r="GWF27" s="24" t="e">
        <v>#N/A</v>
      </c>
      <c r="GWG27" s="24" t="e">
        <v>#N/A</v>
      </c>
      <c r="GWH27" s="24" t="e">
        <v>#N/A</v>
      </c>
      <c r="GWI27" s="24" t="e">
        <v>#N/A</v>
      </c>
      <c r="GWJ27" s="24" t="e">
        <v>#N/A</v>
      </c>
      <c r="GWK27" s="24" t="e">
        <v>#N/A</v>
      </c>
      <c r="GWL27" s="24" t="e">
        <v>#N/A</v>
      </c>
      <c r="GWM27" s="24" t="e">
        <v>#N/A</v>
      </c>
      <c r="GWN27" s="24" t="e">
        <v>#N/A</v>
      </c>
      <c r="GWO27" s="24" t="e">
        <v>#N/A</v>
      </c>
      <c r="GWP27" s="24" t="e">
        <v>#N/A</v>
      </c>
      <c r="GWQ27" s="24" t="e">
        <v>#N/A</v>
      </c>
      <c r="GWR27" s="24" t="e">
        <v>#N/A</v>
      </c>
      <c r="GWS27" s="24" t="e">
        <v>#N/A</v>
      </c>
      <c r="GWT27" s="24" t="e">
        <v>#N/A</v>
      </c>
      <c r="GWU27" s="24" t="e">
        <v>#N/A</v>
      </c>
      <c r="GWV27" s="24" t="e">
        <v>#N/A</v>
      </c>
      <c r="GWW27" s="24" t="e">
        <v>#N/A</v>
      </c>
      <c r="GWX27" s="24" t="e">
        <v>#N/A</v>
      </c>
      <c r="GWY27" s="24" t="e">
        <v>#N/A</v>
      </c>
      <c r="GWZ27" s="24" t="e">
        <v>#N/A</v>
      </c>
      <c r="GXA27" s="24" t="e">
        <v>#N/A</v>
      </c>
      <c r="GXB27" s="24" t="e">
        <v>#N/A</v>
      </c>
      <c r="GXC27" s="24" t="e">
        <v>#N/A</v>
      </c>
      <c r="GXD27" s="24" t="e">
        <v>#N/A</v>
      </c>
      <c r="GXE27" s="24" t="e">
        <v>#N/A</v>
      </c>
      <c r="GXF27" s="24" t="e">
        <v>#N/A</v>
      </c>
      <c r="GXG27" s="24" t="e">
        <v>#N/A</v>
      </c>
      <c r="GXH27" s="24" t="e">
        <v>#N/A</v>
      </c>
      <c r="GXI27" s="24" t="e">
        <v>#N/A</v>
      </c>
      <c r="GXJ27" s="24" t="e">
        <v>#N/A</v>
      </c>
      <c r="GXK27" s="24" t="e">
        <v>#N/A</v>
      </c>
      <c r="GXL27" s="24" t="e">
        <v>#N/A</v>
      </c>
      <c r="GXM27" s="24" t="e">
        <v>#N/A</v>
      </c>
      <c r="GXN27" s="24" t="e">
        <v>#N/A</v>
      </c>
      <c r="GXO27" s="24" t="e">
        <v>#N/A</v>
      </c>
      <c r="GXP27" s="24" t="e">
        <v>#N/A</v>
      </c>
      <c r="GXQ27" s="24" t="e">
        <v>#N/A</v>
      </c>
      <c r="GXR27" s="24" t="e">
        <v>#N/A</v>
      </c>
      <c r="GXS27" s="24" t="e">
        <v>#N/A</v>
      </c>
      <c r="GXT27" s="24" t="e">
        <v>#N/A</v>
      </c>
      <c r="GXU27" s="24" t="e">
        <v>#N/A</v>
      </c>
      <c r="GXV27" s="24" t="e">
        <v>#N/A</v>
      </c>
      <c r="GXW27" s="24" t="e">
        <v>#N/A</v>
      </c>
      <c r="GXX27" s="24" t="e">
        <v>#N/A</v>
      </c>
      <c r="GXY27" s="24" t="e">
        <v>#N/A</v>
      </c>
      <c r="GXZ27" s="24" t="e">
        <v>#N/A</v>
      </c>
      <c r="GYA27" s="24" t="e">
        <v>#N/A</v>
      </c>
      <c r="GYB27" s="24" t="e">
        <v>#N/A</v>
      </c>
      <c r="GYC27" s="24" t="e">
        <v>#N/A</v>
      </c>
      <c r="GYD27" s="24" t="e">
        <v>#N/A</v>
      </c>
      <c r="GYE27" s="24" t="e">
        <v>#N/A</v>
      </c>
      <c r="GYF27" s="24" t="e">
        <v>#N/A</v>
      </c>
      <c r="GYG27" s="24" t="e">
        <v>#N/A</v>
      </c>
      <c r="GYH27" s="24" t="e">
        <v>#N/A</v>
      </c>
      <c r="GYI27" s="24" t="e">
        <v>#N/A</v>
      </c>
      <c r="GYJ27" s="24" t="e">
        <v>#N/A</v>
      </c>
      <c r="GYK27" s="24" t="e">
        <v>#N/A</v>
      </c>
      <c r="GYL27" s="24" t="e">
        <v>#N/A</v>
      </c>
      <c r="GYM27" s="24" t="e">
        <v>#N/A</v>
      </c>
      <c r="GYN27" s="24" t="e">
        <v>#N/A</v>
      </c>
      <c r="GYO27" s="24" t="e">
        <v>#N/A</v>
      </c>
      <c r="GYP27" s="24" t="e">
        <v>#N/A</v>
      </c>
      <c r="GYQ27" s="24" t="e">
        <v>#N/A</v>
      </c>
      <c r="GYR27" s="24" t="e">
        <v>#N/A</v>
      </c>
      <c r="GYS27" s="24" t="e">
        <v>#N/A</v>
      </c>
      <c r="GYT27" s="24" t="e">
        <v>#N/A</v>
      </c>
      <c r="GYU27" s="24" t="e">
        <v>#N/A</v>
      </c>
      <c r="GYV27" s="24" t="e">
        <v>#N/A</v>
      </c>
      <c r="GYW27" s="24" t="e">
        <v>#N/A</v>
      </c>
      <c r="GYX27" s="24" t="e">
        <v>#N/A</v>
      </c>
      <c r="GYY27" s="24" t="e">
        <v>#N/A</v>
      </c>
      <c r="GYZ27" s="24" t="e">
        <v>#N/A</v>
      </c>
      <c r="GZA27" s="24" t="e">
        <v>#N/A</v>
      </c>
      <c r="GZB27" s="24" t="e">
        <v>#N/A</v>
      </c>
      <c r="GZC27" s="24" t="e">
        <v>#N/A</v>
      </c>
      <c r="GZD27" s="24" t="e">
        <v>#N/A</v>
      </c>
      <c r="GZE27" s="24" t="e">
        <v>#N/A</v>
      </c>
      <c r="GZF27" s="24" t="e">
        <v>#N/A</v>
      </c>
      <c r="GZG27" s="24" t="e">
        <v>#N/A</v>
      </c>
      <c r="GZH27" s="24" t="e">
        <v>#N/A</v>
      </c>
      <c r="GZI27" s="24" t="e">
        <v>#N/A</v>
      </c>
      <c r="GZJ27" s="24" t="e">
        <v>#N/A</v>
      </c>
      <c r="GZK27" s="24" t="e">
        <v>#N/A</v>
      </c>
      <c r="GZL27" s="24" t="e">
        <v>#N/A</v>
      </c>
      <c r="GZM27" s="24" t="e">
        <v>#N/A</v>
      </c>
      <c r="GZN27" s="24" t="e">
        <v>#N/A</v>
      </c>
      <c r="GZO27" s="24" t="e">
        <v>#N/A</v>
      </c>
      <c r="GZP27" s="24" t="e">
        <v>#N/A</v>
      </c>
      <c r="GZQ27" s="24" t="e">
        <v>#N/A</v>
      </c>
      <c r="GZR27" s="24" t="e">
        <v>#N/A</v>
      </c>
      <c r="GZS27" s="24" t="e">
        <v>#N/A</v>
      </c>
      <c r="GZT27" s="24" t="e">
        <v>#N/A</v>
      </c>
      <c r="GZU27" s="24" t="e">
        <v>#N/A</v>
      </c>
      <c r="GZV27" s="24" t="e">
        <v>#N/A</v>
      </c>
      <c r="GZW27" s="24" t="e">
        <v>#N/A</v>
      </c>
      <c r="GZX27" s="24" t="e">
        <v>#N/A</v>
      </c>
      <c r="GZY27" s="24" t="e">
        <v>#N/A</v>
      </c>
      <c r="GZZ27" s="24" t="e">
        <v>#N/A</v>
      </c>
      <c r="HAA27" s="24" t="e">
        <v>#N/A</v>
      </c>
      <c r="HAB27" s="24" t="e">
        <v>#N/A</v>
      </c>
      <c r="HAC27" s="24" t="e">
        <v>#N/A</v>
      </c>
      <c r="HAD27" s="24" t="e">
        <v>#N/A</v>
      </c>
      <c r="HAE27" s="24" t="e">
        <v>#N/A</v>
      </c>
      <c r="HAF27" s="24" t="e">
        <v>#N/A</v>
      </c>
      <c r="HAG27" s="24" t="e">
        <v>#N/A</v>
      </c>
      <c r="HAH27" s="24" t="e">
        <v>#N/A</v>
      </c>
      <c r="HAI27" s="24" t="e">
        <v>#N/A</v>
      </c>
      <c r="HAJ27" s="24" t="e">
        <v>#N/A</v>
      </c>
      <c r="HAK27" s="24" t="e">
        <v>#N/A</v>
      </c>
      <c r="HAL27" s="24" t="e">
        <v>#N/A</v>
      </c>
      <c r="HAM27" s="24" t="e">
        <v>#N/A</v>
      </c>
      <c r="HAN27" s="24" t="e">
        <v>#N/A</v>
      </c>
      <c r="HAO27" s="24" t="e">
        <v>#N/A</v>
      </c>
      <c r="HAP27" s="24" t="e">
        <v>#N/A</v>
      </c>
      <c r="HAQ27" s="24" t="e">
        <v>#N/A</v>
      </c>
      <c r="HAR27" s="24" t="e">
        <v>#N/A</v>
      </c>
      <c r="HAS27" s="24" t="e">
        <v>#N/A</v>
      </c>
      <c r="HAT27" s="24" t="e">
        <v>#N/A</v>
      </c>
      <c r="HAU27" s="24" t="e">
        <v>#N/A</v>
      </c>
      <c r="HAV27" s="24" t="e">
        <v>#N/A</v>
      </c>
      <c r="HAW27" s="24" t="e">
        <v>#N/A</v>
      </c>
      <c r="HAX27" s="24" t="e">
        <v>#N/A</v>
      </c>
      <c r="HAY27" s="24" t="e">
        <v>#N/A</v>
      </c>
      <c r="HAZ27" s="24" t="e">
        <v>#N/A</v>
      </c>
      <c r="HBA27" s="24" t="e">
        <v>#N/A</v>
      </c>
      <c r="HBB27" s="24" t="e">
        <v>#N/A</v>
      </c>
      <c r="HBC27" s="24" t="e">
        <v>#N/A</v>
      </c>
      <c r="HBD27" s="24" t="e">
        <v>#N/A</v>
      </c>
      <c r="HBE27" s="24" t="e">
        <v>#N/A</v>
      </c>
      <c r="HBF27" s="24" t="e">
        <v>#N/A</v>
      </c>
      <c r="HBG27" s="24" t="e">
        <v>#N/A</v>
      </c>
      <c r="HBH27" s="24" t="e">
        <v>#N/A</v>
      </c>
      <c r="HBI27" s="24" t="e">
        <v>#N/A</v>
      </c>
      <c r="HBJ27" s="24" t="e">
        <v>#N/A</v>
      </c>
      <c r="HBK27" s="24" t="e">
        <v>#N/A</v>
      </c>
      <c r="HBL27" s="24" t="e">
        <v>#N/A</v>
      </c>
      <c r="HBM27" s="24" t="e">
        <v>#N/A</v>
      </c>
      <c r="HBN27" s="24" t="e">
        <v>#N/A</v>
      </c>
      <c r="HBO27" s="24" t="e">
        <v>#N/A</v>
      </c>
      <c r="HBP27" s="24" t="e">
        <v>#N/A</v>
      </c>
      <c r="HBQ27" s="24" t="e">
        <v>#N/A</v>
      </c>
      <c r="HBR27" s="24" t="e">
        <v>#N/A</v>
      </c>
      <c r="HBS27" s="24" t="e">
        <v>#N/A</v>
      </c>
      <c r="HBT27" s="24" t="e">
        <v>#N/A</v>
      </c>
      <c r="HBU27" s="24" t="e">
        <v>#N/A</v>
      </c>
      <c r="HBV27" s="24" t="e">
        <v>#N/A</v>
      </c>
      <c r="HBW27" s="24" t="e">
        <v>#N/A</v>
      </c>
      <c r="HBX27" s="24" t="e">
        <v>#N/A</v>
      </c>
      <c r="HBY27" s="24" t="e">
        <v>#N/A</v>
      </c>
      <c r="HBZ27" s="24" t="e">
        <v>#N/A</v>
      </c>
      <c r="HCA27" s="24" t="e">
        <v>#N/A</v>
      </c>
      <c r="HCB27" s="24" t="e">
        <v>#N/A</v>
      </c>
      <c r="HCC27" s="24" t="e">
        <v>#N/A</v>
      </c>
      <c r="HCD27" s="24" t="e">
        <v>#N/A</v>
      </c>
      <c r="HCE27" s="24" t="e">
        <v>#N/A</v>
      </c>
      <c r="HCF27" s="24" t="e">
        <v>#N/A</v>
      </c>
      <c r="HCG27" s="24" t="e">
        <v>#N/A</v>
      </c>
      <c r="HCH27" s="24" t="e">
        <v>#N/A</v>
      </c>
      <c r="HCI27" s="24" t="e">
        <v>#N/A</v>
      </c>
      <c r="HCJ27" s="24" t="e">
        <v>#N/A</v>
      </c>
      <c r="HCK27" s="24" t="e">
        <v>#N/A</v>
      </c>
      <c r="HCL27" s="24" t="e">
        <v>#N/A</v>
      </c>
      <c r="HCM27" s="24" t="e">
        <v>#N/A</v>
      </c>
      <c r="HCN27" s="24" t="e">
        <v>#N/A</v>
      </c>
      <c r="HCO27" s="24" t="e">
        <v>#N/A</v>
      </c>
      <c r="HCP27" s="24" t="e">
        <v>#N/A</v>
      </c>
      <c r="HCQ27" s="24" t="e">
        <v>#N/A</v>
      </c>
      <c r="HCR27" s="24" t="e">
        <v>#N/A</v>
      </c>
      <c r="HCS27" s="24" t="e">
        <v>#N/A</v>
      </c>
      <c r="HCT27" s="24" t="e">
        <v>#N/A</v>
      </c>
      <c r="HCU27" s="24" t="e">
        <v>#N/A</v>
      </c>
      <c r="HCV27" s="24" t="e">
        <v>#N/A</v>
      </c>
      <c r="HCW27" s="24" t="e">
        <v>#N/A</v>
      </c>
      <c r="HCX27" s="24" t="e">
        <v>#N/A</v>
      </c>
      <c r="HCY27" s="24" t="e">
        <v>#N/A</v>
      </c>
      <c r="HCZ27" s="24" t="e">
        <v>#N/A</v>
      </c>
      <c r="HDA27" s="24" t="e">
        <v>#N/A</v>
      </c>
      <c r="HDB27" s="24" t="e">
        <v>#N/A</v>
      </c>
      <c r="HDC27" s="24" t="e">
        <v>#N/A</v>
      </c>
      <c r="HDD27" s="24" t="e">
        <v>#N/A</v>
      </c>
      <c r="HDE27" s="24" t="e">
        <v>#N/A</v>
      </c>
      <c r="HDF27" s="24" t="e">
        <v>#N/A</v>
      </c>
      <c r="HDG27" s="24" t="e">
        <v>#N/A</v>
      </c>
      <c r="HDH27" s="24" t="e">
        <v>#N/A</v>
      </c>
      <c r="HDI27" s="24" t="e">
        <v>#N/A</v>
      </c>
      <c r="HDJ27" s="24" t="e">
        <v>#N/A</v>
      </c>
      <c r="HDK27" s="24" t="e">
        <v>#N/A</v>
      </c>
      <c r="HDL27" s="24" t="e">
        <v>#N/A</v>
      </c>
      <c r="HDM27" s="24" t="e">
        <v>#N/A</v>
      </c>
      <c r="HDN27" s="24" t="e">
        <v>#N/A</v>
      </c>
      <c r="HDO27" s="24" t="e">
        <v>#N/A</v>
      </c>
      <c r="HDP27" s="24" t="e">
        <v>#N/A</v>
      </c>
      <c r="HDQ27" s="24" t="e">
        <v>#N/A</v>
      </c>
      <c r="HDR27" s="24" t="e">
        <v>#N/A</v>
      </c>
      <c r="HDS27" s="24" t="e">
        <v>#N/A</v>
      </c>
      <c r="HDT27" s="24" t="e">
        <v>#N/A</v>
      </c>
      <c r="HDU27" s="24" t="e">
        <v>#N/A</v>
      </c>
      <c r="HDV27" s="24" t="e">
        <v>#N/A</v>
      </c>
      <c r="HDW27" s="24" t="e">
        <v>#N/A</v>
      </c>
      <c r="HDX27" s="24" t="e">
        <v>#N/A</v>
      </c>
      <c r="HDY27" s="24" t="e">
        <v>#N/A</v>
      </c>
      <c r="HDZ27" s="24" t="e">
        <v>#N/A</v>
      </c>
      <c r="HEA27" s="24" t="e">
        <v>#N/A</v>
      </c>
      <c r="HEB27" s="24" t="e">
        <v>#N/A</v>
      </c>
      <c r="HEC27" s="24" t="e">
        <v>#N/A</v>
      </c>
      <c r="HED27" s="24" t="e">
        <v>#N/A</v>
      </c>
      <c r="HEE27" s="24" t="e">
        <v>#N/A</v>
      </c>
      <c r="HEF27" s="24" t="e">
        <v>#N/A</v>
      </c>
      <c r="HEG27" s="24" t="e">
        <v>#N/A</v>
      </c>
      <c r="HEH27" s="24" t="e">
        <v>#N/A</v>
      </c>
      <c r="HEI27" s="24" t="e">
        <v>#N/A</v>
      </c>
      <c r="HEJ27" s="24" t="e">
        <v>#N/A</v>
      </c>
      <c r="HEK27" s="24" t="e">
        <v>#N/A</v>
      </c>
      <c r="HEL27" s="24" t="e">
        <v>#N/A</v>
      </c>
      <c r="HEM27" s="24" t="e">
        <v>#N/A</v>
      </c>
      <c r="HEN27" s="24" t="e">
        <v>#N/A</v>
      </c>
      <c r="HEO27" s="24" t="e">
        <v>#N/A</v>
      </c>
      <c r="HEP27" s="24" t="e">
        <v>#N/A</v>
      </c>
      <c r="HEQ27" s="24" t="e">
        <v>#N/A</v>
      </c>
      <c r="HER27" s="24" t="e">
        <v>#N/A</v>
      </c>
      <c r="HES27" s="24" t="e">
        <v>#N/A</v>
      </c>
      <c r="HET27" s="24" t="e">
        <v>#N/A</v>
      </c>
      <c r="HEU27" s="24" t="e">
        <v>#N/A</v>
      </c>
      <c r="HEV27" s="24" t="e">
        <v>#N/A</v>
      </c>
      <c r="HEW27" s="24" t="e">
        <v>#N/A</v>
      </c>
      <c r="HEX27" s="24" t="e">
        <v>#N/A</v>
      </c>
      <c r="HEY27" s="24" t="e">
        <v>#N/A</v>
      </c>
      <c r="HEZ27" s="24" t="e">
        <v>#N/A</v>
      </c>
      <c r="HFA27" s="24" t="e">
        <v>#N/A</v>
      </c>
      <c r="HFB27" s="24" t="e">
        <v>#N/A</v>
      </c>
      <c r="HFC27" s="24" t="e">
        <v>#N/A</v>
      </c>
      <c r="HFD27" s="24" t="e">
        <v>#N/A</v>
      </c>
      <c r="HFE27" s="24" t="e">
        <v>#N/A</v>
      </c>
      <c r="HFF27" s="24" t="e">
        <v>#N/A</v>
      </c>
      <c r="HFG27" s="24" t="e">
        <v>#N/A</v>
      </c>
      <c r="HFH27" s="24" t="e">
        <v>#N/A</v>
      </c>
      <c r="HFI27" s="24" t="e">
        <v>#N/A</v>
      </c>
      <c r="HFJ27" s="24" t="e">
        <v>#N/A</v>
      </c>
      <c r="HFK27" s="24" t="e">
        <v>#N/A</v>
      </c>
      <c r="HFL27" s="24" t="e">
        <v>#N/A</v>
      </c>
      <c r="HFM27" s="24" t="e">
        <v>#N/A</v>
      </c>
      <c r="HFN27" s="24" t="e">
        <v>#N/A</v>
      </c>
      <c r="HFO27" s="24" t="e">
        <v>#N/A</v>
      </c>
      <c r="HFP27" s="24" t="e">
        <v>#N/A</v>
      </c>
      <c r="HFQ27" s="24" t="e">
        <v>#N/A</v>
      </c>
      <c r="HFR27" s="24" t="e">
        <v>#N/A</v>
      </c>
      <c r="HFS27" s="24" t="e">
        <v>#N/A</v>
      </c>
      <c r="HFT27" s="24" t="e">
        <v>#N/A</v>
      </c>
      <c r="HFU27" s="24" t="e">
        <v>#N/A</v>
      </c>
      <c r="HFV27" s="24" t="e">
        <v>#N/A</v>
      </c>
      <c r="HFW27" s="24" t="e">
        <v>#N/A</v>
      </c>
      <c r="HFX27" s="24" t="e">
        <v>#N/A</v>
      </c>
      <c r="HFY27" s="24" t="e">
        <v>#N/A</v>
      </c>
      <c r="HFZ27" s="24" t="e">
        <v>#N/A</v>
      </c>
      <c r="HGA27" s="24" t="e">
        <v>#N/A</v>
      </c>
      <c r="HGB27" s="24" t="e">
        <v>#N/A</v>
      </c>
      <c r="HGC27" s="24" t="e">
        <v>#N/A</v>
      </c>
      <c r="HGD27" s="24" t="e">
        <v>#N/A</v>
      </c>
      <c r="HGE27" s="24" t="e">
        <v>#N/A</v>
      </c>
      <c r="HGF27" s="24" t="e">
        <v>#N/A</v>
      </c>
      <c r="HGG27" s="24" t="e">
        <v>#N/A</v>
      </c>
      <c r="HGH27" s="24" t="e">
        <v>#N/A</v>
      </c>
      <c r="HGI27" s="24" t="e">
        <v>#N/A</v>
      </c>
      <c r="HGJ27" s="24" t="e">
        <v>#N/A</v>
      </c>
      <c r="HGK27" s="24" t="e">
        <v>#N/A</v>
      </c>
      <c r="HGL27" s="24" t="e">
        <v>#N/A</v>
      </c>
      <c r="HGM27" s="24" t="e">
        <v>#N/A</v>
      </c>
      <c r="HGN27" s="24" t="e">
        <v>#N/A</v>
      </c>
      <c r="HGO27" s="24" t="e">
        <v>#N/A</v>
      </c>
      <c r="HGP27" s="24" t="e">
        <v>#N/A</v>
      </c>
      <c r="HGQ27" s="24" t="e">
        <v>#N/A</v>
      </c>
      <c r="HGR27" s="24" t="e">
        <v>#N/A</v>
      </c>
      <c r="HGS27" s="24" t="e">
        <v>#N/A</v>
      </c>
      <c r="HGT27" s="24" t="e">
        <v>#N/A</v>
      </c>
      <c r="HGU27" s="24" t="e">
        <v>#N/A</v>
      </c>
      <c r="HGV27" s="24" t="e">
        <v>#N/A</v>
      </c>
      <c r="HGW27" s="24" t="e">
        <v>#N/A</v>
      </c>
      <c r="HGX27" s="24" t="e">
        <v>#N/A</v>
      </c>
      <c r="HGY27" s="24" t="e">
        <v>#N/A</v>
      </c>
      <c r="HGZ27" s="24" t="e">
        <v>#N/A</v>
      </c>
      <c r="HHA27" s="24" t="e">
        <v>#N/A</v>
      </c>
      <c r="HHB27" s="24" t="e">
        <v>#N/A</v>
      </c>
      <c r="HHC27" s="24" t="e">
        <v>#N/A</v>
      </c>
      <c r="HHD27" s="24" t="e">
        <v>#N/A</v>
      </c>
      <c r="HHE27" s="24" t="e">
        <v>#N/A</v>
      </c>
      <c r="HHF27" s="24" t="e">
        <v>#N/A</v>
      </c>
      <c r="HHG27" s="24" t="e">
        <v>#N/A</v>
      </c>
      <c r="HHH27" s="24" t="e">
        <v>#N/A</v>
      </c>
      <c r="HHI27" s="24" t="e">
        <v>#N/A</v>
      </c>
      <c r="HHJ27" s="24" t="e">
        <v>#N/A</v>
      </c>
      <c r="HHK27" s="24" t="e">
        <v>#N/A</v>
      </c>
      <c r="HHL27" s="24" t="e">
        <v>#N/A</v>
      </c>
      <c r="HHM27" s="24" t="e">
        <v>#N/A</v>
      </c>
      <c r="HHN27" s="24" t="e">
        <v>#N/A</v>
      </c>
      <c r="HHO27" s="24" t="e">
        <v>#N/A</v>
      </c>
      <c r="HHP27" s="24" t="e">
        <v>#N/A</v>
      </c>
      <c r="HHQ27" s="24" t="e">
        <v>#N/A</v>
      </c>
      <c r="HHR27" s="24" t="e">
        <v>#N/A</v>
      </c>
      <c r="HHS27" s="24" t="e">
        <v>#N/A</v>
      </c>
      <c r="HHT27" s="24" t="e">
        <v>#N/A</v>
      </c>
      <c r="HHU27" s="24" t="e">
        <v>#N/A</v>
      </c>
      <c r="HHV27" s="24" t="e">
        <v>#N/A</v>
      </c>
      <c r="HHW27" s="24" t="e">
        <v>#N/A</v>
      </c>
      <c r="HHX27" s="24" t="e">
        <v>#N/A</v>
      </c>
      <c r="HHY27" s="24" t="e">
        <v>#N/A</v>
      </c>
      <c r="HHZ27" s="24" t="e">
        <v>#N/A</v>
      </c>
      <c r="HIA27" s="24" t="e">
        <v>#N/A</v>
      </c>
      <c r="HIB27" s="24" t="e">
        <v>#N/A</v>
      </c>
      <c r="HIC27" s="24" t="e">
        <v>#N/A</v>
      </c>
      <c r="HID27" s="24" t="e">
        <v>#N/A</v>
      </c>
      <c r="HIE27" s="24" t="e">
        <v>#N/A</v>
      </c>
      <c r="HIF27" s="24" t="e">
        <v>#N/A</v>
      </c>
      <c r="HIG27" s="24" t="e">
        <v>#N/A</v>
      </c>
      <c r="HIH27" s="24" t="e">
        <v>#N/A</v>
      </c>
      <c r="HII27" s="24" t="e">
        <v>#N/A</v>
      </c>
      <c r="HIJ27" s="24" t="e">
        <v>#N/A</v>
      </c>
      <c r="HIK27" s="24" t="e">
        <v>#N/A</v>
      </c>
      <c r="HIL27" s="24" t="e">
        <v>#N/A</v>
      </c>
      <c r="HIM27" s="24" t="e">
        <v>#N/A</v>
      </c>
      <c r="HIN27" s="24" t="e">
        <v>#N/A</v>
      </c>
      <c r="HIO27" s="24" t="e">
        <v>#N/A</v>
      </c>
      <c r="HIP27" s="24" t="e">
        <v>#N/A</v>
      </c>
      <c r="HIQ27" s="24" t="e">
        <v>#N/A</v>
      </c>
      <c r="HIR27" s="24" t="e">
        <v>#N/A</v>
      </c>
      <c r="HIS27" s="24" t="e">
        <v>#N/A</v>
      </c>
      <c r="HIT27" s="24" t="e">
        <v>#N/A</v>
      </c>
      <c r="HIU27" s="24" t="e">
        <v>#N/A</v>
      </c>
      <c r="HIV27" s="24" t="e">
        <v>#N/A</v>
      </c>
      <c r="HIW27" s="24" t="e">
        <v>#N/A</v>
      </c>
      <c r="HIX27" s="24" t="e">
        <v>#N/A</v>
      </c>
      <c r="HIY27" s="24" t="e">
        <v>#N/A</v>
      </c>
      <c r="HIZ27" s="24" t="e">
        <v>#N/A</v>
      </c>
      <c r="HJA27" s="24" t="e">
        <v>#N/A</v>
      </c>
      <c r="HJB27" s="24" t="e">
        <v>#N/A</v>
      </c>
      <c r="HJC27" s="24" t="e">
        <v>#N/A</v>
      </c>
      <c r="HJD27" s="24" t="e">
        <v>#N/A</v>
      </c>
      <c r="HJE27" s="24" t="e">
        <v>#N/A</v>
      </c>
      <c r="HJF27" s="24" t="e">
        <v>#N/A</v>
      </c>
      <c r="HJG27" s="24" t="e">
        <v>#N/A</v>
      </c>
      <c r="HJH27" s="24" t="e">
        <v>#N/A</v>
      </c>
      <c r="HJI27" s="24" t="e">
        <v>#N/A</v>
      </c>
      <c r="HJJ27" s="24" t="e">
        <v>#N/A</v>
      </c>
      <c r="HJK27" s="24" t="e">
        <v>#N/A</v>
      </c>
      <c r="HJL27" s="24" t="e">
        <v>#N/A</v>
      </c>
      <c r="HJM27" s="24" t="e">
        <v>#N/A</v>
      </c>
      <c r="HJN27" s="24" t="e">
        <v>#N/A</v>
      </c>
      <c r="HJO27" s="24" t="e">
        <v>#N/A</v>
      </c>
      <c r="HJP27" s="24" t="e">
        <v>#N/A</v>
      </c>
      <c r="HJQ27" s="24" t="e">
        <v>#N/A</v>
      </c>
      <c r="HJR27" s="24" t="e">
        <v>#N/A</v>
      </c>
      <c r="HJS27" s="24" t="e">
        <v>#N/A</v>
      </c>
      <c r="HJT27" s="24" t="e">
        <v>#N/A</v>
      </c>
      <c r="HJU27" s="24" t="e">
        <v>#N/A</v>
      </c>
      <c r="HJV27" s="24" t="e">
        <v>#N/A</v>
      </c>
      <c r="HJW27" s="24" t="e">
        <v>#N/A</v>
      </c>
      <c r="HJX27" s="24" t="e">
        <v>#N/A</v>
      </c>
      <c r="HJY27" s="24" t="e">
        <v>#N/A</v>
      </c>
      <c r="HJZ27" s="24" t="e">
        <v>#N/A</v>
      </c>
      <c r="HKA27" s="24" t="e">
        <v>#N/A</v>
      </c>
      <c r="HKB27" s="24" t="e">
        <v>#N/A</v>
      </c>
      <c r="HKC27" s="24" t="e">
        <v>#N/A</v>
      </c>
      <c r="HKD27" s="24" t="e">
        <v>#N/A</v>
      </c>
      <c r="HKE27" s="24" t="e">
        <v>#N/A</v>
      </c>
      <c r="HKF27" s="24" t="e">
        <v>#N/A</v>
      </c>
      <c r="HKG27" s="24" t="e">
        <v>#N/A</v>
      </c>
      <c r="HKH27" s="24" t="e">
        <v>#N/A</v>
      </c>
      <c r="HKI27" s="24" t="e">
        <v>#N/A</v>
      </c>
      <c r="HKJ27" s="24" t="e">
        <v>#N/A</v>
      </c>
      <c r="HKK27" s="24" t="e">
        <v>#N/A</v>
      </c>
      <c r="HKL27" s="24" t="e">
        <v>#N/A</v>
      </c>
      <c r="HKM27" s="24" t="e">
        <v>#N/A</v>
      </c>
      <c r="HKN27" s="24" t="e">
        <v>#N/A</v>
      </c>
      <c r="HKO27" s="24" t="e">
        <v>#N/A</v>
      </c>
      <c r="HKP27" s="24" t="e">
        <v>#N/A</v>
      </c>
      <c r="HKQ27" s="24" t="e">
        <v>#N/A</v>
      </c>
      <c r="HKR27" s="24" t="e">
        <v>#N/A</v>
      </c>
      <c r="HKS27" s="24" t="e">
        <v>#N/A</v>
      </c>
      <c r="HKT27" s="24" t="e">
        <v>#N/A</v>
      </c>
      <c r="HKU27" s="24" t="e">
        <v>#N/A</v>
      </c>
      <c r="HKV27" s="24" t="e">
        <v>#N/A</v>
      </c>
      <c r="HKW27" s="24" t="e">
        <v>#N/A</v>
      </c>
      <c r="HKX27" s="24" t="e">
        <v>#N/A</v>
      </c>
      <c r="HKY27" s="24" t="e">
        <v>#N/A</v>
      </c>
      <c r="HKZ27" s="24" t="e">
        <v>#N/A</v>
      </c>
      <c r="HLA27" s="24" t="e">
        <v>#N/A</v>
      </c>
      <c r="HLB27" s="24" t="e">
        <v>#N/A</v>
      </c>
      <c r="HLC27" s="24" t="e">
        <v>#N/A</v>
      </c>
      <c r="HLD27" s="24" t="e">
        <v>#N/A</v>
      </c>
      <c r="HLE27" s="24" t="e">
        <v>#N/A</v>
      </c>
      <c r="HLF27" s="24" t="e">
        <v>#N/A</v>
      </c>
      <c r="HLG27" s="24" t="e">
        <v>#N/A</v>
      </c>
      <c r="HLH27" s="24" t="e">
        <v>#N/A</v>
      </c>
      <c r="HLI27" s="24" t="e">
        <v>#N/A</v>
      </c>
      <c r="HLJ27" s="24" t="e">
        <v>#N/A</v>
      </c>
      <c r="HLK27" s="24" t="e">
        <v>#N/A</v>
      </c>
      <c r="HLL27" s="24" t="e">
        <v>#N/A</v>
      </c>
      <c r="HLM27" s="24" t="e">
        <v>#N/A</v>
      </c>
      <c r="HLN27" s="24" t="e">
        <v>#N/A</v>
      </c>
      <c r="HLO27" s="24" t="e">
        <v>#N/A</v>
      </c>
      <c r="HLP27" s="24" t="e">
        <v>#N/A</v>
      </c>
      <c r="HLQ27" s="24" t="e">
        <v>#N/A</v>
      </c>
      <c r="HLR27" s="24" t="e">
        <v>#N/A</v>
      </c>
      <c r="HLS27" s="24" t="e">
        <v>#N/A</v>
      </c>
      <c r="HLT27" s="24" t="e">
        <v>#N/A</v>
      </c>
      <c r="HLU27" s="24" t="e">
        <v>#N/A</v>
      </c>
      <c r="HLV27" s="24" t="e">
        <v>#N/A</v>
      </c>
      <c r="HLW27" s="24" t="e">
        <v>#N/A</v>
      </c>
      <c r="HLX27" s="24" t="e">
        <v>#N/A</v>
      </c>
      <c r="HLY27" s="24" t="e">
        <v>#N/A</v>
      </c>
      <c r="HLZ27" s="24" t="e">
        <v>#N/A</v>
      </c>
      <c r="HMA27" s="24" t="e">
        <v>#N/A</v>
      </c>
      <c r="HMB27" s="24" t="e">
        <v>#N/A</v>
      </c>
      <c r="HMC27" s="24" t="e">
        <v>#N/A</v>
      </c>
      <c r="HMD27" s="24" t="e">
        <v>#N/A</v>
      </c>
      <c r="HME27" s="24" t="e">
        <v>#N/A</v>
      </c>
      <c r="HMF27" s="24" t="e">
        <v>#N/A</v>
      </c>
      <c r="HMG27" s="24" t="e">
        <v>#N/A</v>
      </c>
      <c r="HMH27" s="24" t="e">
        <v>#N/A</v>
      </c>
      <c r="HMI27" s="24" t="e">
        <v>#N/A</v>
      </c>
      <c r="HMJ27" s="24" t="e">
        <v>#N/A</v>
      </c>
      <c r="HMK27" s="24" t="e">
        <v>#N/A</v>
      </c>
      <c r="HML27" s="24" t="e">
        <v>#N/A</v>
      </c>
      <c r="HMM27" s="24" t="e">
        <v>#N/A</v>
      </c>
      <c r="HMN27" s="24" t="e">
        <v>#N/A</v>
      </c>
      <c r="HMO27" s="24" t="e">
        <v>#N/A</v>
      </c>
      <c r="HMP27" s="24" t="e">
        <v>#N/A</v>
      </c>
      <c r="HMQ27" s="24" t="e">
        <v>#N/A</v>
      </c>
      <c r="HMR27" s="24" t="e">
        <v>#N/A</v>
      </c>
      <c r="HMS27" s="24" t="e">
        <v>#N/A</v>
      </c>
      <c r="HMT27" s="24" t="e">
        <v>#N/A</v>
      </c>
      <c r="HMU27" s="24" t="e">
        <v>#N/A</v>
      </c>
      <c r="HMV27" s="24" t="e">
        <v>#N/A</v>
      </c>
      <c r="HMW27" s="24" t="e">
        <v>#N/A</v>
      </c>
      <c r="HMX27" s="24" t="e">
        <v>#N/A</v>
      </c>
      <c r="HMY27" s="24" t="e">
        <v>#N/A</v>
      </c>
      <c r="HMZ27" s="24" t="e">
        <v>#N/A</v>
      </c>
      <c r="HNA27" s="24" t="e">
        <v>#N/A</v>
      </c>
      <c r="HNB27" s="24" t="e">
        <v>#N/A</v>
      </c>
      <c r="HNC27" s="24" t="e">
        <v>#N/A</v>
      </c>
      <c r="HND27" s="24" t="e">
        <v>#N/A</v>
      </c>
      <c r="HNE27" s="24" t="e">
        <v>#N/A</v>
      </c>
      <c r="HNF27" s="24" t="e">
        <v>#N/A</v>
      </c>
      <c r="HNG27" s="24" t="e">
        <v>#N/A</v>
      </c>
      <c r="HNH27" s="24" t="e">
        <v>#N/A</v>
      </c>
      <c r="HNI27" s="24" t="e">
        <v>#N/A</v>
      </c>
      <c r="HNJ27" s="24" t="e">
        <v>#N/A</v>
      </c>
      <c r="HNK27" s="24" t="e">
        <v>#N/A</v>
      </c>
      <c r="HNL27" s="24" t="e">
        <v>#N/A</v>
      </c>
      <c r="HNM27" s="24" t="e">
        <v>#N/A</v>
      </c>
      <c r="HNN27" s="24" t="e">
        <v>#N/A</v>
      </c>
      <c r="HNO27" s="24" t="e">
        <v>#N/A</v>
      </c>
      <c r="HNP27" s="24" t="e">
        <v>#N/A</v>
      </c>
      <c r="HNQ27" s="24" t="e">
        <v>#N/A</v>
      </c>
      <c r="HNR27" s="24" t="e">
        <v>#N/A</v>
      </c>
      <c r="HNS27" s="24" t="e">
        <v>#N/A</v>
      </c>
      <c r="HNT27" s="24" t="e">
        <v>#N/A</v>
      </c>
      <c r="HNU27" s="24" t="e">
        <v>#N/A</v>
      </c>
      <c r="HNV27" s="24" t="e">
        <v>#N/A</v>
      </c>
      <c r="HNW27" s="24" t="e">
        <v>#N/A</v>
      </c>
      <c r="HNX27" s="24" t="e">
        <v>#N/A</v>
      </c>
      <c r="HNY27" s="24" t="e">
        <v>#N/A</v>
      </c>
      <c r="HNZ27" s="24" t="e">
        <v>#N/A</v>
      </c>
      <c r="HOA27" s="24" t="e">
        <v>#N/A</v>
      </c>
      <c r="HOB27" s="24" t="e">
        <v>#N/A</v>
      </c>
      <c r="HOC27" s="24" t="e">
        <v>#N/A</v>
      </c>
      <c r="HOD27" s="24" t="e">
        <v>#N/A</v>
      </c>
      <c r="HOE27" s="24" t="e">
        <v>#N/A</v>
      </c>
      <c r="HOF27" s="24" t="e">
        <v>#N/A</v>
      </c>
      <c r="HOG27" s="24" t="e">
        <v>#N/A</v>
      </c>
      <c r="HOH27" s="24" t="e">
        <v>#N/A</v>
      </c>
      <c r="HOI27" s="24" t="e">
        <v>#N/A</v>
      </c>
      <c r="HOJ27" s="24" t="e">
        <v>#N/A</v>
      </c>
      <c r="HOK27" s="24" t="e">
        <v>#N/A</v>
      </c>
      <c r="HOL27" s="24" t="e">
        <v>#N/A</v>
      </c>
      <c r="HOM27" s="24" t="e">
        <v>#N/A</v>
      </c>
      <c r="HON27" s="24" t="e">
        <v>#N/A</v>
      </c>
      <c r="HOO27" s="24" t="e">
        <v>#N/A</v>
      </c>
      <c r="HOP27" s="24" t="e">
        <v>#N/A</v>
      </c>
      <c r="HOQ27" s="24" t="e">
        <v>#N/A</v>
      </c>
      <c r="HOR27" s="24" t="e">
        <v>#N/A</v>
      </c>
      <c r="HOS27" s="24" t="e">
        <v>#N/A</v>
      </c>
      <c r="HOT27" s="24" t="e">
        <v>#N/A</v>
      </c>
      <c r="HOU27" s="24" t="e">
        <v>#N/A</v>
      </c>
      <c r="HOV27" s="24" t="e">
        <v>#N/A</v>
      </c>
      <c r="HOW27" s="24" t="e">
        <v>#N/A</v>
      </c>
      <c r="HOX27" s="24" t="e">
        <v>#N/A</v>
      </c>
      <c r="HOY27" s="24" t="e">
        <v>#N/A</v>
      </c>
      <c r="HOZ27" s="24" t="e">
        <v>#N/A</v>
      </c>
      <c r="HPA27" s="24" t="e">
        <v>#N/A</v>
      </c>
      <c r="HPB27" s="24" t="e">
        <v>#N/A</v>
      </c>
      <c r="HPC27" s="24" t="e">
        <v>#N/A</v>
      </c>
      <c r="HPD27" s="24" t="e">
        <v>#N/A</v>
      </c>
      <c r="HPE27" s="24" t="e">
        <v>#N/A</v>
      </c>
      <c r="HPF27" s="24" t="e">
        <v>#N/A</v>
      </c>
      <c r="HPG27" s="24" t="e">
        <v>#N/A</v>
      </c>
      <c r="HPH27" s="24" t="e">
        <v>#N/A</v>
      </c>
      <c r="HPI27" s="24" t="e">
        <v>#N/A</v>
      </c>
      <c r="HPJ27" s="24" t="e">
        <v>#N/A</v>
      </c>
      <c r="HPK27" s="24" t="e">
        <v>#N/A</v>
      </c>
      <c r="HPL27" s="24" t="e">
        <v>#N/A</v>
      </c>
      <c r="HPM27" s="24" t="e">
        <v>#N/A</v>
      </c>
      <c r="HPN27" s="24" t="e">
        <v>#N/A</v>
      </c>
      <c r="HPO27" s="24" t="e">
        <v>#N/A</v>
      </c>
      <c r="HPP27" s="24" t="e">
        <v>#N/A</v>
      </c>
      <c r="HPQ27" s="24" t="e">
        <v>#N/A</v>
      </c>
      <c r="HPR27" s="24" t="e">
        <v>#N/A</v>
      </c>
      <c r="HPS27" s="24" t="e">
        <v>#N/A</v>
      </c>
      <c r="HPT27" s="24" t="e">
        <v>#N/A</v>
      </c>
      <c r="HPU27" s="24" t="e">
        <v>#N/A</v>
      </c>
      <c r="HPV27" s="24" t="e">
        <v>#N/A</v>
      </c>
      <c r="HPW27" s="24" t="e">
        <v>#N/A</v>
      </c>
      <c r="HPX27" s="24" t="e">
        <v>#N/A</v>
      </c>
      <c r="HPY27" s="24" t="e">
        <v>#N/A</v>
      </c>
      <c r="HPZ27" s="24" t="e">
        <v>#N/A</v>
      </c>
      <c r="HQA27" s="24" t="e">
        <v>#N/A</v>
      </c>
      <c r="HQB27" s="24" t="e">
        <v>#N/A</v>
      </c>
      <c r="HQC27" s="24" t="e">
        <v>#N/A</v>
      </c>
      <c r="HQD27" s="24" t="e">
        <v>#N/A</v>
      </c>
      <c r="HQE27" s="24" t="e">
        <v>#N/A</v>
      </c>
      <c r="HQF27" s="24" t="e">
        <v>#N/A</v>
      </c>
      <c r="HQG27" s="24" t="e">
        <v>#N/A</v>
      </c>
      <c r="HQH27" s="24" t="e">
        <v>#N/A</v>
      </c>
      <c r="HQI27" s="24" t="e">
        <v>#N/A</v>
      </c>
      <c r="HQJ27" s="24" t="e">
        <v>#N/A</v>
      </c>
      <c r="HQK27" s="24" t="e">
        <v>#N/A</v>
      </c>
      <c r="HQL27" s="24" t="e">
        <v>#N/A</v>
      </c>
      <c r="HQM27" s="24" t="e">
        <v>#N/A</v>
      </c>
      <c r="HQN27" s="24" t="e">
        <v>#N/A</v>
      </c>
      <c r="HQO27" s="24" t="e">
        <v>#N/A</v>
      </c>
      <c r="HQP27" s="24" t="e">
        <v>#N/A</v>
      </c>
      <c r="HQQ27" s="24" t="e">
        <v>#N/A</v>
      </c>
      <c r="HQR27" s="24" t="e">
        <v>#N/A</v>
      </c>
      <c r="HQS27" s="24" t="e">
        <v>#N/A</v>
      </c>
      <c r="HQT27" s="24" t="e">
        <v>#N/A</v>
      </c>
      <c r="HQU27" s="24" t="e">
        <v>#N/A</v>
      </c>
      <c r="HQV27" s="24" t="e">
        <v>#N/A</v>
      </c>
      <c r="HQW27" s="24" t="e">
        <v>#N/A</v>
      </c>
      <c r="HQX27" s="24" t="e">
        <v>#N/A</v>
      </c>
      <c r="HQY27" s="24" t="e">
        <v>#N/A</v>
      </c>
      <c r="HQZ27" s="24" t="e">
        <v>#N/A</v>
      </c>
      <c r="HRA27" s="24" t="e">
        <v>#N/A</v>
      </c>
      <c r="HRB27" s="24" t="e">
        <v>#N/A</v>
      </c>
      <c r="HRC27" s="24" t="e">
        <v>#N/A</v>
      </c>
      <c r="HRD27" s="24" t="e">
        <v>#N/A</v>
      </c>
      <c r="HRE27" s="24" t="e">
        <v>#N/A</v>
      </c>
      <c r="HRF27" s="24" t="e">
        <v>#N/A</v>
      </c>
      <c r="HRG27" s="24" t="e">
        <v>#N/A</v>
      </c>
      <c r="HRH27" s="24" t="e">
        <v>#N/A</v>
      </c>
      <c r="HRI27" s="24" t="e">
        <v>#N/A</v>
      </c>
      <c r="HRJ27" s="24" t="e">
        <v>#N/A</v>
      </c>
      <c r="HRK27" s="24" t="e">
        <v>#N/A</v>
      </c>
      <c r="HRL27" s="24" t="e">
        <v>#N/A</v>
      </c>
      <c r="HRM27" s="24" t="e">
        <v>#N/A</v>
      </c>
      <c r="HRN27" s="24" t="e">
        <v>#N/A</v>
      </c>
      <c r="HRO27" s="24" t="e">
        <v>#N/A</v>
      </c>
      <c r="HRP27" s="24" t="e">
        <v>#N/A</v>
      </c>
      <c r="HRQ27" s="24" t="e">
        <v>#N/A</v>
      </c>
      <c r="HRR27" s="24" t="e">
        <v>#N/A</v>
      </c>
      <c r="HRS27" s="24" t="e">
        <v>#N/A</v>
      </c>
      <c r="HRT27" s="24" t="e">
        <v>#N/A</v>
      </c>
      <c r="HRU27" s="24" t="e">
        <v>#N/A</v>
      </c>
      <c r="HRV27" s="24" t="e">
        <v>#N/A</v>
      </c>
      <c r="HRW27" s="24" t="e">
        <v>#N/A</v>
      </c>
      <c r="HRX27" s="24" t="e">
        <v>#N/A</v>
      </c>
      <c r="HRY27" s="24" t="e">
        <v>#N/A</v>
      </c>
      <c r="HRZ27" s="24" t="e">
        <v>#N/A</v>
      </c>
      <c r="HSA27" s="24" t="e">
        <v>#N/A</v>
      </c>
      <c r="HSB27" s="24" t="e">
        <v>#N/A</v>
      </c>
      <c r="HSC27" s="24" t="e">
        <v>#N/A</v>
      </c>
      <c r="HSD27" s="24" t="e">
        <v>#N/A</v>
      </c>
      <c r="HSE27" s="24" t="e">
        <v>#N/A</v>
      </c>
      <c r="HSF27" s="24" t="e">
        <v>#N/A</v>
      </c>
      <c r="HSG27" s="24" t="e">
        <v>#N/A</v>
      </c>
      <c r="HSH27" s="24" t="e">
        <v>#N/A</v>
      </c>
      <c r="HSI27" s="24" t="e">
        <v>#N/A</v>
      </c>
      <c r="HSJ27" s="24" t="e">
        <v>#N/A</v>
      </c>
      <c r="HSK27" s="24" t="e">
        <v>#N/A</v>
      </c>
      <c r="HSL27" s="24" t="e">
        <v>#N/A</v>
      </c>
      <c r="HSM27" s="24" t="e">
        <v>#N/A</v>
      </c>
      <c r="HSN27" s="24" t="e">
        <v>#N/A</v>
      </c>
      <c r="HSO27" s="24" t="e">
        <v>#N/A</v>
      </c>
      <c r="HSP27" s="24" t="e">
        <v>#N/A</v>
      </c>
      <c r="HSQ27" s="24" t="e">
        <v>#N/A</v>
      </c>
      <c r="HSR27" s="24" t="e">
        <v>#N/A</v>
      </c>
      <c r="HSS27" s="24" t="e">
        <v>#N/A</v>
      </c>
      <c r="HST27" s="24" t="e">
        <v>#N/A</v>
      </c>
      <c r="HSU27" s="24" t="e">
        <v>#N/A</v>
      </c>
      <c r="HSV27" s="24" t="e">
        <v>#N/A</v>
      </c>
      <c r="HSW27" s="24" t="e">
        <v>#N/A</v>
      </c>
      <c r="HSX27" s="24" t="e">
        <v>#N/A</v>
      </c>
      <c r="HSY27" s="24" t="e">
        <v>#N/A</v>
      </c>
      <c r="HSZ27" s="24" t="e">
        <v>#N/A</v>
      </c>
      <c r="HTA27" s="24" t="e">
        <v>#N/A</v>
      </c>
      <c r="HTB27" s="24" t="e">
        <v>#N/A</v>
      </c>
      <c r="HTC27" s="24" t="e">
        <v>#N/A</v>
      </c>
      <c r="HTD27" s="24" t="e">
        <v>#N/A</v>
      </c>
      <c r="HTE27" s="24" t="e">
        <v>#N/A</v>
      </c>
      <c r="HTF27" s="24" t="e">
        <v>#N/A</v>
      </c>
      <c r="HTG27" s="24" t="e">
        <v>#N/A</v>
      </c>
      <c r="HTH27" s="24" t="e">
        <v>#N/A</v>
      </c>
      <c r="HTI27" s="24" t="e">
        <v>#N/A</v>
      </c>
      <c r="HTJ27" s="24" t="e">
        <v>#N/A</v>
      </c>
      <c r="HTK27" s="24" t="e">
        <v>#N/A</v>
      </c>
      <c r="HTL27" s="24" t="e">
        <v>#N/A</v>
      </c>
      <c r="HTM27" s="24" t="e">
        <v>#N/A</v>
      </c>
      <c r="HTN27" s="24" t="e">
        <v>#N/A</v>
      </c>
      <c r="HTO27" s="24" t="e">
        <v>#N/A</v>
      </c>
      <c r="HTP27" s="24" t="e">
        <v>#N/A</v>
      </c>
      <c r="HTQ27" s="24" t="e">
        <v>#N/A</v>
      </c>
      <c r="HTR27" s="24" t="e">
        <v>#N/A</v>
      </c>
      <c r="HTS27" s="24" t="e">
        <v>#N/A</v>
      </c>
      <c r="HTT27" s="24" t="e">
        <v>#N/A</v>
      </c>
      <c r="HTU27" s="24" t="e">
        <v>#N/A</v>
      </c>
      <c r="HTV27" s="24" t="e">
        <v>#N/A</v>
      </c>
      <c r="HTW27" s="24" t="e">
        <v>#N/A</v>
      </c>
      <c r="HTX27" s="24" t="e">
        <v>#N/A</v>
      </c>
      <c r="HTY27" s="24" t="e">
        <v>#N/A</v>
      </c>
      <c r="HTZ27" s="24" t="e">
        <v>#N/A</v>
      </c>
      <c r="HUA27" s="24" t="e">
        <v>#N/A</v>
      </c>
      <c r="HUB27" s="24" t="e">
        <v>#N/A</v>
      </c>
      <c r="HUC27" s="24" t="e">
        <v>#N/A</v>
      </c>
      <c r="HUD27" s="24" t="e">
        <v>#N/A</v>
      </c>
      <c r="HUE27" s="24" t="e">
        <v>#N/A</v>
      </c>
      <c r="HUF27" s="24" t="e">
        <v>#N/A</v>
      </c>
      <c r="HUG27" s="24" t="e">
        <v>#N/A</v>
      </c>
      <c r="HUH27" s="24" t="e">
        <v>#N/A</v>
      </c>
      <c r="HUI27" s="24" t="e">
        <v>#N/A</v>
      </c>
      <c r="HUJ27" s="24" t="e">
        <v>#N/A</v>
      </c>
      <c r="HUK27" s="24" t="e">
        <v>#N/A</v>
      </c>
      <c r="HUL27" s="24" t="e">
        <v>#N/A</v>
      </c>
      <c r="HUM27" s="24" t="e">
        <v>#N/A</v>
      </c>
      <c r="HUN27" s="24" t="e">
        <v>#N/A</v>
      </c>
      <c r="HUO27" s="24" t="e">
        <v>#N/A</v>
      </c>
      <c r="HUP27" s="24" t="e">
        <v>#N/A</v>
      </c>
      <c r="HUQ27" s="24" t="e">
        <v>#N/A</v>
      </c>
      <c r="HUR27" s="24" t="e">
        <v>#N/A</v>
      </c>
      <c r="HUS27" s="24" t="e">
        <v>#N/A</v>
      </c>
      <c r="HUT27" s="24" t="e">
        <v>#N/A</v>
      </c>
      <c r="HUU27" s="24" t="e">
        <v>#N/A</v>
      </c>
      <c r="HUV27" s="24" t="e">
        <v>#N/A</v>
      </c>
      <c r="HUW27" s="24" t="e">
        <v>#N/A</v>
      </c>
      <c r="HUX27" s="24" t="e">
        <v>#N/A</v>
      </c>
      <c r="HUY27" s="24" t="e">
        <v>#N/A</v>
      </c>
      <c r="HUZ27" s="24" t="e">
        <v>#N/A</v>
      </c>
      <c r="HVA27" s="24" t="e">
        <v>#N/A</v>
      </c>
      <c r="HVB27" s="24" t="e">
        <v>#N/A</v>
      </c>
      <c r="HVC27" s="24" t="e">
        <v>#N/A</v>
      </c>
      <c r="HVD27" s="24" t="e">
        <v>#N/A</v>
      </c>
      <c r="HVE27" s="24" t="e">
        <v>#N/A</v>
      </c>
      <c r="HVF27" s="24" t="e">
        <v>#N/A</v>
      </c>
      <c r="HVG27" s="24" t="e">
        <v>#N/A</v>
      </c>
      <c r="HVH27" s="24" t="e">
        <v>#N/A</v>
      </c>
      <c r="HVI27" s="24" t="e">
        <v>#N/A</v>
      </c>
      <c r="HVJ27" s="24" t="e">
        <v>#N/A</v>
      </c>
      <c r="HVK27" s="24" t="e">
        <v>#N/A</v>
      </c>
      <c r="HVL27" s="24" t="e">
        <v>#N/A</v>
      </c>
      <c r="HVM27" s="24" t="e">
        <v>#N/A</v>
      </c>
      <c r="HVN27" s="24" t="e">
        <v>#N/A</v>
      </c>
      <c r="HVO27" s="24" t="e">
        <v>#N/A</v>
      </c>
      <c r="HVP27" s="24" t="e">
        <v>#N/A</v>
      </c>
      <c r="HVQ27" s="24" t="e">
        <v>#N/A</v>
      </c>
      <c r="HVR27" s="24" t="e">
        <v>#N/A</v>
      </c>
      <c r="HVS27" s="24" t="e">
        <v>#N/A</v>
      </c>
      <c r="HVT27" s="24" t="e">
        <v>#N/A</v>
      </c>
      <c r="HVU27" s="24" t="e">
        <v>#N/A</v>
      </c>
      <c r="HVV27" s="24" t="e">
        <v>#N/A</v>
      </c>
      <c r="HVW27" s="24" t="e">
        <v>#N/A</v>
      </c>
      <c r="HVX27" s="24" t="e">
        <v>#N/A</v>
      </c>
      <c r="HVY27" s="24" t="e">
        <v>#N/A</v>
      </c>
      <c r="HVZ27" s="24" t="e">
        <v>#N/A</v>
      </c>
      <c r="HWA27" s="24" t="e">
        <v>#N/A</v>
      </c>
      <c r="HWB27" s="24" t="e">
        <v>#N/A</v>
      </c>
      <c r="HWC27" s="24" t="e">
        <v>#N/A</v>
      </c>
      <c r="HWD27" s="24" t="e">
        <v>#N/A</v>
      </c>
      <c r="HWE27" s="24" t="e">
        <v>#N/A</v>
      </c>
      <c r="HWF27" s="24" t="e">
        <v>#N/A</v>
      </c>
      <c r="HWG27" s="24" t="e">
        <v>#N/A</v>
      </c>
      <c r="HWH27" s="24" t="e">
        <v>#N/A</v>
      </c>
      <c r="HWI27" s="24" t="e">
        <v>#N/A</v>
      </c>
      <c r="HWJ27" s="24" t="e">
        <v>#N/A</v>
      </c>
      <c r="HWK27" s="24" t="e">
        <v>#N/A</v>
      </c>
      <c r="HWL27" s="24" t="e">
        <v>#N/A</v>
      </c>
      <c r="HWM27" s="24" t="e">
        <v>#N/A</v>
      </c>
      <c r="HWN27" s="24" t="e">
        <v>#N/A</v>
      </c>
      <c r="HWO27" s="24" t="e">
        <v>#N/A</v>
      </c>
      <c r="HWP27" s="24" t="e">
        <v>#N/A</v>
      </c>
      <c r="HWQ27" s="24" t="e">
        <v>#N/A</v>
      </c>
      <c r="HWR27" s="24" t="e">
        <v>#N/A</v>
      </c>
      <c r="HWS27" s="24" t="e">
        <v>#N/A</v>
      </c>
      <c r="HWT27" s="24" t="e">
        <v>#N/A</v>
      </c>
      <c r="HWU27" s="24" t="e">
        <v>#N/A</v>
      </c>
      <c r="HWV27" s="24" t="e">
        <v>#N/A</v>
      </c>
      <c r="HWW27" s="24" t="e">
        <v>#N/A</v>
      </c>
      <c r="HWX27" s="24" t="e">
        <v>#N/A</v>
      </c>
      <c r="HWY27" s="24" t="e">
        <v>#N/A</v>
      </c>
      <c r="HWZ27" s="24" t="e">
        <v>#N/A</v>
      </c>
      <c r="HXA27" s="24" t="e">
        <v>#N/A</v>
      </c>
      <c r="HXB27" s="24" t="e">
        <v>#N/A</v>
      </c>
      <c r="HXC27" s="24" t="e">
        <v>#N/A</v>
      </c>
      <c r="HXD27" s="24" t="e">
        <v>#N/A</v>
      </c>
      <c r="HXE27" s="24" t="e">
        <v>#N/A</v>
      </c>
      <c r="HXF27" s="24" t="e">
        <v>#N/A</v>
      </c>
      <c r="HXG27" s="24" t="e">
        <v>#N/A</v>
      </c>
      <c r="HXH27" s="24" t="e">
        <v>#N/A</v>
      </c>
      <c r="HXI27" s="24" t="e">
        <v>#N/A</v>
      </c>
      <c r="HXJ27" s="24" t="e">
        <v>#N/A</v>
      </c>
      <c r="HXK27" s="24" t="e">
        <v>#N/A</v>
      </c>
      <c r="HXL27" s="24" t="e">
        <v>#N/A</v>
      </c>
      <c r="HXM27" s="24" t="e">
        <v>#N/A</v>
      </c>
      <c r="HXN27" s="24" t="e">
        <v>#N/A</v>
      </c>
      <c r="HXO27" s="24" t="e">
        <v>#N/A</v>
      </c>
      <c r="HXP27" s="24" t="e">
        <v>#N/A</v>
      </c>
      <c r="HXQ27" s="24" t="e">
        <v>#N/A</v>
      </c>
      <c r="HXR27" s="24" t="e">
        <v>#N/A</v>
      </c>
      <c r="HXS27" s="24" t="e">
        <v>#N/A</v>
      </c>
      <c r="HXT27" s="24" t="e">
        <v>#N/A</v>
      </c>
      <c r="HXU27" s="24" t="e">
        <v>#N/A</v>
      </c>
      <c r="HXV27" s="24" t="e">
        <v>#N/A</v>
      </c>
      <c r="HXW27" s="24" t="e">
        <v>#N/A</v>
      </c>
      <c r="HXX27" s="24" t="e">
        <v>#N/A</v>
      </c>
      <c r="HXY27" s="24" t="e">
        <v>#N/A</v>
      </c>
      <c r="HXZ27" s="24" t="e">
        <v>#N/A</v>
      </c>
      <c r="HYA27" s="24" t="e">
        <v>#N/A</v>
      </c>
      <c r="HYB27" s="24" t="e">
        <v>#N/A</v>
      </c>
      <c r="HYC27" s="24" t="e">
        <v>#N/A</v>
      </c>
      <c r="HYD27" s="24" t="e">
        <v>#N/A</v>
      </c>
      <c r="HYE27" s="24" t="e">
        <v>#N/A</v>
      </c>
      <c r="HYF27" s="24" t="e">
        <v>#N/A</v>
      </c>
      <c r="HYG27" s="24" t="e">
        <v>#N/A</v>
      </c>
      <c r="HYH27" s="24" t="e">
        <v>#N/A</v>
      </c>
      <c r="HYI27" s="24" t="e">
        <v>#N/A</v>
      </c>
      <c r="HYJ27" s="24" t="e">
        <v>#N/A</v>
      </c>
      <c r="HYK27" s="24" t="e">
        <v>#N/A</v>
      </c>
      <c r="HYL27" s="24" t="e">
        <v>#N/A</v>
      </c>
      <c r="HYM27" s="24" t="e">
        <v>#N/A</v>
      </c>
      <c r="HYN27" s="24" t="e">
        <v>#N/A</v>
      </c>
      <c r="HYO27" s="24" t="e">
        <v>#N/A</v>
      </c>
      <c r="HYP27" s="24" t="e">
        <v>#N/A</v>
      </c>
      <c r="HYQ27" s="24" t="e">
        <v>#N/A</v>
      </c>
      <c r="HYR27" s="24" t="e">
        <v>#N/A</v>
      </c>
      <c r="HYS27" s="24" t="e">
        <v>#N/A</v>
      </c>
      <c r="HYT27" s="24" t="e">
        <v>#N/A</v>
      </c>
      <c r="HYU27" s="24" t="e">
        <v>#N/A</v>
      </c>
      <c r="HYV27" s="24" t="e">
        <v>#N/A</v>
      </c>
      <c r="HYW27" s="24" t="e">
        <v>#N/A</v>
      </c>
      <c r="HYX27" s="24" t="e">
        <v>#N/A</v>
      </c>
      <c r="HYY27" s="24" t="e">
        <v>#N/A</v>
      </c>
      <c r="HYZ27" s="24" t="e">
        <v>#N/A</v>
      </c>
      <c r="HZA27" s="24" t="e">
        <v>#N/A</v>
      </c>
      <c r="HZB27" s="24" t="e">
        <v>#N/A</v>
      </c>
      <c r="HZC27" s="24" t="e">
        <v>#N/A</v>
      </c>
      <c r="HZD27" s="24" t="e">
        <v>#N/A</v>
      </c>
      <c r="HZE27" s="24" t="e">
        <v>#N/A</v>
      </c>
      <c r="HZF27" s="24" t="e">
        <v>#N/A</v>
      </c>
      <c r="HZG27" s="24" t="e">
        <v>#N/A</v>
      </c>
      <c r="HZH27" s="24" t="e">
        <v>#N/A</v>
      </c>
      <c r="HZI27" s="24" t="e">
        <v>#N/A</v>
      </c>
      <c r="HZJ27" s="24" t="e">
        <v>#N/A</v>
      </c>
      <c r="HZK27" s="24" t="e">
        <v>#N/A</v>
      </c>
      <c r="HZL27" s="24" t="e">
        <v>#N/A</v>
      </c>
      <c r="HZM27" s="24" t="e">
        <v>#N/A</v>
      </c>
      <c r="HZN27" s="24" t="e">
        <v>#N/A</v>
      </c>
      <c r="HZO27" s="24" t="e">
        <v>#N/A</v>
      </c>
      <c r="HZP27" s="24" t="e">
        <v>#N/A</v>
      </c>
      <c r="HZQ27" s="24" t="e">
        <v>#N/A</v>
      </c>
      <c r="HZR27" s="24" t="e">
        <v>#N/A</v>
      </c>
      <c r="HZS27" s="24" t="e">
        <v>#N/A</v>
      </c>
      <c r="HZT27" s="24" t="e">
        <v>#N/A</v>
      </c>
      <c r="HZU27" s="24" t="e">
        <v>#N/A</v>
      </c>
      <c r="HZV27" s="24" t="e">
        <v>#N/A</v>
      </c>
      <c r="HZW27" s="24" t="e">
        <v>#N/A</v>
      </c>
      <c r="HZX27" s="24" t="e">
        <v>#N/A</v>
      </c>
      <c r="HZY27" s="24" t="e">
        <v>#N/A</v>
      </c>
      <c r="HZZ27" s="24" t="e">
        <v>#N/A</v>
      </c>
      <c r="IAA27" s="24" t="e">
        <v>#N/A</v>
      </c>
      <c r="IAB27" s="24" t="e">
        <v>#N/A</v>
      </c>
      <c r="IAC27" s="24" t="e">
        <v>#N/A</v>
      </c>
      <c r="IAD27" s="24" t="e">
        <v>#N/A</v>
      </c>
      <c r="IAE27" s="24" t="e">
        <v>#N/A</v>
      </c>
      <c r="IAF27" s="24" t="e">
        <v>#N/A</v>
      </c>
      <c r="IAG27" s="24" t="e">
        <v>#N/A</v>
      </c>
      <c r="IAH27" s="24" t="e">
        <v>#N/A</v>
      </c>
      <c r="IAI27" s="24" t="e">
        <v>#N/A</v>
      </c>
      <c r="IAJ27" s="24" t="e">
        <v>#N/A</v>
      </c>
      <c r="IAK27" s="24" t="e">
        <v>#N/A</v>
      </c>
      <c r="IAL27" s="24" t="e">
        <v>#N/A</v>
      </c>
      <c r="IAM27" s="24" t="e">
        <v>#N/A</v>
      </c>
      <c r="IAN27" s="24" t="e">
        <v>#N/A</v>
      </c>
      <c r="IAO27" s="24" t="e">
        <v>#N/A</v>
      </c>
      <c r="IAP27" s="24" t="e">
        <v>#N/A</v>
      </c>
      <c r="IAQ27" s="24" t="e">
        <v>#N/A</v>
      </c>
      <c r="IAR27" s="24" t="e">
        <v>#N/A</v>
      </c>
      <c r="IAS27" s="24" t="e">
        <v>#N/A</v>
      </c>
      <c r="IAT27" s="24" t="e">
        <v>#N/A</v>
      </c>
      <c r="IAU27" s="24" t="e">
        <v>#N/A</v>
      </c>
      <c r="IAV27" s="24" t="e">
        <v>#N/A</v>
      </c>
      <c r="IAW27" s="24" t="e">
        <v>#N/A</v>
      </c>
      <c r="IAX27" s="24" t="e">
        <v>#N/A</v>
      </c>
      <c r="IAY27" s="24" t="e">
        <v>#N/A</v>
      </c>
      <c r="IAZ27" s="24" t="e">
        <v>#N/A</v>
      </c>
      <c r="IBA27" s="24" t="e">
        <v>#N/A</v>
      </c>
      <c r="IBB27" s="24" t="e">
        <v>#N/A</v>
      </c>
      <c r="IBC27" s="24" t="e">
        <v>#N/A</v>
      </c>
      <c r="IBD27" s="24" t="e">
        <v>#N/A</v>
      </c>
      <c r="IBE27" s="24" t="e">
        <v>#N/A</v>
      </c>
      <c r="IBF27" s="24" t="e">
        <v>#N/A</v>
      </c>
      <c r="IBG27" s="24" t="e">
        <v>#N/A</v>
      </c>
      <c r="IBH27" s="24" t="e">
        <v>#N/A</v>
      </c>
      <c r="IBI27" s="24" t="e">
        <v>#N/A</v>
      </c>
      <c r="IBJ27" s="24" t="e">
        <v>#N/A</v>
      </c>
      <c r="IBK27" s="24" t="e">
        <v>#N/A</v>
      </c>
      <c r="IBL27" s="24" t="e">
        <v>#N/A</v>
      </c>
      <c r="IBM27" s="24" t="e">
        <v>#N/A</v>
      </c>
      <c r="IBN27" s="24" t="e">
        <v>#N/A</v>
      </c>
      <c r="IBO27" s="24" t="e">
        <v>#N/A</v>
      </c>
      <c r="IBP27" s="24" t="e">
        <v>#N/A</v>
      </c>
      <c r="IBQ27" s="24" t="e">
        <v>#N/A</v>
      </c>
      <c r="IBR27" s="24" t="e">
        <v>#N/A</v>
      </c>
      <c r="IBS27" s="24" t="e">
        <v>#N/A</v>
      </c>
      <c r="IBT27" s="24" t="e">
        <v>#N/A</v>
      </c>
      <c r="IBU27" s="24" t="e">
        <v>#N/A</v>
      </c>
      <c r="IBV27" s="24" t="e">
        <v>#N/A</v>
      </c>
      <c r="IBW27" s="24" t="e">
        <v>#N/A</v>
      </c>
      <c r="IBX27" s="24" t="e">
        <v>#N/A</v>
      </c>
      <c r="IBY27" s="24" t="e">
        <v>#N/A</v>
      </c>
      <c r="IBZ27" s="24" t="e">
        <v>#N/A</v>
      </c>
      <c r="ICA27" s="24" t="e">
        <v>#N/A</v>
      </c>
      <c r="ICB27" s="24" t="e">
        <v>#N/A</v>
      </c>
      <c r="ICC27" s="24" t="e">
        <v>#N/A</v>
      </c>
      <c r="ICD27" s="24" t="e">
        <v>#N/A</v>
      </c>
      <c r="ICE27" s="24" t="e">
        <v>#N/A</v>
      </c>
      <c r="ICF27" s="24" t="e">
        <v>#N/A</v>
      </c>
      <c r="ICG27" s="24" t="e">
        <v>#N/A</v>
      </c>
      <c r="ICH27" s="24" t="e">
        <v>#N/A</v>
      </c>
      <c r="ICI27" s="24" t="e">
        <v>#N/A</v>
      </c>
      <c r="ICJ27" s="24" t="e">
        <v>#N/A</v>
      </c>
      <c r="ICK27" s="24" t="e">
        <v>#N/A</v>
      </c>
      <c r="ICL27" s="24" t="e">
        <v>#N/A</v>
      </c>
      <c r="ICM27" s="24" t="e">
        <v>#N/A</v>
      </c>
      <c r="ICN27" s="24" t="e">
        <v>#N/A</v>
      </c>
      <c r="ICO27" s="24" t="e">
        <v>#N/A</v>
      </c>
      <c r="ICP27" s="24" t="e">
        <v>#N/A</v>
      </c>
      <c r="ICQ27" s="24" t="e">
        <v>#N/A</v>
      </c>
      <c r="ICR27" s="24" t="e">
        <v>#N/A</v>
      </c>
      <c r="ICS27" s="24" t="e">
        <v>#N/A</v>
      </c>
      <c r="ICT27" s="24" t="e">
        <v>#N/A</v>
      </c>
      <c r="ICU27" s="24" t="e">
        <v>#N/A</v>
      </c>
      <c r="ICV27" s="24" t="e">
        <v>#N/A</v>
      </c>
      <c r="ICW27" s="24" t="e">
        <v>#N/A</v>
      </c>
      <c r="ICX27" s="24" t="e">
        <v>#N/A</v>
      </c>
      <c r="ICY27" s="24" t="e">
        <v>#N/A</v>
      </c>
      <c r="ICZ27" s="24" t="e">
        <v>#N/A</v>
      </c>
      <c r="IDA27" s="24" t="e">
        <v>#N/A</v>
      </c>
      <c r="IDB27" s="24" t="e">
        <v>#N/A</v>
      </c>
      <c r="IDC27" s="24" t="e">
        <v>#N/A</v>
      </c>
      <c r="IDD27" s="24" t="e">
        <v>#N/A</v>
      </c>
      <c r="IDE27" s="24" t="e">
        <v>#N/A</v>
      </c>
      <c r="IDF27" s="24" t="e">
        <v>#N/A</v>
      </c>
      <c r="IDG27" s="24" t="e">
        <v>#N/A</v>
      </c>
      <c r="IDH27" s="24" t="e">
        <v>#N/A</v>
      </c>
      <c r="IDI27" s="24" t="e">
        <v>#N/A</v>
      </c>
      <c r="IDJ27" s="24" t="e">
        <v>#N/A</v>
      </c>
      <c r="IDK27" s="24" t="e">
        <v>#N/A</v>
      </c>
      <c r="IDL27" s="24" t="e">
        <v>#N/A</v>
      </c>
      <c r="IDM27" s="24" t="e">
        <v>#N/A</v>
      </c>
      <c r="IDN27" s="24" t="e">
        <v>#N/A</v>
      </c>
      <c r="IDO27" s="24" t="e">
        <v>#N/A</v>
      </c>
      <c r="IDP27" s="24" t="e">
        <v>#N/A</v>
      </c>
      <c r="IDQ27" s="24" t="e">
        <v>#N/A</v>
      </c>
      <c r="IDR27" s="24" t="e">
        <v>#N/A</v>
      </c>
      <c r="IDS27" s="24" t="e">
        <v>#N/A</v>
      </c>
      <c r="IDT27" s="24" t="e">
        <v>#N/A</v>
      </c>
      <c r="IDU27" s="24" t="e">
        <v>#N/A</v>
      </c>
      <c r="IDV27" s="24" t="e">
        <v>#N/A</v>
      </c>
      <c r="IDW27" s="24" t="e">
        <v>#N/A</v>
      </c>
      <c r="IDX27" s="24" t="e">
        <v>#N/A</v>
      </c>
      <c r="IDY27" s="24" t="e">
        <v>#N/A</v>
      </c>
      <c r="IDZ27" s="24" t="e">
        <v>#N/A</v>
      </c>
      <c r="IEA27" s="24" t="e">
        <v>#N/A</v>
      </c>
      <c r="IEB27" s="24" t="e">
        <v>#N/A</v>
      </c>
      <c r="IEC27" s="24" t="e">
        <v>#N/A</v>
      </c>
      <c r="IED27" s="24" t="e">
        <v>#N/A</v>
      </c>
      <c r="IEE27" s="24" t="e">
        <v>#N/A</v>
      </c>
      <c r="IEF27" s="24" t="e">
        <v>#N/A</v>
      </c>
      <c r="IEG27" s="24" t="e">
        <v>#N/A</v>
      </c>
      <c r="IEH27" s="24" t="e">
        <v>#N/A</v>
      </c>
      <c r="IEI27" s="24" t="e">
        <v>#N/A</v>
      </c>
      <c r="IEJ27" s="24" t="e">
        <v>#N/A</v>
      </c>
      <c r="IEK27" s="24" t="e">
        <v>#N/A</v>
      </c>
      <c r="IEL27" s="24" t="e">
        <v>#N/A</v>
      </c>
      <c r="IEM27" s="24" t="e">
        <v>#N/A</v>
      </c>
      <c r="IEN27" s="24" t="e">
        <v>#N/A</v>
      </c>
      <c r="IEO27" s="24" t="e">
        <v>#N/A</v>
      </c>
      <c r="IEP27" s="24" t="e">
        <v>#N/A</v>
      </c>
      <c r="IEQ27" s="24" t="e">
        <v>#N/A</v>
      </c>
      <c r="IER27" s="24" t="e">
        <v>#N/A</v>
      </c>
      <c r="IES27" s="24" t="e">
        <v>#N/A</v>
      </c>
      <c r="IET27" s="24" t="e">
        <v>#N/A</v>
      </c>
      <c r="IEU27" s="24" t="e">
        <v>#N/A</v>
      </c>
      <c r="IEV27" s="24" t="e">
        <v>#N/A</v>
      </c>
      <c r="IEW27" s="24" t="e">
        <v>#N/A</v>
      </c>
      <c r="IEX27" s="24" t="e">
        <v>#N/A</v>
      </c>
      <c r="IEY27" s="24" t="e">
        <v>#N/A</v>
      </c>
      <c r="IEZ27" s="24" t="e">
        <v>#N/A</v>
      </c>
      <c r="IFA27" s="24" t="e">
        <v>#N/A</v>
      </c>
      <c r="IFB27" s="24" t="e">
        <v>#N/A</v>
      </c>
      <c r="IFC27" s="24" t="e">
        <v>#N/A</v>
      </c>
      <c r="IFD27" s="24" t="e">
        <v>#N/A</v>
      </c>
      <c r="IFE27" s="24" t="e">
        <v>#N/A</v>
      </c>
      <c r="IFF27" s="24" t="e">
        <v>#N/A</v>
      </c>
      <c r="IFG27" s="24" t="e">
        <v>#N/A</v>
      </c>
      <c r="IFH27" s="24" t="e">
        <v>#N/A</v>
      </c>
      <c r="IFI27" s="24" t="e">
        <v>#N/A</v>
      </c>
      <c r="IFJ27" s="24" t="e">
        <v>#N/A</v>
      </c>
      <c r="IFK27" s="24" t="e">
        <v>#N/A</v>
      </c>
      <c r="IFL27" s="24" t="e">
        <v>#N/A</v>
      </c>
      <c r="IFM27" s="24" t="e">
        <v>#N/A</v>
      </c>
      <c r="IFN27" s="24" t="e">
        <v>#N/A</v>
      </c>
      <c r="IFO27" s="24" t="e">
        <v>#N/A</v>
      </c>
      <c r="IFP27" s="24" t="e">
        <v>#N/A</v>
      </c>
      <c r="IFQ27" s="24" t="e">
        <v>#N/A</v>
      </c>
      <c r="IFR27" s="24" t="e">
        <v>#N/A</v>
      </c>
      <c r="IFS27" s="24" t="e">
        <v>#N/A</v>
      </c>
      <c r="IFT27" s="24" t="e">
        <v>#N/A</v>
      </c>
      <c r="IFU27" s="24" t="e">
        <v>#N/A</v>
      </c>
      <c r="IFV27" s="24" t="e">
        <v>#N/A</v>
      </c>
      <c r="IFW27" s="24" t="e">
        <v>#N/A</v>
      </c>
      <c r="IFX27" s="24" t="e">
        <v>#N/A</v>
      </c>
      <c r="IFY27" s="24" t="e">
        <v>#N/A</v>
      </c>
      <c r="IFZ27" s="24" t="e">
        <v>#N/A</v>
      </c>
      <c r="IGA27" s="24" t="e">
        <v>#N/A</v>
      </c>
      <c r="IGB27" s="24" t="e">
        <v>#N/A</v>
      </c>
      <c r="IGC27" s="24" t="e">
        <v>#N/A</v>
      </c>
      <c r="IGD27" s="24" t="e">
        <v>#N/A</v>
      </c>
      <c r="IGE27" s="24" t="e">
        <v>#N/A</v>
      </c>
      <c r="IGF27" s="24" t="e">
        <v>#N/A</v>
      </c>
      <c r="IGG27" s="24" t="e">
        <v>#N/A</v>
      </c>
      <c r="IGH27" s="24" t="e">
        <v>#N/A</v>
      </c>
      <c r="IGI27" s="24" t="e">
        <v>#N/A</v>
      </c>
      <c r="IGJ27" s="24" t="e">
        <v>#N/A</v>
      </c>
      <c r="IGK27" s="24" t="e">
        <v>#N/A</v>
      </c>
      <c r="IGL27" s="24" t="e">
        <v>#N/A</v>
      </c>
      <c r="IGM27" s="24" t="e">
        <v>#N/A</v>
      </c>
      <c r="IGN27" s="24" t="e">
        <v>#N/A</v>
      </c>
      <c r="IGO27" s="24" t="e">
        <v>#N/A</v>
      </c>
      <c r="IGP27" s="24" t="e">
        <v>#N/A</v>
      </c>
      <c r="IGQ27" s="24" t="e">
        <v>#N/A</v>
      </c>
      <c r="IGR27" s="24" t="e">
        <v>#N/A</v>
      </c>
      <c r="IGS27" s="24" t="e">
        <v>#N/A</v>
      </c>
      <c r="IGT27" s="24" t="e">
        <v>#N/A</v>
      </c>
      <c r="IGU27" s="24" t="e">
        <v>#N/A</v>
      </c>
      <c r="IGV27" s="24" t="e">
        <v>#N/A</v>
      </c>
      <c r="IGW27" s="24" t="e">
        <v>#N/A</v>
      </c>
      <c r="IGX27" s="24" t="e">
        <v>#N/A</v>
      </c>
      <c r="IGY27" s="24" t="e">
        <v>#N/A</v>
      </c>
      <c r="IGZ27" s="24" t="e">
        <v>#N/A</v>
      </c>
      <c r="IHA27" s="24" t="e">
        <v>#N/A</v>
      </c>
      <c r="IHB27" s="24" t="e">
        <v>#N/A</v>
      </c>
      <c r="IHC27" s="24" t="e">
        <v>#N/A</v>
      </c>
      <c r="IHD27" s="24" t="e">
        <v>#N/A</v>
      </c>
      <c r="IHE27" s="24" t="e">
        <v>#N/A</v>
      </c>
      <c r="IHF27" s="24" t="e">
        <v>#N/A</v>
      </c>
      <c r="IHG27" s="24" t="e">
        <v>#N/A</v>
      </c>
      <c r="IHH27" s="24" t="e">
        <v>#N/A</v>
      </c>
      <c r="IHI27" s="24" t="e">
        <v>#N/A</v>
      </c>
      <c r="IHJ27" s="24" t="e">
        <v>#N/A</v>
      </c>
      <c r="IHK27" s="24" t="e">
        <v>#N/A</v>
      </c>
      <c r="IHL27" s="24" t="e">
        <v>#N/A</v>
      </c>
      <c r="IHM27" s="24" t="e">
        <v>#N/A</v>
      </c>
      <c r="IHN27" s="24" t="e">
        <v>#N/A</v>
      </c>
      <c r="IHO27" s="24" t="e">
        <v>#N/A</v>
      </c>
      <c r="IHP27" s="24" t="e">
        <v>#N/A</v>
      </c>
      <c r="IHQ27" s="24" t="e">
        <v>#N/A</v>
      </c>
      <c r="IHR27" s="24" t="e">
        <v>#N/A</v>
      </c>
      <c r="IHS27" s="24" t="e">
        <v>#N/A</v>
      </c>
      <c r="IHT27" s="24" t="e">
        <v>#N/A</v>
      </c>
      <c r="IHU27" s="24" t="e">
        <v>#N/A</v>
      </c>
      <c r="IHV27" s="24" t="e">
        <v>#N/A</v>
      </c>
      <c r="IHW27" s="24" t="e">
        <v>#N/A</v>
      </c>
      <c r="IHX27" s="24" t="e">
        <v>#N/A</v>
      </c>
      <c r="IHY27" s="24" t="e">
        <v>#N/A</v>
      </c>
      <c r="IHZ27" s="24" t="e">
        <v>#N/A</v>
      </c>
      <c r="IIA27" s="24" t="e">
        <v>#N/A</v>
      </c>
      <c r="IIB27" s="24" t="e">
        <v>#N/A</v>
      </c>
      <c r="IIC27" s="24" t="e">
        <v>#N/A</v>
      </c>
      <c r="IID27" s="24" t="e">
        <v>#N/A</v>
      </c>
      <c r="IIE27" s="24" t="e">
        <v>#N/A</v>
      </c>
      <c r="IIF27" s="24" t="e">
        <v>#N/A</v>
      </c>
      <c r="IIG27" s="24" t="e">
        <v>#N/A</v>
      </c>
      <c r="IIH27" s="24" t="e">
        <v>#N/A</v>
      </c>
      <c r="III27" s="24" t="e">
        <v>#N/A</v>
      </c>
      <c r="IIJ27" s="24" t="e">
        <v>#N/A</v>
      </c>
      <c r="IIK27" s="24" t="e">
        <v>#N/A</v>
      </c>
      <c r="IIL27" s="24" t="e">
        <v>#N/A</v>
      </c>
      <c r="IIM27" s="24" t="e">
        <v>#N/A</v>
      </c>
      <c r="IIN27" s="24" t="e">
        <v>#N/A</v>
      </c>
      <c r="IIO27" s="24" t="e">
        <v>#N/A</v>
      </c>
      <c r="IIP27" s="24" t="e">
        <v>#N/A</v>
      </c>
      <c r="IIQ27" s="24" t="e">
        <v>#N/A</v>
      </c>
      <c r="IIR27" s="24" t="e">
        <v>#N/A</v>
      </c>
      <c r="IIS27" s="24" t="e">
        <v>#N/A</v>
      </c>
      <c r="IIT27" s="24" t="e">
        <v>#N/A</v>
      </c>
      <c r="IIU27" s="24" t="e">
        <v>#N/A</v>
      </c>
      <c r="IIV27" s="24" t="e">
        <v>#N/A</v>
      </c>
      <c r="IIW27" s="24" t="e">
        <v>#N/A</v>
      </c>
      <c r="IIX27" s="24" t="e">
        <v>#N/A</v>
      </c>
      <c r="IIY27" s="24" t="e">
        <v>#N/A</v>
      </c>
      <c r="IIZ27" s="24" t="e">
        <v>#N/A</v>
      </c>
      <c r="IJA27" s="24" t="e">
        <v>#N/A</v>
      </c>
      <c r="IJB27" s="24" t="e">
        <v>#N/A</v>
      </c>
      <c r="IJC27" s="24" t="e">
        <v>#N/A</v>
      </c>
      <c r="IJD27" s="24" t="e">
        <v>#N/A</v>
      </c>
      <c r="IJE27" s="24" t="e">
        <v>#N/A</v>
      </c>
      <c r="IJF27" s="24" t="e">
        <v>#N/A</v>
      </c>
      <c r="IJG27" s="24" t="e">
        <v>#N/A</v>
      </c>
      <c r="IJH27" s="24" t="e">
        <v>#N/A</v>
      </c>
      <c r="IJI27" s="24" t="e">
        <v>#N/A</v>
      </c>
      <c r="IJJ27" s="24" t="e">
        <v>#N/A</v>
      </c>
      <c r="IJK27" s="24" t="e">
        <v>#N/A</v>
      </c>
      <c r="IJL27" s="24" t="e">
        <v>#N/A</v>
      </c>
      <c r="IJM27" s="24" t="e">
        <v>#N/A</v>
      </c>
      <c r="IJN27" s="24" t="e">
        <v>#N/A</v>
      </c>
      <c r="IJO27" s="24" t="e">
        <v>#N/A</v>
      </c>
      <c r="IJP27" s="24" t="e">
        <v>#N/A</v>
      </c>
      <c r="IJQ27" s="24" t="e">
        <v>#N/A</v>
      </c>
      <c r="IJR27" s="24" t="e">
        <v>#N/A</v>
      </c>
      <c r="IJS27" s="24" t="e">
        <v>#N/A</v>
      </c>
      <c r="IJT27" s="24" t="e">
        <v>#N/A</v>
      </c>
      <c r="IJU27" s="24" t="e">
        <v>#N/A</v>
      </c>
      <c r="IJV27" s="24" t="e">
        <v>#N/A</v>
      </c>
      <c r="IJW27" s="24" t="e">
        <v>#N/A</v>
      </c>
      <c r="IJX27" s="24" t="e">
        <v>#N/A</v>
      </c>
      <c r="IJY27" s="24" t="e">
        <v>#N/A</v>
      </c>
      <c r="IJZ27" s="24" t="e">
        <v>#N/A</v>
      </c>
      <c r="IKA27" s="24" t="e">
        <v>#N/A</v>
      </c>
      <c r="IKB27" s="24" t="e">
        <v>#N/A</v>
      </c>
      <c r="IKC27" s="24" t="e">
        <v>#N/A</v>
      </c>
      <c r="IKD27" s="24" t="e">
        <v>#N/A</v>
      </c>
      <c r="IKE27" s="24" t="e">
        <v>#N/A</v>
      </c>
      <c r="IKF27" s="24" t="e">
        <v>#N/A</v>
      </c>
      <c r="IKG27" s="24" t="e">
        <v>#N/A</v>
      </c>
      <c r="IKH27" s="24" t="e">
        <v>#N/A</v>
      </c>
      <c r="IKI27" s="24" t="e">
        <v>#N/A</v>
      </c>
      <c r="IKJ27" s="24" t="e">
        <v>#N/A</v>
      </c>
      <c r="IKK27" s="24" t="e">
        <v>#N/A</v>
      </c>
      <c r="IKL27" s="24" t="e">
        <v>#N/A</v>
      </c>
      <c r="IKM27" s="24" t="e">
        <v>#N/A</v>
      </c>
      <c r="IKN27" s="24" t="e">
        <v>#N/A</v>
      </c>
      <c r="IKO27" s="24" t="e">
        <v>#N/A</v>
      </c>
      <c r="IKP27" s="24" t="e">
        <v>#N/A</v>
      </c>
      <c r="IKQ27" s="24" t="e">
        <v>#N/A</v>
      </c>
      <c r="IKR27" s="24" t="e">
        <v>#N/A</v>
      </c>
      <c r="IKS27" s="24" t="e">
        <v>#N/A</v>
      </c>
      <c r="IKT27" s="24" t="e">
        <v>#N/A</v>
      </c>
      <c r="IKU27" s="24" t="e">
        <v>#N/A</v>
      </c>
      <c r="IKV27" s="24" t="e">
        <v>#N/A</v>
      </c>
      <c r="IKW27" s="24" t="e">
        <v>#N/A</v>
      </c>
      <c r="IKX27" s="24" t="e">
        <v>#N/A</v>
      </c>
      <c r="IKY27" s="24" t="e">
        <v>#N/A</v>
      </c>
      <c r="IKZ27" s="24" t="e">
        <v>#N/A</v>
      </c>
      <c r="ILA27" s="24" t="e">
        <v>#N/A</v>
      </c>
      <c r="ILB27" s="24" t="e">
        <v>#N/A</v>
      </c>
      <c r="ILC27" s="24" t="e">
        <v>#N/A</v>
      </c>
      <c r="ILD27" s="24" t="e">
        <v>#N/A</v>
      </c>
      <c r="ILE27" s="24" t="e">
        <v>#N/A</v>
      </c>
      <c r="ILF27" s="24" t="e">
        <v>#N/A</v>
      </c>
      <c r="ILG27" s="24" t="e">
        <v>#N/A</v>
      </c>
      <c r="ILH27" s="24" t="e">
        <v>#N/A</v>
      </c>
      <c r="ILI27" s="24" t="e">
        <v>#N/A</v>
      </c>
      <c r="ILJ27" s="24" t="e">
        <v>#N/A</v>
      </c>
      <c r="ILK27" s="24" t="e">
        <v>#N/A</v>
      </c>
      <c r="ILL27" s="24" t="e">
        <v>#N/A</v>
      </c>
      <c r="ILM27" s="24" t="e">
        <v>#N/A</v>
      </c>
      <c r="ILN27" s="24" t="e">
        <v>#N/A</v>
      </c>
      <c r="ILO27" s="24" t="e">
        <v>#N/A</v>
      </c>
      <c r="ILP27" s="24" t="e">
        <v>#N/A</v>
      </c>
      <c r="ILQ27" s="24" t="e">
        <v>#N/A</v>
      </c>
      <c r="ILR27" s="24" t="e">
        <v>#N/A</v>
      </c>
      <c r="ILS27" s="24" t="e">
        <v>#N/A</v>
      </c>
      <c r="ILT27" s="24" t="e">
        <v>#N/A</v>
      </c>
      <c r="ILU27" s="24" t="e">
        <v>#N/A</v>
      </c>
      <c r="ILV27" s="24" t="e">
        <v>#N/A</v>
      </c>
      <c r="ILW27" s="24" t="e">
        <v>#N/A</v>
      </c>
      <c r="ILX27" s="24" t="e">
        <v>#N/A</v>
      </c>
      <c r="ILY27" s="24" t="e">
        <v>#N/A</v>
      </c>
      <c r="ILZ27" s="24" t="e">
        <v>#N/A</v>
      </c>
      <c r="IMA27" s="24" t="e">
        <v>#N/A</v>
      </c>
      <c r="IMB27" s="24" t="e">
        <v>#N/A</v>
      </c>
      <c r="IMC27" s="24" t="e">
        <v>#N/A</v>
      </c>
      <c r="IMD27" s="24" t="e">
        <v>#N/A</v>
      </c>
      <c r="IME27" s="24" t="e">
        <v>#N/A</v>
      </c>
      <c r="IMF27" s="24" t="e">
        <v>#N/A</v>
      </c>
      <c r="IMG27" s="24" t="e">
        <v>#N/A</v>
      </c>
      <c r="IMH27" s="24" t="e">
        <v>#N/A</v>
      </c>
      <c r="IMI27" s="24" t="e">
        <v>#N/A</v>
      </c>
      <c r="IMJ27" s="24" t="e">
        <v>#N/A</v>
      </c>
      <c r="IMK27" s="24" t="e">
        <v>#N/A</v>
      </c>
      <c r="IML27" s="24" t="e">
        <v>#N/A</v>
      </c>
      <c r="IMM27" s="24" t="e">
        <v>#N/A</v>
      </c>
      <c r="IMN27" s="24" t="e">
        <v>#N/A</v>
      </c>
      <c r="IMO27" s="24" t="e">
        <v>#N/A</v>
      </c>
      <c r="IMP27" s="24" t="e">
        <v>#N/A</v>
      </c>
      <c r="IMQ27" s="24" t="e">
        <v>#N/A</v>
      </c>
      <c r="IMR27" s="24" t="e">
        <v>#N/A</v>
      </c>
      <c r="IMS27" s="24" t="e">
        <v>#N/A</v>
      </c>
      <c r="IMT27" s="24" t="e">
        <v>#N/A</v>
      </c>
      <c r="IMU27" s="24" t="e">
        <v>#N/A</v>
      </c>
      <c r="IMV27" s="24" t="e">
        <v>#N/A</v>
      </c>
      <c r="IMW27" s="24" t="e">
        <v>#N/A</v>
      </c>
      <c r="IMX27" s="24" t="e">
        <v>#N/A</v>
      </c>
      <c r="IMY27" s="24" t="e">
        <v>#N/A</v>
      </c>
      <c r="IMZ27" s="24" t="e">
        <v>#N/A</v>
      </c>
      <c r="INA27" s="24" t="e">
        <v>#N/A</v>
      </c>
      <c r="INB27" s="24" t="e">
        <v>#N/A</v>
      </c>
      <c r="INC27" s="24" t="e">
        <v>#N/A</v>
      </c>
      <c r="IND27" s="24" t="e">
        <v>#N/A</v>
      </c>
      <c r="INE27" s="24" t="e">
        <v>#N/A</v>
      </c>
      <c r="INF27" s="24" t="e">
        <v>#N/A</v>
      </c>
      <c r="ING27" s="24" t="e">
        <v>#N/A</v>
      </c>
      <c r="INH27" s="24" t="e">
        <v>#N/A</v>
      </c>
      <c r="INI27" s="24" t="e">
        <v>#N/A</v>
      </c>
      <c r="INJ27" s="24" t="e">
        <v>#N/A</v>
      </c>
      <c r="INK27" s="24" t="e">
        <v>#N/A</v>
      </c>
      <c r="INL27" s="24" t="e">
        <v>#N/A</v>
      </c>
      <c r="INM27" s="24" t="e">
        <v>#N/A</v>
      </c>
      <c r="INN27" s="24" t="e">
        <v>#N/A</v>
      </c>
      <c r="INO27" s="24" t="e">
        <v>#N/A</v>
      </c>
      <c r="INP27" s="24" t="e">
        <v>#N/A</v>
      </c>
      <c r="INQ27" s="24" t="e">
        <v>#N/A</v>
      </c>
      <c r="INR27" s="24" t="e">
        <v>#N/A</v>
      </c>
      <c r="INS27" s="24" t="e">
        <v>#N/A</v>
      </c>
      <c r="INT27" s="24" t="e">
        <v>#N/A</v>
      </c>
      <c r="INU27" s="24" t="e">
        <v>#N/A</v>
      </c>
      <c r="INV27" s="24" t="e">
        <v>#N/A</v>
      </c>
      <c r="INW27" s="24" t="e">
        <v>#N/A</v>
      </c>
      <c r="INX27" s="24" t="e">
        <v>#N/A</v>
      </c>
      <c r="INY27" s="24" t="e">
        <v>#N/A</v>
      </c>
      <c r="INZ27" s="24" t="e">
        <v>#N/A</v>
      </c>
      <c r="IOA27" s="24" t="e">
        <v>#N/A</v>
      </c>
      <c r="IOB27" s="24" t="e">
        <v>#N/A</v>
      </c>
      <c r="IOC27" s="24" t="e">
        <v>#N/A</v>
      </c>
      <c r="IOD27" s="24" t="e">
        <v>#N/A</v>
      </c>
      <c r="IOE27" s="24" t="e">
        <v>#N/A</v>
      </c>
      <c r="IOF27" s="24" t="e">
        <v>#N/A</v>
      </c>
      <c r="IOG27" s="24" t="e">
        <v>#N/A</v>
      </c>
      <c r="IOH27" s="24" t="e">
        <v>#N/A</v>
      </c>
      <c r="IOI27" s="24" t="e">
        <v>#N/A</v>
      </c>
      <c r="IOJ27" s="24" t="e">
        <v>#N/A</v>
      </c>
      <c r="IOK27" s="24" t="e">
        <v>#N/A</v>
      </c>
      <c r="IOL27" s="24" t="e">
        <v>#N/A</v>
      </c>
      <c r="IOM27" s="24" t="e">
        <v>#N/A</v>
      </c>
      <c r="ION27" s="24" t="e">
        <v>#N/A</v>
      </c>
      <c r="IOO27" s="24" t="e">
        <v>#N/A</v>
      </c>
      <c r="IOP27" s="24" t="e">
        <v>#N/A</v>
      </c>
      <c r="IOQ27" s="24" t="e">
        <v>#N/A</v>
      </c>
      <c r="IOR27" s="24" t="e">
        <v>#N/A</v>
      </c>
      <c r="IOS27" s="24" t="e">
        <v>#N/A</v>
      </c>
      <c r="IOT27" s="24" t="e">
        <v>#N/A</v>
      </c>
      <c r="IOU27" s="24" t="e">
        <v>#N/A</v>
      </c>
      <c r="IOV27" s="24" t="e">
        <v>#N/A</v>
      </c>
      <c r="IOW27" s="24" t="e">
        <v>#N/A</v>
      </c>
      <c r="IOX27" s="24" t="e">
        <v>#N/A</v>
      </c>
      <c r="IOY27" s="24" t="e">
        <v>#N/A</v>
      </c>
      <c r="IOZ27" s="24" t="e">
        <v>#N/A</v>
      </c>
      <c r="IPA27" s="24" t="e">
        <v>#N/A</v>
      </c>
      <c r="IPB27" s="24" t="e">
        <v>#N/A</v>
      </c>
      <c r="IPC27" s="24" t="e">
        <v>#N/A</v>
      </c>
      <c r="IPD27" s="24" t="e">
        <v>#N/A</v>
      </c>
      <c r="IPE27" s="24" t="e">
        <v>#N/A</v>
      </c>
      <c r="IPF27" s="24" t="e">
        <v>#N/A</v>
      </c>
      <c r="IPG27" s="24" t="e">
        <v>#N/A</v>
      </c>
      <c r="IPH27" s="24" t="e">
        <v>#N/A</v>
      </c>
      <c r="IPI27" s="24" t="e">
        <v>#N/A</v>
      </c>
      <c r="IPJ27" s="24" t="e">
        <v>#N/A</v>
      </c>
      <c r="IPK27" s="24" t="e">
        <v>#N/A</v>
      </c>
      <c r="IPL27" s="24" t="e">
        <v>#N/A</v>
      </c>
      <c r="IPM27" s="24" t="e">
        <v>#N/A</v>
      </c>
      <c r="IPN27" s="24" t="e">
        <v>#N/A</v>
      </c>
      <c r="IPO27" s="24" t="e">
        <v>#N/A</v>
      </c>
      <c r="IPP27" s="24" t="e">
        <v>#N/A</v>
      </c>
      <c r="IPQ27" s="24" t="e">
        <v>#N/A</v>
      </c>
      <c r="IPR27" s="24" t="e">
        <v>#N/A</v>
      </c>
      <c r="IPS27" s="24" t="e">
        <v>#N/A</v>
      </c>
      <c r="IPT27" s="24" t="e">
        <v>#N/A</v>
      </c>
      <c r="IPU27" s="24" t="e">
        <v>#N/A</v>
      </c>
      <c r="IPV27" s="24" t="e">
        <v>#N/A</v>
      </c>
      <c r="IPW27" s="24" t="e">
        <v>#N/A</v>
      </c>
      <c r="IPX27" s="24" t="e">
        <v>#N/A</v>
      </c>
      <c r="IPY27" s="24" t="e">
        <v>#N/A</v>
      </c>
      <c r="IPZ27" s="24" t="e">
        <v>#N/A</v>
      </c>
      <c r="IQA27" s="24" t="e">
        <v>#N/A</v>
      </c>
      <c r="IQB27" s="24" t="e">
        <v>#N/A</v>
      </c>
      <c r="IQC27" s="24" t="e">
        <v>#N/A</v>
      </c>
      <c r="IQD27" s="24" t="e">
        <v>#N/A</v>
      </c>
      <c r="IQE27" s="24" t="e">
        <v>#N/A</v>
      </c>
      <c r="IQF27" s="24" t="e">
        <v>#N/A</v>
      </c>
      <c r="IQG27" s="24" t="e">
        <v>#N/A</v>
      </c>
      <c r="IQH27" s="24" t="e">
        <v>#N/A</v>
      </c>
      <c r="IQI27" s="24" t="e">
        <v>#N/A</v>
      </c>
      <c r="IQJ27" s="24" t="e">
        <v>#N/A</v>
      </c>
      <c r="IQK27" s="24" t="e">
        <v>#N/A</v>
      </c>
      <c r="IQL27" s="24" t="e">
        <v>#N/A</v>
      </c>
      <c r="IQM27" s="24" t="e">
        <v>#N/A</v>
      </c>
      <c r="IQN27" s="24" t="e">
        <v>#N/A</v>
      </c>
      <c r="IQO27" s="24" t="e">
        <v>#N/A</v>
      </c>
      <c r="IQP27" s="24" t="e">
        <v>#N/A</v>
      </c>
      <c r="IQQ27" s="24" t="e">
        <v>#N/A</v>
      </c>
      <c r="IQR27" s="24" t="e">
        <v>#N/A</v>
      </c>
      <c r="IQS27" s="24" t="e">
        <v>#N/A</v>
      </c>
      <c r="IQT27" s="24" t="e">
        <v>#N/A</v>
      </c>
      <c r="IQU27" s="24" t="e">
        <v>#N/A</v>
      </c>
      <c r="IQV27" s="24" t="e">
        <v>#N/A</v>
      </c>
      <c r="IQW27" s="24" t="e">
        <v>#N/A</v>
      </c>
      <c r="IQX27" s="24" t="e">
        <v>#N/A</v>
      </c>
      <c r="IQY27" s="24" t="e">
        <v>#N/A</v>
      </c>
      <c r="IQZ27" s="24" t="e">
        <v>#N/A</v>
      </c>
      <c r="IRA27" s="24" t="e">
        <v>#N/A</v>
      </c>
      <c r="IRB27" s="24" t="e">
        <v>#N/A</v>
      </c>
      <c r="IRC27" s="24" t="e">
        <v>#N/A</v>
      </c>
      <c r="IRD27" s="24" t="e">
        <v>#N/A</v>
      </c>
      <c r="IRE27" s="24" t="e">
        <v>#N/A</v>
      </c>
      <c r="IRF27" s="24" t="e">
        <v>#N/A</v>
      </c>
      <c r="IRG27" s="24" t="e">
        <v>#N/A</v>
      </c>
      <c r="IRH27" s="24" t="e">
        <v>#N/A</v>
      </c>
      <c r="IRI27" s="24" t="e">
        <v>#N/A</v>
      </c>
      <c r="IRJ27" s="24" t="e">
        <v>#N/A</v>
      </c>
      <c r="IRK27" s="24" t="e">
        <v>#N/A</v>
      </c>
      <c r="IRL27" s="24" t="e">
        <v>#N/A</v>
      </c>
      <c r="IRM27" s="24" t="e">
        <v>#N/A</v>
      </c>
      <c r="IRN27" s="24" t="e">
        <v>#N/A</v>
      </c>
      <c r="IRO27" s="24" t="e">
        <v>#N/A</v>
      </c>
      <c r="IRP27" s="24" t="e">
        <v>#N/A</v>
      </c>
      <c r="IRQ27" s="24" t="e">
        <v>#N/A</v>
      </c>
      <c r="IRR27" s="24" t="e">
        <v>#N/A</v>
      </c>
      <c r="IRS27" s="24" t="e">
        <v>#N/A</v>
      </c>
      <c r="IRT27" s="24" t="e">
        <v>#N/A</v>
      </c>
      <c r="IRU27" s="24" t="e">
        <v>#N/A</v>
      </c>
      <c r="IRV27" s="24" t="e">
        <v>#N/A</v>
      </c>
      <c r="IRW27" s="24" t="e">
        <v>#N/A</v>
      </c>
      <c r="IRX27" s="24" t="e">
        <v>#N/A</v>
      </c>
      <c r="IRY27" s="24" t="e">
        <v>#N/A</v>
      </c>
      <c r="IRZ27" s="24" t="e">
        <v>#N/A</v>
      </c>
      <c r="ISA27" s="24" t="e">
        <v>#N/A</v>
      </c>
      <c r="ISB27" s="24" t="e">
        <v>#N/A</v>
      </c>
      <c r="ISC27" s="24" t="e">
        <v>#N/A</v>
      </c>
      <c r="ISD27" s="24" t="e">
        <v>#N/A</v>
      </c>
      <c r="ISE27" s="24" t="e">
        <v>#N/A</v>
      </c>
      <c r="ISF27" s="24" t="e">
        <v>#N/A</v>
      </c>
      <c r="ISG27" s="24" t="e">
        <v>#N/A</v>
      </c>
      <c r="ISH27" s="24" t="e">
        <v>#N/A</v>
      </c>
      <c r="ISI27" s="24" t="e">
        <v>#N/A</v>
      </c>
      <c r="ISJ27" s="24" t="e">
        <v>#N/A</v>
      </c>
      <c r="ISK27" s="24" t="e">
        <v>#N/A</v>
      </c>
      <c r="ISL27" s="24" t="e">
        <v>#N/A</v>
      </c>
      <c r="ISM27" s="24" t="e">
        <v>#N/A</v>
      </c>
      <c r="ISN27" s="24" t="e">
        <v>#N/A</v>
      </c>
      <c r="ISO27" s="24" t="e">
        <v>#N/A</v>
      </c>
      <c r="ISP27" s="24" t="e">
        <v>#N/A</v>
      </c>
      <c r="ISQ27" s="24" t="e">
        <v>#N/A</v>
      </c>
      <c r="ISR27" s="24" t="e">
        <v>#N/A</v>
      </c>
      <c r="ISS27" s="24" t="e">
        <v>#N/A</v>
      </c>
      <c r="IST27" s="24" t="e">
        <v>#N/A</v>
      </c>
      <c r="ISU27" s="24" t="e">
        <v>#N/A</v>
      </c>
      <c r="ISV27" s="24" t="e">
        <v>#N/A</v>
      </c>
      <c r="ISW27" s="24" t="e">
        <v>#N/A</v>
      </c>
      <c r="ISX27" s="24" t="e">
        <v>#N/A</v>
      </c>
      <c r="ISY27" s="24" t="e">
        <v>#N/A</v>
      </c>
      <c r="ISZ27" s="24" t="e">
        <v>#N/A</v>
      </c>
      <c r="ITA27" s="24" t="e">
        <v>#N/A</v>
      </c>
      <c r="ITB27" s="24" t="e">
        <v>#N/A</v>
      </c>
      <c r="ITC27" s="24" t="e">
        <v>#N/A</v>
      </c>
      <c r="ITD27" s="24" t="e">
        <v>#N/A</v>
      </c>
      <c r="ITE27" s="24" t="e">
        <v>#N/A</v>
      </c>
      <c r="ITF27" s="24" t="e">
        <v>#N/A</v>
      </c>
      <c r="ITG27" s="24" t="e">
        <v>#N/A</v>
      </c>
      <c r="ITH27" s="24" t="e">
        <v>#N/A</v>
      </c>
      <c r="ITI27" s="24" t="e">
        <v>#N/A</v>
      </c>
      <c r="ITJ27" s="24" t="e">
        <v>#N/A</v>
      </c>
      <c r="ITK27" s="24" t="e">
        <v>#N/A</v>
      </c>
      <c r="ITL27" s="24" t="e">
        <v>#N/A</v>
      </c>
      <c r="ITM27" s="24" t="e">
        <v>#N/A</v>
      </c>
      <c r="ITN27" s="24" t="e">
        <v>#N/A</v>
      </c>
      <c r="ITO27" s="24" t="e">
        <v>#N/A</v>
      </c>
      <c r="ITP27" s="24" t="e">
        <v>#N/A</v>
      </c>
      <c r="ITQ27" s="24" t="e">
        <v>#N/A</v>
      </c>
      <c r="ITR27" s="24" t="e">
        <v>#N/A</v>
      </c>
      <c r="ITS27" s="24" t="e">
        <v>#N/A</v>
      </c>
      <c r="ITT27" s="24" t="e">
        <v>#N/A</v>
      </c>
      <c r="ITU27" s="24" t="e">
        <v>#N/A</v>
      </c>
      <c r="ITV27" s="24" t="e">
        <v>#N/A</v>
      </c>
      <c r="ITW27" s="24" t="e">
        <v>#N/A</v>
      </c>
      <c r="ITX27" s="24" t="e">
        <v>#N/A</v>
      </c>
      <c r="ITY27" s="24" t="e">
        <v>#N/A</v>
      </c>
      <c r="ITZ27" s="24" t="e">
        <v>#N/A</v>
      </c>
      <c r="IUA27" s="24" t="e">
        <v>#N/A</v>
      </c>
      <c r="IUB27" s="24" t="e">
        <v>#N/A</v>
      </c>
      <c r="IUC27" s="24" t="e">
        <v>#N/A</v>
      </c>
      <c r="IUD27" s="24" t="e">
        <v>#N/A</v>
      </c>
      <c r="IUE27" s="24" t="e">
        <v>#N/A</v>
      </c>
      <c r="IUF27" s="24" t="e">
        <v>#N/A</v>
      </c>
      <c r="IUG27" s="24" t="e">
        <v>#N/A</v>
      </c>
      <c r="IUH27" s="24" t="e">
        <v>#N/A</v>
      </c>
      <c r="IUI27" s="24" t="e">
        <v>#N/A</v>
      </c>
      <c r="IUJ27" s="24" t="e">
        <v>#N/A</v>
      </c>
      <c r="IUK27" s="24" t="e">
        <v>#N/A</v>
      </c>
      <c r="IUL27" s="24" t="e">
        <v>#N/A</v>
      </c>
      <c r="IUM27" s="24" t="e">
        <v>#N/A</v>
      </c>
      <c r="IUN27" s="24" t="e">
        <v>#N/A</v>
      </c>
      <c r="IUO27" s="24" t="e">
        <v>#N/A</v>
      </c>
      <c r="IUP27" s="24" t="e">
        <v>#N/A</v>
      </c>
      <c r="IUQ27" s="24" t="e">
        <v>#N/A</v>
      </c>
      <c r="IUR27" s="24" t="e">
        <v>#N/A</v>
      </c>
      <c r="IUS27" s="24" t="e">
        <v>#N/A</v>
      </c>
      <c r="IUT27" s="24" t="e">
        <v>#N/A</v>
      </c>
      <c r="IUU27" s="24" t="e">
        <v>#N/A</v>
      </c>
      <c r="IUV27" s="24" t="e">
        <v>#N/A</v>
      </c>
      <c r="IUW27" s="24" t="e">
        <v>#N/A</v>
      </c>
      <c r="IUX27" s="24" t="e">
        <v>#N/A</v>
      </c>
      <c r="IUY27" s="24" t="e">
        <v>#N/A</v>
      </c>
      <c r="IUZ27" s="24" t="e">
        <v>#N/A</v>
      </c>
      <c r="IVA27" s="24" t="e">
        <v>#N/A</v>
      </c>
      <c r="IVB27" s="24" t="e">
        <v>#N/A</v>
      </c>
      <c r="IVC27" s="24" t="e">
        <v>#N/A</v>
      </c>
      <c r="IVD27" s="24" t="e">
        <v>#N/A</v>
      </c>
      <c r="IVE27" s="24" t="e">
        <v>#N/A</v>
      </c>
      <c r="IVF27" s="24" t="e">
        <v>#N/A</v>
      </c>
      <c r="IVG27" s="24" t="e">
        <v>#N/A</v>
      </c>
      <c r="IVH27" s="24" t="e">
        <v>#N/A</v>
      </c>
      <c r="IVI27" s="24" t="e">
        <v>#N/A</v>
      </c>
      <c r="IVJ27" s="24" t="e">
        <v>#N/A</v>
      </c>
      <c r="IVK27" s="24" t="e">
        <v>#N/A</v>
      </c>
      <c r="IVL27" s="24" t="e">
        <v>#N/A</v>
      </c>
      <c r="IVM27" s="24" t="e">
        <v>#N/A</v>
      </c>
      <c r="IVN27" s="24" t="e">
        <v>#N/A</v>
      </c>
      <c r="IVO27" s="24" t="e">
        <v>#N/A</v>
      </c>
      <c r="IVP27" s="24" t="e">
        <v>#N/A</v>
      </c>
      <c r="IVQ27" s="24" t="e">
        <v>#N/A</v>
      </c>
      <c r="IVR27" s="24" t="e">
        <v>#N/A</v>
      </c>
      <c r="IVS27" s="24" t="e">
        <v>#N/A</v>
      </c>
      <c r="IVT27" s="24" t="e">
        <v>#N/A</v>
      </c>
      <c r="IVU27" s="24" t="e">
        <v>#N/A</v>
      </c>
      <c r="IVV27" s="24" t="e">
        <v>#N/A</v>
      </c>
      <c r="IVW27" s="24" t="e">
        <v>#N/A</v>
      </c>
      <c r="IVX27" s="24" t="e">
        <v>#N/A</v>
      </c>
      <c r="IVY27" s="24" t="e">
        <v>#N/A</v>
      </c>
      <c r="IVZ27" s="24" t="e">
        <v>#N/A</v>
      </c>
      <c r="IWA27" s="24" t="e">
        <v>#N/A</v>
      </c>
      <c r="IWB27" s="24" t="e">
        <v>#N/A</v>
      </c>
      <c r="IWC27" s="24" t="e">
        <v>#N/A</v>
      </c>
      <c r="IWD27" s="24" t="e">
        <v>#N/A</v>
      </c>
      <c r="IWE27" s="24" t="e">
        <v>#N/A</v>
      </c>
      <c r="IWF27" s="24" t="e">
        <v>#N/A</v>
      </c>
      <c r="IWG27" s="24" t="e">
        <v>#N/A</v>
      </c>
      <c r="IWH27" s="24" t="e">
        <v>#N/A</v>
      </c>
      <c r="IWI27" s="24" t="e">
        <v>#N/A</v>
      </c>
      <c r="IWJ27" s="24" t="e">
        <v>#N/A</v>
      </c>
      <c r="IWK27" s="24" t="e">
        <v>#N/A</v>
      </c>
      <c r="IWL27" s="24" t="e">
        <v>#N/A</v>
      </c>
      <c r="IWM27" s="24" t="e">
        <v>#N/A</v>
      </c>
      <c r="IWN27" s="24" t="e">
        <v>#N/A</v>
      </c>
      <c r="IWO27" s="24" t="e">
        <v>#N/A</v>
      </c>
      <c r="IWP27" s="24" t="e">
        <v>#N/A</v>
      </c>
      <c r="IWQ27" s="24" t="e">
        <v>#N/A</v>
      </c>
      <c r="IWR27" s="24" t="e">
        <v>#N/A</v>
      </c>
      <c r="IWS27" s="24" t="e">
        <v>#N/A</v>
      </c>
      <c r="IWT27" s="24" t="e">
        <v>#N/A</v>
      </c>
      <c r="IWU27" s="24" t="e">
        <v>#N/A</v>
      </c>
      <c r="IWV27" s="24" t="e">
        <v>#N/A</v>
      </c>
      <c r="IWW27" s="24" t="e">
        <v>#N/A</v>
      </c>
      <c r="IWX27" s="24" t="e">
        <v>#N/A</v>
      </c>
      <c r="IWY27" s="24" t="e">
        <v>#N/A</v>
      </c>
      <c r="IWZ27" s="24" t="e">
        <v>#N/A</v>
      </c>
      <c r="IXA27" s="24" t="e">
        <v>#N/A</v>
      </c>
      <c r="IXB27" s="24" t="e">
        <v>#N/A</v>
      </c>
      <c r="IXC27" s="24" t="e">
        <v>#N/A</v>
      </c>
      <c r="IXD27" s="24" t="e">
        <v>#N/A</v>
      </c>
      <c r="IXE27" s="24" t="e">
        <v>#N/A</v>
      </c>
      <c r="IXF27" s="24" t="e">
        <v>#N/A</v>
      </c>
      <c r="IXG27" s="24" t="e">
        <v>#N/A</v>
      </c>
      <c r="IXH27" s="24" t="e">
        <v>#N/A</v>
      </c>
      <c r="IXI27" s="24" t="e">
        <v>#N/A</v>
      </c>
      <c r="IXJ27" s="24" t="e">
        <v>#N/A</v>
      </c>
      <c r="IXK27" s="24" t="e">
        <v>#N/A</v>
      </c>
      <c r="IXL27" s="24" t="e">
        <v>#N/A</v>
      </c>
      <c r="IXM27" s="24" t="e">
        <v>#N/A</v>
      </c>
      <c r="IXN27" s="24" t="e">
        <v>#N/A</v>
      </c>
      <c r="IXO27" s="24" t="e">
        <v>#N/A</v>
      </c>
      <c r="IXP27" s="24" t="e">
        <v>#N/A</v>
      </c>
      <c r="IXQ27" s="24" t="e">
        <v>#N/A</v>
      </c>
      <c r="IXR27" s="24" t="e">
        <v>#N/A</v>
      </c>
      <c r="IXS27" s="24" t="e">
        <v>#N/A</v>
      </c>
      <c r="IXT27" s="24" t="e">
        <v>#N/A</v>
      </c>
      <c r="IXU27" s="24" t="e">
        <v>#N/A</v>
      </c>
      <c r="IXV27" s="24" t="e">
        <v>#N/A</v>
      </c>
      <c r="IXW27" s="24" t="e">
        <v>#N/A</v>
      </c>
      <c r="IXX27" s="24" t="e">
        <v>#N/A</v>
      </c>
      <c r="IXY27" s="24" t="e">
        <v>#N/A</v>
      </c>
      <c r="IXZ27" s="24" t="e">
        <v>#N/A</v>
      </c>
      <c r="IYA27" s="24" t="e">
        <v>#N/A</v>
      </c>
      <c r="IYB27" s="24" t="e">
        <v>#N/A</v>
      </c>
      <c r="IYC27" s="24" t="e">
        <v>#N/A</v>
      </c>
      <c r="IYD27" s="24" t="e">
        <v>#N/A</v>
      </c>
      <c r="IYE27" s="24" t="e">
        <v>#N/A</v>
      </c>
      <c r="IYF27" s="24" t="e">
        <v>#N/A</v>
      </c>
      <c r="IYG27" s="24" t="e">
        <v>#N/A</v>
      </c>
      <c r="IYH27" s="24" t="e">
        <v>#N/A</v>
      </c>
      <c r="IYI27" s="24" t="e">
        <v>#N/A</v>
      </c>
      <c r="IYJ27" s="24" t="e">
        <v>#N/A</v>
      </c>
      <c r="IYK27" s="24" t="e">
        <v>#N/A</v>
      </c>
      <c r="IYL27" s="24" t="e">
        <v>#N/A</v>
      </c>
      <c r="IYM27" s="24" t="e">
        <v>#N/A</v>
      </c>
      <c r="IYN27" s="24" t="e">
        <v>#N/A</v>
      </c>
      <c r="IYO27" s="24" t="e">
        <v>#N/A</v>
      </c>
      <c r="IYP27" s="24" t="e">
        <v>#N/A</v>
      </c>
      <c r="IYQ27" s="24" t="e">
        <v>#N/A</v>
      </c>
      <c r="IYR27" s="24" t="e">
        <v>#N/A</v>
      </c>
      <c r="IYS27" s="24" t="e">
        <v>#N/A</v>
      </c>
      <c r="IYT27" s="24" t="e">
        <v>#N/A</v>
      </c>
      <c r="IYU27" s="24" t="e">
        <v>#N/A</v>
      </c>
      <c r="IYV27" s="24" t="e">
        <v>#N/A</v>
      </c>
      <c r="IYW27" s="24" t="e">
        <v>#N/A</v>
      </c>
      <c r="IYX27" s="24" t="e">
        <v>#N/A</v>
      </c>
      <c r="IYY27" s="24" t="e">
        <v>#N/A</v>
      </c>
      <c r="IYZ27" s="24" t="e">
        <v>#N/A</v>
      </c>
      <c r="IZA27" s="24" t="e">
        <v>#N/A</v>
      </c>
      <c r="IZB27" s="24" t="e">
        <v>#N/A</v>
      </c>
      <c r="IZC27" s="24" t="e">
        <v>#N/A</v>
      </c>
      <c r="IZD27" s="24" t="e">
        <v>#N/A</v>
      </c>
      <c r="IZE27" s="24" t="e">
        <v>#N/A</v>
      </c>
      <c r="IZF27" s="24" t="e">
        <v>#N/A</v>
      </c>
      <c r="IZG27" s="24" t="e">
        <v>#N/A</v>
      </c>
      <c r="IZH27" s="24" t="e">
        <v>#N/A</v>
      </c>
      <c r="IZI27" s="24" t="e">
        <v>#N/A</v>
      </c>
      <c r="IZJ27" s="24" t="e">
        <v>#N/A</v>
      </c>
      <c r="IZK27" s="24" t="e">
        <v>#N/A</v>
      </c>
      <c r="IZL27" s="24" t="e">
        <v>#N/A</v>
      </c>
      <c r="IZM27" s="24" t="e">
        <v>#N/A</v>
      </c>
      <c r="IZN27" s="24" t="e">
        <v>#N/A</v>
      </c>
      <c r="IZO27" s="24" t="e">
        <v>#N/A</v>
      </c>
      <c r="IZP27" s="24" t="e">
        <v>#N/A</v>
      </c>
      <c r="IZQ27" s="24" t="e">
        <v>#N/A</v>
      </c>
      <c r="IZR27" s="24" t="e">
        <v>#N/A</v>
      </c>
      <c r="IZS27" s="24" t="e">
        <v>#N/A</v>
      </c>
      <c r="IZT27" s="24" t="e">
        <v>#N/A</v>
      </c>
      <c r="IZU27" s="24" t="e">
        <v>#N/A</v>
      </c>
      <c r="IZV27" s="24" t="e">
        <v>#N/A</v>
      </c>
      <c r="IZW27" s="24" t="e">
        <v>#N/A</v>
      </c>
      <c r="IZX27" s="24" t="e">
        <v>#N/A</v>
      </c>
      <c r="IZY27" s="24" t="e">
        <v>#N/A</v>
      </c>
      <c r="IZZ27" s="24" t="e">
        <v>#N/A</v>
      </c>
      <c r="JAA27" s="24" t="e">
        <v>#N/A</v>
      </c>
      <c r="JAB27" s="24" t="e">
        <v>#N/A</v>
      </c>
      <c r="JAC27" s="24" t="e">
        <v>#N/A</v>
      </c>
      <c r="JAD27" s="24" t="e">
        <v>#N/A</v>
      </c>
      <c r="JAE27" s="24" t="e">
        <v>#N/A</v>
      </c>
      <c r="JAF27" s="24" t="e">
        <v>#N/A</v>
      </c>
      <c r="JAG27" s="24" t="e">
        <v>#N/A</v>
      </c>
      <c r="JAH27" s="24" t="e">
        <v>#N/A</v>
      </c>
      <c r="JAI27" s="24" t="e">
        <v>#N/A</v>
      </c>
      <c r="JAJ27" s="24" t="e">
        <v>#N/A</v>
      </c>
      <c r="JAK27" s="24" t="e">
        <v>#N/A</v>
      </c>
      <c r="JAL27" s="24" t="e">
        <v>#N/A</v>
      </c>
      <c r="JAM27" s="24" t="e">
        <v>#N/A</v>
      </c>
      <c r="JAN27" s="24" t="e">
        <v>#N/A</v>
      </c>
      <c r="JAO27" s="24" t="e">
        <v>#N/A</v>
      </c>
      <c r="JAP27" s="24" t="e">
        <v>#N/A</v>
      </c>
      <c r="JAQ27" s="24" t="e">
        <v>#N/A</v>
      </c>
      <c r="JAR27" s="24" t="e">
        <v>#N/A</v>
      </c>
      <c r="JAS27" s="24" t="e">
        <v>#N/A</v>
      </c>
      <c r="JAT27" s="24" t="e">
        <v>#N/A</v>
      </c>
      <c r="JAU27" s="24" t="e">
        <v>#N/A</v>
      </c>
      <c r="JAV27" s="24" t="e">
        <v>#N/A</v>
      </c>
      <c r="JAW27" s="24" t="e">
        <v>#N/A</v>
      </c>
      <c r="JAX27" s="24" t="e">
        <v>#N/A</v>
      </c>
      <c r="JAY27" s="24" t="e">
        <v>#N/A</v>
      </c>
      <c r="JAZ27" s="24" t="e">
        <v>#N/A</v>
      </c>
      <c r="JBA27" s="24" t="e">
        <v>#N/A</v>
      </c>
      <c r="JBB27" s="24" t="e">
        <v>#N/A</v>
      </c>
      <c r="JBC27" s="24" t="e">
        <v>#N/A</v>
      </c>
      <c r="JBD27" s="24" t="e">
        <v>#N/A</v>
      </c>
      <c r="JBE27" s="24" t="e">
        <v>#N/A</v>
      </c>
      <c r="JBF27" s="24" t="e">
        <v>#N/A</v>
      </c>
      <c r="JBG27" s="24" t="e">
        <v>#N/A</v>
      </c>
      <c r="JBH27" s="24" t="e">
        <v>#N/A</v>
      </c>
      <c r="JBI27" s="24" t="e">
        <v>#N/A</v>
      </c>
      <c r="JBJ27" s="24" t="e">
        <v>#N/A</v>
      </c>
      <c r="JBK27" s="24" t="e">
        <v>#N/A</v>
      </c>
      <c r="JBL27" s="24" t="e">
        <v>#N/A</v>
      </c>
      <c r="JBM27" s="24" t="e">
        <v>#N/A</v>
      </c>
      <c r="JBN27" s="24" t="e">
        <v>#N/A</v>
      </c>
      <c r="JBO27" s="24" t="e">
        <v>#N/A</v>
      </c>
      <c r="JBP27" s="24" t="e">
        <v>#N/A</v>
      </c>
      <c r="JBQ27" s="24" t="e">
        <v>#N/A</v>
      </c>
      <c r="JBR27" s="24" t="e">
        <v>#N/A</v>
      </c>
      <c r="JBS27" s="24" t="e">
        <v>#N/A</v>
      </c>
      <c r="JBT27" s="24" t="e">
        <v>#N/A</v>
      </c>
      <c r="JBU27" s="24" t="e">
        <v>#N/A</v>
      </c>
      <c r="JBV27" s="24" t="e">
        <v>#N/A</v>
      </c>
      <c r="JBW27" s="24" t="e">
        <v>#N/A</v>
      </c>
      <c r="JBX27" s="24" t="e">
        <v>#N/A</v>
      </c>
      <c r="JBY27" s="24" t="e">
        <v>#N/A</v>
      </c>
      <c r="JBZ27" s="24" t="e">
        <v>#N/A</v>
      </c>
      <c r="JCA27" s="24" t="e">
        <v>#N/A</v>
      </c>
      <c r="JCB27" s="24" t="e">
        <v>#N/A</v>
      </c>
      <c r="JCC27" s="24" t="e">
        <v>#N/A</v>
      </c>
      <c r="JCD27" s="24" t="e">
        <v>#N/A</v>
      </c>
      <c r="JCE27" s="24" t="e">
        <v>#N/A</v>
      </c>
      <c r="JCF27" s="24" t="e">
        <v>#N/A</v>
      </c>
      <c r="JCG27" s="24" t="e">
        <v>#N/A</v>
      </c>
      <c r="JCH27" s="24" t="e">
        <v>#N/A</v>
      </c>
      <c r="JCI27" s="24" t="e">
        <v>#N/A</v>
      </c>
      <c r="JCJ27" s="24" t="e">
        <v>#N/A</v>
      </c>
      <c r="JCK27" s="24" t="e">
        <v>#N/A</v>
      </c>
      <c r="JCL27" s="24" t="e">
        <v>#N/A</v>
      </c>
      <c r="JCM27" s="24" t="e">
        <v>#N/A</v>
      </c>
      <c r="JCN27" s="24" t="e">
        <v>#N/A</v>
      </c>
      <c r="JCO27" s="24" t="e">
        <v>#N/A</v>
      </c>
      <c r="JCP27" s="24" t="e">
        <v>#N/A</v>
      </c>
      <c r="JCQ27" s="24" t="e">
        <v>#N/A</v>
      </c>
      <c r="JCR27" s="24" t="e">
        <v>#N/A</v>
      </c>
      <c r="JCS27" s="24" t="e">
        <v>#N/A</v>
      </c>
      <c r="JCT27" s="24" t="e">
        <v>#N/A</v>
      </c>
      <c r="JCU27" s="24" t="e">
        <v>#N/A</v>
      </c>
      <c r="JCV27" s="24" t="e">
        <v>#N/A</v>
      </c>
      <c r="JCW27" s="24" t="e">
        <v>#N/A</v>
      </c>
      <c r="JCX27" s="24" t="e">
        <v>#N/A</v>
      </c>
      <c r="JCY27" s="24" t="e">
        <v>#N/A</v>
      </c>
      <c r="JCZ27" s="24" t="e">
        <v>#N/A</v>
      </c>
      <c r="JDA27" s="24" t="e">
        <v>#N/A</v>
      </c>
      <c r="JDB27" s="24" t="e">
        <v>#N/A</v>
      </c>
      <c r="JDC27" s="24" t="e">
        <v>#N/A</v>
      </c>
      <c r="JDD27" s="24" t="e">
        <v>#N/A</v>
      </c>
      <c r="JDE27" s="24" t="e">
        <v>#N/A</v>
      </c>
      <c r="JDF27" s="24" t="e">
        <v>#N/A</v>
      </c>
      <c r="JDG27" s="24" t="e">
        <v>#N/A</v>
      </c>
      <c r="JDH27" s="24" t="e">
        <v>#N/A</v>
      </c>
      <c r="JDI27" s="24" t="e">
        <v>#N/A</v>
      </c>
      <c r="JDJ27" s="24" t="e">
        <v>#N/A</v>
      </c>
      <c r="JDK27" s="24" t="e">
        <v>#N/A</v>
      </c>
      <c r="JDL27" s="24" t="e">
        <v>#N/A</v>
      </c>
      <c r="JDM27" s="24" t="e">
        <v>#N/A</v>
      </c>
      <c r="JDN27" s="24" t="e">
        <v>#N/A</v>
      </c>
      <c r="JDO27" s="24" t="e">
        <v>#N/A</v>
      </c>
      <c r="JDP27" s="24" t="e">
        <v>#N/A</v>
      </c>
      <c r="JDQ27" s="24" t="e">
        <v>#N/A</v>
      </c>
      <c r="JDR27" s="24" t="e">
        <v>#N/A</v>
      </c>
      <c r="JDS27" s="24" t="e">
        <v>#N/A</v>
      </c>
      <c r="JDT27" s="24" t="e">
        <v>#N/A</v>
      </c>
      <c r="JDU27" s="24" t="e">
        <v>#N/A</v>
      </c>
      <c r="JDV27" s="24" t="e">
        <v>#N/A</v>
      </c>
      <c r="JDW27" s="24" t="e">
        <v>#N/A</v>
      </c>
      <c r="JDX27" s="24" t="e">
        <v>#N/A</v>
      </c>
      <c r="JDY27" s="24" t="e">
        <v>#N/A</v>
      </c>
      <c r="JDZ27" s="24" t="e">
        <v>#N/A</v>
      </c>
      <c r="JEA27" s="24" t="e">
        <v>#N/A</v>
      </c>
      <c r="JEB27" s="24" t="e">
        <v>#N/A</v>
      </c>
      <c r="JEC27" s="24" t="e">
        <v>#N/A</v>
      </c>
      <c r="JED27" s="24" t="e">
        <v>#N/A</v>
      </c>
      <c r="JEE27" s="24" t="e">
        <v>#N/A</v>
      </c>
      <c r="JEF27" s="24" t="e">
        <v>#N/A</v>
      </c>
      <c r="JEG27" s="24" t="e">
        <v>#N/A</v>
      </c>
      <c r="JEH27" s="24" t="e">
        <v>#N/A</v>
      </c>
      <c r="JEI27" s="24" t="e">
        <v>#N/A</v>
      </c>
      <c r="JEJ27" s="24" t="e">
        <v>#N/A</v>
      </c>
      <c r="JEK27" s="24" t="e">
        <v>#N/A</v>
      </c>
      <c r="JEL27" s="24" t="e">
        <v>#N/A</v>
      </c>
      <c r="JEM27" s="24" t="e">
        <v>#N/A</v>
      </c>
      <c r="JEN27" s="24" t="e">
        <v>#N/A</v>
      </c>
      <c r="JEO27" s="24" t="e">
        <v>#N/A</v>
      </c>
      <c r="JEP27" s="24" t="e">
        <v>#N/A</v>
      </c>
      <c r="JEQ27" s="24" t="e">
        <v>#N/A</v>
      </c>
      <c r="JER27" s="24" t="e">
        <v>#N/A</v>
      </c>
      <c r="JES27" s="24" t="e">
        <v>#N/A</v>
      </c>
      <c r="JET27" s="24" t="e">
        <v>#N/A</v>
      </c>
      <c r="JEU27" s="24" t="e">
        <v>#N/A</v>
      </c>
      <c r="JEV27" s="24" t="e">
        <v>#N/A</v>
      </c>
      <c r="JEW27" s="24" t="e">
        <v>#N/A</v>
      </c>
      <c r="JEX27" s="24" t="e">
        <v>#N/A</v>
      </c>
      <c r="JEY27" s="24" t="e">
        <v>#N/A</v>
      </c>
      <c r="JEZ27" s="24" t="e">
        <v>#N/A</v>
      </c>
      <c r="JFA27" s="24" t="e">
        <v>#N/A</v>
      </c>
      <c r="JFB27" s="24" t="e">
        <v>#N/A</v>
      </c>
      <c r="JFC27" s="24" t="e">
        <v>#N/A</v>
      </c>
      <c r="JFD27" s="24" t="e">
        <v>#N/A</v>
      </c>
      <c r="JFE27" s="24" t="e">
        <v>#N/A</v>
      </c>
      <c r="JFF27" s="24" t="e">
        <v>#N/A</v>
      </c>
      <c r="JFG27" s="24" t="e">
        <v>#N/A</v>
      </c>
      <c r="JFH27" s="24" t="e">
        <v>#N/A</v>
      </c>
      <c r="JFI27" s="24" t="e">
        <v>#N/A</v>
      </c>
      <c r="JFJ27" s="24" t="e">
        <v>#N/A</v>
      </c>
      <c r="JFK27" s="24" t="e">
        <v>#N/A</v>
      </c>
      <c r="JFL27" s="24" t="e">
        <v>#N/A</v>
      </c>
      <c r="JFM27" s="24" t="e">
        <v>#N/A</v>
      </c>
      <c r="JFN27" s="24" t="e">
        <v>#N/A</v>
      </c>
      <c r="JFO27" s="24" t="e">
        <v>#N/A</v>
      </c>
      <c r="JFP27" s="24" t="e">
        <v>#N/A</v>
      </c>
      <c r="JFQ27" s="24" t="e">
        <v>#N/A</v>
      </c>
      <c r="JFR27" s="24" t="e">
        <v>#N/A</v>
      </c>
      <c r="JFS27" s="24" t="e">
        <v>#N/A</v>
      </c>
      <c r="JFT27" s="24" t="e">
        <v>#N/A</v>
      </c>
      <c r="JFU27" s="24" t="e">
        <v>#N/A</v>
      </c>
      <c r="JFV27" s="24" t="e">
        <v>#N/A</v>
      </c>
      <c r="JFW27" s="24" t="e">
        <v>#N/A</v>
      </c>
      <c r="JFX27" s="24" t="e">
        <v>#N/A</v>
      </c>
      <c r="JFY27" s="24" t="e">
        <v>#N/A</v>
      </c>
      <c r="JFZ27" s="24" t="e">
        <v>#N/A</v>
      </c>
      <c r="JGA27" s="24" t="e">
        <v>#N/A</v>
      </c>
      <c r="JGB27" s="24" t="e">
        <v>#N/A</v>
      </c>
      <c r="JGC27" s="24" t="e">
        <v>#N/A</v>
      </c>
      <c r="JGD27" s="24" t="e">
        <v>#N/A</v>
      </c>
      <c r="JGE27" s="24" t="e">
        <v>#N/A</v>
      </c>
      <c r="JGF27" s="24" t="e">
        <v>#N/A</v>
      </c>
      <c r="JGG27" s="24" t="e">
        <v>#N/A</v>
      </c>
      <c r="JGH27" s="24" t="e">
        <v>#N/A</v>
      </c>
      <c r="JGI27" s="24" t="e">
        <v>#N/A</v>
      </c>
      <c r="JGJ27" s="24" t="e">
        <v>#N/A</v>
      </c>
      <c r="JGK27" s="24" t="e">
        <v>#N/A</v>
      </c>
      <c r="JGL27" s="24" t="e">
        <v>#N/A</v>
      </c>
      <c r="JGM27" s="24" t="e">
        <v>#N/A</v>
      </c>
      <c r="JGN27" s="24" t="e">
        <v>#N/A</v>
      </c>
      <c r="JGO27" s="24" t="e">
        <v>#N/A</v>
      </c>
      <c r="JGP27" s="24" t="e">
        <v>#N/A</v>
      </c>
      <c r="JGQ27" s="24" t="e">
        <v>#N/A</v>
      </c>
      <c r="JGR27" s="24" t="e">
        <v>#N/A</v>
      </c>
      <c r="JGS27" s="24" t="e">
        <v>#N/A</v>
      </c>
      <c r="JGT27" s="24" t="e">
        <v>#N/A</v>
      </c>
      <c r="JGU27" s="24" t="e">
        <v>#N/A</v>
      </c>
      <c r="JGV27" s="24" t="e">
        <v>#N/A</v>
      </c>
      <c r="JGW27" s="24" t="e">
        <v>#N/A</v>
      </c>
      <c r="JGX27" s="24" t="e">
        <v>#N/A</v>
      </c>
      <c r="JGY27" s="24" t="e">
        <v>#N/A</v>
      </c>
      <c r="JGZ27" s="24" t="e">
        <v>#N/A</v>
      </c>
      <c r="JHA27" s="24" t="e">
        <v>#N/A</v>
      </c>
      <c r="JHB27" s="24" t="e">
        <v>#N/A</v>
      </c>
      <c r="JHC27" s="24" t="e">
        <v>#N/A</v>
      </c>
      <c r="JHD27" s="24" t="e">
        <v>#N/A</v>
      </c>
      <c r="JHE27" s="24" t="e">
        <v>#N/A</v>
      </c>
      <c r="JHF27" s="24" t="e">
        <v>#N/A</v>
      </c>
      <c r="JHG27" s="24" t="e">
        <v>#N/A</v>
      </c>
      <c r="JHH27" s="24" t="e">
        <v>#N/A</v>
      </c>
      <c r="JHI27" s="24" t="e">
        <v>#N/A</v>
      </c>
      <c r="JHJ27" s="24" t="e">
        <v>#N/A</v>
      </c>
      <c r="JHK27" s="24" t="e">
        <v>#N/A</v>
      </c>
      <c r="JHL27" s="24" t="e">
        <v>#N/A</v>
      </c>
      <c r="JHM27" s="24" t="e">
        <v>#N/A</v>
      </c>
      <c r="JHN27" s="24" t="e">
        <v>#N/A</v>
      </c>
      <c r="JHO27" s="24" t="e">
        <v>#N/A</v>
      </c>
      <c r="JHP27" s="24" t="e">
        <v>#N/A</v>
      </c>
      <c r="JHQ27" s="24" t="e">
        <v>#N/A</v>
      </c>
      <c r="JHR27" s="24" t="e">
        <v>#N/A</v>
      </c>
      <c r="JHS27" s="24" t="e">
        <v>#N/A</v>
      </c>
      <c r="JHT27" s="24" t="e">
        <v>#N/A</v>
      </c>
      <c r="JHU27" s="24" t="e">
        <v>#N/A</v>
      </c>
      <c r="JHV27" s="24" t="e">
        <v>#N/A</v>
      </c>
      <c r="JHW27" s="24" t="e">
        <v>#N/A</v>
      </c>
      <c r="JHX27" s="24" t="e">
        <v>#N/A</v>
      </c>
      <c r="JHY27" s="24" t="e">
        <v>#N/A</v>
      </c>
      <c r="JHZ27" s="24" t="e">
        <v>#N/A</v>
      </c>
      <c r="JIA27" s="24" t="e">
        <v>#N/A</v>
      </c>
      <c r="JIB27" s="24" t="e">
        <v>#N/A</v>
      </c>
      <c r="JIC27" s="24" t="e">
        <v>#N/A</v>
      </c>
      <c r="JID27" s="24" t="e">
        <v>#N/A</v>
      </c>
      <c r="JIE27" s="24" t="e">
        <v>#N/A</v>
      </c>
      <c r="JIF27" s="24" t="e">
        <v>#N/A</v>
      </c>
      <c r="JIG27" s="24" t="e">
        <v>#N/A</v>
      </c>
      <c r="JIH27" s="24" t="e">
        <v>#N/A</v>
      </c>
      <c r="JII27" s="24" t="e">
        <v>#N/A</v>
      </c>
      <c r="JIJ27" s="24" t="e">
        <v>#N/A</v>
      </c>
      <c r="JIK27" s="24" t="e">
        <v>#N/A</v>
      </c>
      <c r="JIL27" s="24" t="e">
        <v>#N/A</v>
      </c>
      <c r="JIM27" s="24" t="e">
        <v>#N/A</v>
      </c>
      <c r="JIN27" s="24" t="e">
        <v>#N/A</v>
      </c>
      <c r="JIO27" s="24" t="e">
        <v>#N/A</v>
      </c>
      <c r="JIP27" s="24" t="e">
        <v>#N/A</v>
      </c>
      <c r="JIQ27" s="24" t="e">
        <v>#N/A</v>
      </c>
      <c r="JIR27" s="24" t="e">
        <v>#N/A</v>
      </c>
      <c r="JIS27" s="24" t="e">
        <v>#N/A</v>
      </c>
      <c r="JIT27" s="24" t="e">
        <v>#N/A</v>
      </c>
      <c r="JIU27" s="24" t="e">
        <v>#N/A</v>
      </c>
      <c r="JIV27" s="24" t="e">
        <v>#N/A</v>
      </c>
      <c r="JIW27" s="24" t="e">
        <v>#N/A</v>
      </c>
      <c r="JIX27" s="24" t="e">
        <v>#N/A</v>
      </c>
      <c r="JIY27" s="24" t="e">
        <v>#N/A</v>
      </c>
      <c r="JIZ27" s="24" t="e">
        <v>#N/A</v>
      </c>
      <c r="JJA27" s="24" t="e">
        <v>#N/A</v>
      </c>
      <c r="JJB27" s="24" t="e">
        <v>#N/A</v>
      </c>
      <c r="JJC27" s="24" t="e">
        <v>#N/A</v>
      </c>
      <c r="JJD27" s="24" t="e">
        <v>#N/A</v>
      </c>
      <c r="JJE27" s="24" t="e">
        <v>#N/A</v>
      </c>
      <c r="JJF27" s="24" t="e">
        <v>#N/A</v>
      </c>
      <c r="JJG27" s="24" t="e">
        <v>#N/A</v>
      </c>
      <c r="JJH27" s="24" t="e">
        <v>#N/A</v>
      </c>
      <c r="JJI27" s="24" t="e">
        <v>#N/A</v>
      </c>
      <c r="JJJ27" s="24" t="e">
        <v>#N/A</v>
      </c>
      <c r="JJK27" s="24" t="e">
        <v>#N/A</v>
      </c>
      <c r="JJL27" s="24" t="e">
        <v>#N/A</v>
      </c>
      <c r="JJM27" s="24" t="e">
        <v>#N/A</v>
      </c>
      <c r="JJN27" s="24" t="e">
        <v>#N/A</v>
      </c>
      <c r="JJO27" s="24" t="e">
        <v>#N/A</v>
      </c>
      <c r="JJP27" s="24" t="e">
        <v>#N/A</v>
      </c>
      <c r="JJQ27" s="24" t="e">
        <v>#N/A</v>
      </c>
      <c r="JJR27" s="24" t="e">
        <v>#N/A</v>
      </c>
      <c r="JJS27" s="24" t="e">
        <v>#N/A</v>
      </c>
      <c r="JJT27" s="24" t="e">
        <v>#N/A</v>
      </c>
      <c r="JJU27" s="24" t="e">
        <v>#N/A</v>
      </c>
      <c r="JJV27" s="24" t="e">
        <v>#N/A</v>
      </c>
      <c r="JJW27" s="24" t="e">
        <v>#N/A</v>
      </c>
      <c r="JJX27" s="24" t="e">
        <v>#N/A</v>
      </c>
      <c r="JJY27" s="24" t="e">
        <v>#N/A</v>
      </c>
      <c r="JJZ27" s="24" t="e">
        <v>#N/A</v>
      </c>
      <c r="JKA27" s="24" t="e">
        <v>#N/A</v>
      </c>
      <c r="JKB27" s="24" t="e">
        <v>#N/A</v>
      </c>
      <c r="JKC27" s="24" t="e">
        <v>#N/A</v>
      </c>
      <c r="JKD27" s="24" t="e">
        <v>#N/A</v>
      </c>
      <c r="JKE27" s="24" t="e">
        <v>#N/A</v>
      </c>
      <c r="JKF27" s="24" t="e">
        <v>#N/A</v>
      </c>
      <c r="JKG27" s="24" t="e">
        <v>#N/A</v>
      </c>
      <c r="JKH27" s="24" t="e">
        <v>#N/A</v>
      </c>
      <c r="JKI27" s="24" t="e">
        <v>#N/A</v>
      </c>
      <c r="JKJ27" s="24" t="e">
        <v>#N/A</v>
      </c>
      <c r="JKK27" s="24" t="e">
        <v>#N/A</v>
      </c>
      <c r="JKL27" s="24" t="e">
        <v>#N/A</v>
      </c>
      <c r="JKM27" s="24" t="e">
        <v>#N/A</v>
      </c>
      <c r="JKN27" s="24" t="e">
        <v>#N/A</v>
      </c>
      <c r="JKO27" s="24" t="e">
        <v>#N/A</v>
      </c>
      <c r="JKP27" s="24" t="e">
        <v>#N/A</v>
      </c>
      <c r="JKQ27" s="24" t="e">
        <v>#N/A</v>
      </c>
      <c r="JKR27" s="24" t="e">
        <v>#N/A</v>
      </c>
      <c r="JKS27" s="24" t="e">
        <v>#N/A</v>
      </c>
      <c r="JKT27" s="24" t="e">
        <v>#N/A</v>
      </c>
      <c r="JKU27" s="24" t="e">
        <v>#N/A</v>
      </c>
      <c r="JKV27" s="24" t="e">
        <v>#N/A</v>
      </c>
      <c r="JKW27" s="24" t="e">
        <v>#N/A</v>
      </c>
      <c r="JKX27" s="24" t="e">
        <v>#N/A</v>
      </c>
      <c r="JKY27" s="24" t="e">
        <v>#N/A</v>
      </c>
      <c r="JKZ27" s="24" t="e">
        <v>#N/A</v>
      </c>
      <c r="JLA27" s="24" t="e">
        <v>#N/A</v>
      </c>
      <c r="JLB27" s="24" t="e">
        <v>#N/A</v>
      </c>
      <c r="JLC27" s="24" t="e">
        <v>#N/A</v>
      </c>
      <c r="JLD27" s="24" t="e">
        <v>#N/A</v>
      </c>
      <c r="JLE27" s="24" t="e">
        <v>#N/A</v>
      </c>
      <c r="JLF27" s="24" t="e">
        <v>#N/A</v>
      </c>
      <c r="JLG27" s="24" t="e">
        <v>#N/A</v>
      </c>
      <c r="JLH27" s="24" t="e">
        <v>#N/A</v>
      </c>
      <c r="JLI27" s="24" t="e">
        <v>#N/A</v>
      </c>
      <c r="JLJ27" s="24" t="e">
        <v>#N/A</v>
      </c>
      <c r="JLK27" s="24" t="e">
        <v>#N/A</v>
      </c>
      <c r="JLL27" s="24" t="e">
        <v>#N/A</v>
      </c>
      <c r="JLM27" s="24" t="e">
        <v>#N/A</v>
      </c>
      <c r="JLN27" s="24" t="e">
        <v>#N/A</v>
      </c>
      <c r="JLO27" s="24" t="e">
        <v>#N/A</v>
      </c>
      <c r="JLP27" s="24" t="e">
        <v>#N/A</v>
      </c>
      <c r="JLQ27" s="24" t="e">
        <v>#N/A</v>
      </c>
      <c r="JLR27" s="24" t="e">
        <v>#N/A</v>
      </c>
      <c r="JLS27" s="24" t="e">
        <v>#N/A</v>
      </c>
      <c r="JLT27" s="24" t="e">
        <v>#N/A</v>
      </c>
      <c r="JLU27" s="24" t="e">
        <v>#N/A</v>
      </c>
      <c r="JLV27" s="24" t="e">
        <v>#N/A</v>
      </c>
      <c r="JLW27" s="24" t="e">
        <v>#N/A</v>
      </c>
      <c r="JLX27" s="24" t="e">
        <v>#N/A</v>
      </c>
      <c r="JLY27" s="24" t="e">
        <v>#N/A</v>
      </c>
      <c r="JLZ27" s="24" t="e">
        <v>#N/A</v>
      </c>
      <c r="JMA27" s="24" t="e">
        <v>#N/A</v>
      </c>
      <c r="JMB27" s="24" t="e">
        <v>#N/A</v>
      </c>
      <c r="JMC27" s="24" t="e">
        <v>#N/A</v>
      </c>
      <c r="JMD27" s="24" t="e">
        <v>#N/A</v>
      </c>
      <c r="JME27" s="24" t="e">
        <v>#N/A</v>
      </c>
      <c r="JMF27" s="24" t="e">
        <v>#N/A</v>
      </c>
      <c r="JMG27" s="24" t="e">
        <v>#N/A</v>
      </c>
      <c r="JMH27" s="24" t="e">
        <v>#N/A</v>
      </c>
      <c r="JMI27" s="24" t="e">
        <v>#N/A</v>
      </c>
      <c r="JMJ27" s="24" t="e">
        <v>#N/A</v>
      </c>
      <c r="JMK27" s="24" t="e">
        <v>#N/A</v>
      </c>
      <c r="JML27" s="24" t="e">
        <v>#N/A</v>
      </c>
      <c r="JMM27" s="24" t="e">
        <v>#N/A</v>
      </c>
      <c r="JMN27" s="24" t="e">
        <v>#N/A</v>
      </c>
      <c r="JMO27" s="24" t="e">
        <v>#N/A</v>
      </c>
      <c r="JMP27" s="24" t="e">
        <v>#N/A</v>
      </c>
      <c r="JMQ27" s="24" t="e">
        <v>#N/A</v>
      </c>
      <c r="JMR27" s="24" t="e">
        <v>#N/A</v>
      </c>
      <c r="JMS27" s="24" t="e">
        <v>#N/A</v>
      </c>
      <c r="JMT27" s="24" t="e">
        <v>#N/A</v>
      </c>
      <c r="JMU27" s="24" t="e">
        <v>#N/A</v>
      </c>
      <c r="JMV27" s="24" t="e">
        <v>#N/A</v>
      </c>
      <c r="JMW27" s="24" t="e">
        <v>#N/A</v>
      </c>
      <c r="JMX27" s="24" t="e">
        <v>#N/A</v>
      </c>
      <c r="JMY27" s="24" t="e">
        <v>#N/A</v>
      </c>
      <c r="JMZ27" s="24" t="e">
        <v>#N/A</v>
      </c>
      <c r="JNA27" s="24" t="e">
        <v>#N/A</v>
      </c>
      <c r="JNB27" s="24" t="e">
        <v>#N/A</v>
      </c>
      <c r="JNC27" s="24" t="e">
        <v>#N/A</v>
      </c>
      <c r="JND27" s="24" t="e">
        <v>#N/A</v>
      </c>
      <c r="JNE27" s="24" t="e">
        <v>#N/A</v>
      </c>
      <c r="JNF27" s="24" t="e">
        <v>#N/A</v>
      </c>
      <c r="JNG27" s="24" t="e">
        <v>#N/A</v>
      </c>
      <c r="JNH27" s="24" t="e">
        <v>#N/A</v>
      </c>
      <c r="JNI27" s="24" t="e">
        <v>#N/A</v>
      </c>
      <c r="JNJ27" s="24" t="e">
        <v>#N/A</v>
      </c>
      <c r="JNK27" s="24" t="e">
        <v>#N/A</v>
      </c>
      <c r="JNL27" s="24" t="e">
        <v>#N/A</v>
      </c>
      <c r="JNM27" s="24" t="e">
        <v>#N/A</v>
      </c>
      <c r="JNN27" s="24" t="e">
        <v>#N/A</v>
      </c>
      <c r="JNO27" s="24" t="e">
        <v>#N/A</v>
      </c>
      <c r="JNP27" s="24" t="e">
        <v>#N/A</v>
      </c>
      <c r="JNQ27" s="24" t="e">
        <v>#N/A</v>
      </c>
      <c r="JNR27" s="24" t="e">
        <v>#N/A</v>
      </c>
      <c r="JNS27" s="24" t="e">
        <v>#N/A</v>
      </c>
      <c r="JNT27" s="24" t="e">
        <v>#N/A</v>
      </c>
      <c r="JNU27" s="24" t="e">
        <v>#N/A</v>
      </c>
      <c r="JNV27" s="24" t="e">
        <v>#N/A</v>
      </c>
      <c r="JNW27" s="24" t="e">
        <v>#N/A</v>
      </c>
      <c r="JNX27" s="24" t="e">
        <v>#N/A</v>
      </c>
      <c r="JNY27" s="24" t="e">
        <v>#N/A</v>
      </c>
      <c r="JNZ27" s="24" t="e">
        <v>#N/A</v>
      </c>
      <c r="JOA27" s="24" t="e">
        <v>#N/A</v>
      </c>
      <c r="JOB27" s="24" t="e">
        <v>#N/A</v>
      </c>
      <c r="JOC27" s="24" t="e">
        <v>#N/A</v>
      </c>
      <c r="JOD27" s="24" t="e">
        <v>#N/A</v>
      </c>
      <c r="JOE27" s="24" t="e">
        <v>#N/A</v>
      </c>
      <c r="JOF27" s="24" t="e">
        <v>#N/A</v>
      </c>
      <c r="JOG27" s="24" t="e">
        <v>#N/A</v>
      </c>
      <c r="JOH27" s="24" t="e">
        <v>#N/A</v>
      </c>
      <c r="JOI27" s="24" t="e">
        <v>#N/A</v>
      </c>
      <c r="JOJ27" s="24" t="e">
        <v>#N/A</v>
      </c>
      <c r="JOK27" s="24" t="e">
        <v>#N/A</v>
      </c>
      <c r="JOL27" s="24" t="e">
        <v>#N/A</v>
      </c>
      <c r="JOM27" s="24" t="e">
        <v>#N/A</v>
      </c>
      <c r="JON27" s="24" t="e">
        <v>#N/A</v>
      </c>
      <c r="JOO27" s="24" t="e">
        <v>#N/A</v>
      </c>
      <c r="JOP27" s="24" t="e">
        <v>#N/A</v>
      </c>
      <c r="JOQ27" s="24" t="e">
        <v>#N/A</v>
      </c>
      <c r="JOR27" s="24" t="e">
        <v>#N/A</v>
      </c>
      <c r="JOS27" s="24" t="e">
        <v>#N/A</v>
      </c>
      <c r="JOT27" s="24" t="e">
        <v>#N/A</v>
      </c>
      <c r="JOU27" s="24" t="e">
        <v>#N/A</v>
      </c>
      <c r="JOV27" s="24" t="e">
        <v>#N/A</v>
      </c>
      <c r="JOW27" s="24" t="e">
        <v>#N/A</v>
      </c>
      <c r="JOX27" s="24" t="e">
        <v>#N/A</v>
      </c>
      <c r="JOY27" s="24" t="e">
        <v>#N/A</v>
      </c>
      <c r="JOZ27" s="24" t="e">
        <v>#N/A</v>
      </c>
      <c r="JPA27" s="24" t="e">
        <v>#N/A</v>
      </c>
      <c r="JPB27" s="24" t="e">
        <v>#N/A</v>
      </c>
      <c r="JPC27" s="24" t="e">
        <v>#N/A</v>
      </c>
      <c r="JPD27" s="24" t="e">
        <v>#N/A</v>
      </c>
      <c r="JPE27" s="24" t="e">
        <v>#N/A</v>
      </c>
      <c r="JPF27" s="24" t="e">
        <v>#N/A</v>
      </c>
      <c r="JPG27" s="24" t="e">
        <v>#N/A</v>
      </c>
      <c r="JPH27" s="24" t="e">
        <v>#N/A</v>
      </c>
      <c r="JPI27" s="24" t="e">
        <v>#N/A</v>
      </c>
      <c r="JPJ27" s="24" t="e">
        <v>#N/A</v>
      </c>
      <c r="JPK27" s="24" t="e">
        <v>#N/A</v>
      </c>
      <c r="JPL27" s="24" t="e">
        <v>#N/A</v>
      </c>
      <c r="JPM27" s="24" t="e">
        <v>#N/A</v>
      </c>
      <c r="JPN27" s="24" t="e">
        <v>#N/A</v>
      </c>
      <c r="JPO27" s="24" t="e">
        <v>#N/A</v>
      </c>
      <c r="JPP27" s="24" t="e">
        <v>#N/A</v>
      </c>
      <c r="JPQ27" s="24" t="e">
        <v>#N/A</v>
      </c>
      <c r="JPR27" s="24" t="e">
        <v>#N/A</v>
      </c>
      <c r="JPS27" s="24" t="e">
        <v>#N/A</v>
      </c>
      <c r="JPT27" s="24" t="e">
        <v>#N/A</v>
      </c>
      <c r="JPU27" s="24" t="e">
        <v>#N/A</v>
      </c>
      <c r="JPV27" s="24" t="e">
        <v>#N/A</v>
      </c>
      <c r="JPW27" s="24" t="e">
        <v>#N/A</v>
      </c>
      <c r="JPX27" s="24" t="e">
        <v>#N/A</v>
      </c>
      <c r="JPY27" s="24" t="e">
        <v>#N/A</v>
      </c>
      <c r="JPZ27" s="24" t="e">
        <v>#N/A</v>
      </c>
      <c r="JQA27" s="24" t="e">
        <v>#N/A</v>
      </c>
      <c r="JQB27" s="24" t="e">
        <v>#N/A</v>
      </c>
      <c r="JQC27" s="24" t="e">
        <v>#N/A</v>
      </c>
      <c r="JQD27" s="24" t="e">
        <v>#N/A</v>
      </c>
      <c r="JQE27" s="24" t="e">
        <v>#N/A</v>
      </c>
      <c r="JQF27" s="24" t="e">
        <v>#N/A</v>
      </c>
      <c r="JQG27" s="24" t="e">
        <v>#N/A</v>
      </c>
      <c r="JQH27" s="24" t="e">
        <v>#N/A</v>
      </c>
      <c r="JQI27" s="24" t="e">
        <v>#N/A</v>
      </c>
      <c r="JQJ27" s="24" t="e">
        <v>#N/A</v>
      </c>
      <c r="JQK27" s="24" t="e">
        <v>#N/A</v>
      </c>
      <c r="JQL27" s="24" t="e">
        <v>#N/A</v>
      </c>
      <c r="JQM27" s="24" t="e">
        <v>#N/A</v>
      </c>
      <c r="JQN27" s="24" t="e">
        <v>#N/A</v>
      </c>
      <c r="JQO27" s="24" t="e">
        <v>#N/A</v>
      </c>
      <c r="JQP27" s="24" t="e">
        <v>#N/A</v>
      </c>
      <c r="JQQ27" s="24" t="e">
        <v>#N/A</v>
      </c>
      <c r="JQR27" s="24" t="e">
        <v>#N/A</v>
      </c>
      <c r="JQS27" s="24" t="e">
        <v>#N/A</v>
      </c>
      <c r="JQT27" s="24" t="e">
        <v>#N/A</v>
      </c>
      <c r="JQU27" s="24" t="e">
        <v>#N/A</v>
      </c>
      <c r="JQV27" s="24" t="e">
        <v>#N/A</v>
      </c>
      <c r="JQW27" s="24" t="e">
        <v>#N/A</v>
      </c>
      <c r="JQX27" s="24" t="e">
        <v>#N/A</v>
      </c>
      <c r="JQY27" s="24" t="e">
        <v>#N/A</v>
      </c>
      <c r="JQZ27" s="24" t="e">
        <v>#N/A</v>
      </c>
      <c r="JRA27" s="24" t="e">
        <v>#N/A</v>
      </c>
      <c r="JRB27" s="24" t="e">
        <v>#N/A</v>
      </c>
      <c r="JRC27" s="24" t="e">
        <v>#N/A</v>
      </c>
      <c r="JRD27" s="24" t="e">
        <v>#N/A</v>
      </c>
      <c r="JRE27" s="24" t="e">
        <v>#N/A</v>
      </c>
      <c r="JRF27" s="24" t="e">
        <v>#N/A</v>
      </c>
      <c r="JRG27" s="24" t="e">
        <v>#N/A</v>
      </c>
      <c r="JRH27" s="24" t="e">
        <v>#N/A</v>
      </c>
      <c r="JRI27" s="24" t="e">
        <v>#N/A</v>
      </c>
      <c r="JRJ27" s="24" t="e">
        <v>#N/A</v>
      </c>
      <c r="JRK27" s="24" t="e">
        <v>#N/A</v>
      </c>
      <c r="JRL27" s="24" t="e">
        <v>#N/A</v>
      </c>
      <c r="JRM27" s="24" t="e">
        <v>#N/A</v>
      </c>
      <c r="JRN27" s="24" t="e">
        <v>#N/A</v>
      </c>
      <c r="JRO27" s="24" t="e">
        <v>#N/A</v>
      </c>
      <c r="JRP27" s="24" t="e">
        <v>#N/A</v>
      </c>
      <c r="JRQ27" s="24" t="e">
        <v>#N/A</v>
      </c>
      <c r="JRR27" s="24" t="e">
        <v>#N/A</v>
      </c>
      <c r="JRS27" s="24" t="e">
        <v>#N/A</v>
      </c>
      <c r="JRT27" s="24" t="e">
        <v>#N/A</v>
      </c>
      <c r="JRU27" s="24" t="e">
        <v>#N/A</v>
      </c>
      <c r="JRV27" s="24" t="e">
        <v>#N/A</v>
      </c>
      <c r="JRW27" s="24" t="e">
        <v>#N/A</v>
      </c>
      <c r="JRX27" s="24" t="e">
        <v>#N/A</v>
      </c>
      <c r="JRY27" s="24" t="e">
        <v>#N/A</v>
      </c>
      <c r="JRZ27" s="24" t="e">
        <v>#N/A</v>
      </c>
      <c r="JSA27" s="24" t="e">
        <v>#N/A</v>
      </c>
      <c r="JSB27" s="24" t="e">
        <v>#N/A</v>
      </c>
      <c r="JSC27" s="24" t="e">
        <v>#N/A</v>
      </c>
      <c r="JSD27" s="24" t="e">
        <v>#N/A</v>
      </c>
      <c r="JSE27" s="24" t="e">
        <v>#N/A</v>
      </c>
      <c r="JSF27" s="24" t="e">
        <v>#N/A</v>
      </c>
      <c r="JSG27" s="24" t="e">
        <v>#N/A</v>
      </c>
      <c r="JSH27" s="24" t="e">
        <v>#N/A</v>
      </c>
      <c r="JSI27" s="24" t="e">
        <v>#N/A</v>
      </c>
      <c r="JSJ27" s="24" t="e">
        <v>#N/A</v>
      </c>
      <c r="JSK27" s="24" t="e">
        <v>#N/A</v>
      </c>
      <c r="JSL27" s="24" t="e">
        <v>#N/A</v>
      </c>
      <c r="JSM27" s="24" t="e">
        <v>#N/A</v>
      </c>
      <c r="JSN27" s="24" t="e">
        <v>#N/A</v>
      </c>
      <c r="JSO27" s="24" t="e">
        <v>#N/A</v>
      </c>
      <c r="JSP27" s="24" t="e">
        <v>#N/A</v>
      </c>
      <c r="JSQ27" s="24" t="e">
        <v>#N/A</v>
      </c>
      <c r="JSR27" s="24" t="e">
        <v>#N/A</v>
      </c>
      <c r="JSS27" s="24" t="e">
        <v>#N/A</v>
      </c>
      <c r="JST27" s="24" t="e">
        <v>#N/A</v>
      </c>
      <c r="JSU27" s="24" t="e">
        <v>#N/A</v>
      </c>
      <c r="JSV27" s="24" t="e">
        <v>#N/A</v>
      </c>
      <c r="JSW27" s="24" t="e">
        <v>#N/A</v>
      </c>
      <c r="JSX27" s="24" t="e">
        <v>#N/A</v>
      </c>
      <c r="JSY27" s="24" t="e">
        <v>#N/A</v>
      </c>
      <c r="JSZ27" s="24" t="e">
        <v>#N/A</v>
      </c>
      <c r="JTA27" s="24" t="e">
        <v>#N/A</v>
      </c>
      <c r="JTB27" s="24" t="e">
        <v>#N/A</v>
      </c>
      <c r="JTC27" s="24" t="e">
        <v>#N/A</v>
      </c>
      <c r="JTD27" s="24" t="e">
        <v>#N/A</v>
      </c>
      <c r="JTE27" s="24" t="e">
        <v>#N/A</v>
      </c>
      <c r="JTF27" s="24" t="e">
        <v>#N/A</v>
      </c>
      <c r="JTG27" s="24" t="e">
        <v>#N/A</v>
      </c>
      <c r="JTH27" s="24" t="e">
        <v>#N/A</v>
      </c>
      <c r="JTI27" s="24" t="e">
        <v>#N/A</v>
      </c>
      <c r="JTJ27" s="24" t="e">
        <v>#N/A</v>
      </c>
      <c r="JTK27" s="24" t="e">
        <v>#N/A</v>
      </c>
      <c r="JTL27" s="24" t="e">
        <v>#N/A</v>
      </c>
      <c r="JTM27" s="24" t="e">
        <v>#N/A</v>
      </c>
      <c r="JTN27" s="24" t="e">
        <v>#N/A</v>
      </c>
      <c r="JTO27" s="24" t="e">
        <v>#N/A</v>
      </c>
      <c r="JTP27" s="24" t="e">
        <v>#N/A</v>
      </c>
      <c r="JTQ27" s="24" t="e">
        <v>#N/A</v>
      </c>
      <c r="JTR27" s="24" t="e">
        <v>#N/A</v>
      </c>
      <c r="JTS27" s="24" t="e">
        <v>#N/A</v>
      </c>
      <c r="JTT27" s="24" t="e">
        <v>#N/A</v>
      </c>
      <c r="JTU27" s="24" t="e">
        <v>#N/A</v>
      </c>
      <c r="JTV27" s="24" t="e">
        <v>#N/A</v>
      </c>
      <c r="JTW27" s="24" t="e">
        <v>#N/A</v>
      </c>
      <c r="JTX27" s="24" t="e">
        <v>#N/A</v>
      </c>
      <c r="JTY27" s="24" t="e">
        <v>#N/A</v>
      </c>
      <c r="JTZ27" s="24" t="e">
        <v>#N/A</v>
      </c>
      <c r="JUA27" s="24" t="e">
        <v>#N/A</v>
      </c>
      <c r="JUB27" s="24" t="e">
        <v>#N/A</v>
      </c>
      <c r="JUC27" s="24" t="e">
        <v>#N/A</v>
      </c>
      <c r="JUD27" s="24" t="e">
        <v>#N/A</v>
      </c>
      <c r="JUE27" s="24" t="e">
        <v>#N/A</v>
      </c>
      <c r="JUF27" s="24" t="e">
        <v>#N/A</v>
      </c>
      <c r="JUG27" s="24" t="e">
        <v>#N/A</v>
      </c>
      <c r="JUH27" s="24" t="e">
        <v>#N/A</v>
      </c>
      <c r="JUI27" s="24" t="e">
        <v>#N/A</v>
      </c>
      <c r="JUJ27" s="24" t="e">
        <v>#N/A</v>
      </c>
      <c r="JUK27" s="24" t="e">
        <v>#N/A</v>
      </c>
      <c r="JUL27" s="24" t="e">
        <v>#N/A</v>
      </c>
      <c r="JUM27" s="24" t="e">
        <v>#N/A</v>
      </c>
      <c r="JUN27" s="24" t="e">
        <v>#N/A</v>
      </c>
      <c r="JUO27" s="24" t="e">
        <v>#N/A</v>
      </c>
      <c r="JUP27" s="24" t="e">
        <v>#N/A</v>
      </c>
      <c r="JUQ27" s="24" t="e">
        <v>#N/A</v>
      </c>
      <c r="JUR27" s="24" t="e">
        <v>#N/A</v>
      </c>
      <c r="JUS27" s="24" t="e">
        <v>#N/A</v>
      </c>
      <c r="JUT27" s="24" t="e">
        <v>#N/A</v>
      </c>
      <c r="JUU27" s="24" t="e">
        <v>#N/A</v>
      </c>
      <c r="JUV27" s="24" t="e">
        <v>#N/A</v>
      </c>
      <c r="JUW27" s="24" t="e">
        <v>#N/A</v>
      </c>
      <c r="JUX27" s="24" t="e">
        <v>#N/A</v>
      </c>
      <c r="JUY27" s="24" t="e">
        <v>#N/A</v>
      </c>
      <c r="JUZ27" s="24" t="e">
        <v>#N/A</v>
      </c>
      <c r="JVA27" s="24" t="e">
        <v>#N/A</v>
      </c>
      <c r="JVB27" s="24" t="e">
        <v>#N/A</v>
      </c>
      <c r="JVC27" s="24" t="e">
        <v>#N/A</v>
      </c>
      <c r="JVD27" s="24" t="e">
        <v>#N/A</v>
      </c>
      <c r="JVE27" s="24" t="e">
        <v>#N/A</v>
      </c>
      <c r="JVF27" s="24" t="e">
        <v>#N/A</v>
      </c>
      <c r="JVG27" s="24" t="e">
        <v>#N/A</v>
      </c>
      <c r="JVH27" s="24" t="e">
        <v>#N/A</v>
      </c>
      <c r="JVI27" s="24" t="e">
        <v>#N/A</v>
      </c>
      <c r="JVJ27" s="24" t="e">
        <v>#N/A</v>
      </c>
      <c r="JVK27" s="24" t="e">
        <v>#N/A</v>
      </c>
      <c r="JVL27" s="24" t="e">
        <v>#N/A</v>
      </c>
      <c r="JVM27" s="24" t="e">
        <v>#N/A</v>
      </c>
      <c r="JVN27" s="24" t="e">
        <v>#N/A</v>
      </c>
      <c r="JVO27" s="24" t="e">
        <v>#N/A</v>
      </c>
      <c r="JVP27" s="24" t="e">
        <v>#N/A</v>
      </c>
      <c r="JVQ27" s="24" t="e">
        <v>#N/A</v>
      </c>
      <c r="JVR27" s="24" t="e">
        <v>#N/A</v>
      </c>
      <c r="JVS27" s="24" t="e">
        <v>#N/A</v>
      </c>
      <c r="JVT27" s="24" t="e">
        <v>#N/A</v>
      </c>
      <c r="JVU27" s="24" t="e">
        <v>#N/A</v>
      </c>
      <c r="JVV27" s="24" t="e">
        <v>#N/A</v>
      </c>
      <c r="JVW27" s="24" t="e">
        <v>#N/A</v>
      </c>
      <c r="JVX27" s="24" t="e">
        <v>#N/A</v>
      </c>
      <c r="JVY27" s="24" t="e">
        <v>#N/A</v>
      </c>
      <c r="JVZ27" s="24" t="e">
        <v>#N/A</v>
      </c>
      <c r="JWA27" s="24" t="e">
        <v>#N/A</v>
      </c>
      <c r="JWB27" s="24" t="e">
        <v>#N/A</v>
      </c>
      <c r="JWC27" s="24" t="e">
        <v>#N/A</v>
      </c>
      <c r="JWD27" s="24" t="e">
        <v>#N/A</v>
      </c>
      <c r="JWE27" s="24" t="e">
        <v>#N/A</v>
      </c>
      <c r="JWF27" s="24" t="e">
        <v>#N/A</v>
      </c>
      <c r="JWG27" s="24" t="e">
        <v>#N/A</v>
      </c>
      <c r="JWH27" s="24" t="e">
        <v>#N/A</v>
      </c>
      <c r="JWI27" s="24" t="e">
        <v>#N/A</v>
      </c>
      <c r="JWJ27" s="24" t="e">
        <v>#N/A</v>
      </c>
      <c r="JWK27" s="24" t="e">
        <v>#N/A</v>
      </c>
      <c r="JWL27" s="24" t="e">
        <v>#N/A</v>
      </c>
      <c r="JWM27" s="24" t="e">
        <v>#N/A</v>
      </c>
      <c r="JWN27" s="24" t="e">
        <v>#N/A</v>
      </c>
      <c r="JWO27" s="24" t="e">
        <v>#N/A</v>
      </c>
      <c r="JWP27" s="24" t="e">
        <v>#N/A</v>
      </c>
      <c r="JWQ27" s="24" t="e">
        <v>#N/A</v>
      </c>
      <c r="JWR27" s="24" t="e">
        <v>#N/A</v>
      </c>
      <c r="JWS27" s="24" t="e">
        <v>#N/A</v>
      </c>
      <c r="JWT27" s="24" t="e">
        <v>#N/A</v>
      </c>
      <c r="JWU27" s="24" t="e">
        <v>#N/A</v>
      </c>
      <c r="JWV27" s="24" t="e">
        <v>#N/A</v>
      </c>
      <c r="JWW27" s="24" t="e">
        <v>#N/A</v>
      </c>
      <c r="JWX27" s="24" t="e">
        <v>#N/A</v>
      </c>
      <c r="JWY27" s="24" t="e">
        <v>#N/A</v>
      </c>
      <c r="JWZ27" s="24" t="e">
        <v>#N/A</v>
      </c>
      <c r="JXA27" s="24" t="e">
        <v>#N/A</v>
      </c>
      <c r="JXB27" s="24" t="e">
        <v>#N/A</v>
      </c>
      <c r="JXC27" s="24" t="e">
        <v>#N/A</v>
      </c>
      <c r="JXD27" s="24" t="e">
        <v>#N/A</v>
      </c>
      <c r="JXE27" s="24" t="e">
        <v>#N/A</v>
      </c>
      <c r="JXF27" s="24" t="e">
        <v>#N/A</v>
      </c>
      <c r="JXG27" s="24" t="e">
        <v>#N/A</v>
      </c>
      <c r="JXH27" s="24" t="e">
        <v>#N/A</v>
      </c>
      <c r="JXI27" s="24" t="e">
        <v>#N/A</v>
      </c>
      <c r="JXJ27" s="24" t="e">
        <v>#N/A</v>
      </c>
      <c r="JXK27" s="24" t="e">
        <v>#N/A</v>
      </c>
      <c r="JXL27" s="24" t="e">
        <v>#N/A</v>
      </c>
      <c r="JXM27" s="24" t="e">
        <v>#N/A</v>
      </c>
      <c r="JXN27" s="24" t="e">
        <v>#N/A</v>
      </c>
      <c r="JXO27" s="24" t="e">
        <v>#N/A</v>
      </c>
      <c r="JXP27" s="24" t="e">
        <v>#N/A</v>
      </c>
      <c r="JXQ27" s="24" t="e">
        <v>#N/A</v>
      </c>
      <c r="JXR27" s="24" t="e">
        <v>#N/A</v>
      </c>
      <c r="JXS27" s="24" t="e">
        <v>#N/A</v>
      </c>
      <c r="JXT27" s="24" t="e">
        <v>#N/A</v>
      </c>
      <c r="JXU27" s="24" t="e">
        <v>#N/A</v>
      </c>
      <c r="JXV27" s="24" t="e">
        <v>#N/A</v>
      </c>
      <c r="JXW27" s="24" t="e">
        <v>#N/A</v>
      </c>
      <c r="JXX27" s="24" t="e">
        <v>#N/A</v>
      </c>
      <c r="JXY27" s="24" t="e">
        <v>#N/A</v>
      </c>
      <c r="JXZ27" s="24" t="e">
        <v>#N/A</v>
      </c>
      <c r="JYA27" s="24" t="e">
        <v>#N/A</v>
      </c>
      <c r="JYB27" s="24" t="e">
        <v>#N/A</v>
      </c>
      <c r="JYC27" s="24" t="e">
        <v>#N/A</v>
      </c>
      <c r="JYD27" s="24" t="e">
        <v>#N/A</v>
      </c>
      <c r="JYE27" s="24" t="e">
        <v>#N/A</v>
      </c>
      <c r="JYF27" s="24" t="e">
        <v>#N/A</v>
      </c>
      <c r="JYG27" s="24" t="e">
        <v>#N/A</v>
      </c>
      <c r="JYH27" s="24" t="e">
        <v>#N/A</v>
      </c>
      <c r="JYI27" s="24" t="e">
        <v>#N/A</v>
      </c>
      <c r="JYJ27" s="24" t="e">
        <v>#N/A</v>
      </c>
      <c r="JYK27" s="24" t="e">
        <v>#N/A</v>
      </c>
      <c r="JYL27" s="24" t="e">
        <v>#N/A</v>
      </c>
      <c r="JYM27" s="24" t="e">
        <v>#N/A</v>
      </c>
      <c r="JYN27" s="24" t="e">
        <v>#N/A</v>
      </c>
      <c r="JYO27" s="24" t="e">
        <v>#N/A</v>
      </c>
      <c r="JYP27" s="24" t="e">
        <v>#N/A</v>
      </c>
      <c r="JYQ27" s="24" t="e">
        <v>#N/A</v>
      </c>
      <c r="JYR27" s="24" t="e">
        <v>#N/A</v>
      </c>
      <c r="JYS27" s="24" t="e">
        <v>#N/A</v>
      </c>
      <c r="JYT27" s="24" t="e">
        <v>#N/A</v>
      </c>
      <c r="JYU27" s="24" t="e">
        <v>#N/A</v>
      </c>
      <c r="JYV27" s="24" t="e">
        <v>#N/A</v>
      </c>
      <c r="JYW27" s="24" t="e">
        <v>#N/A</v>
      </c>
      <c r="JYX27" s="24" t="e">
        <v>#N/A</v>
      </c>
      <c r="JYY27" s="24" t="e">
        <v>#N/A</v>
      </c>
      <c r="JYZ27" s="24" t="e">
        <v>#N/A</v>
      </c>
      <c r="JZA27" s="24" t="e">
        <v>#N/A</v>
      </c>
      <c r="JZB27" s="24" t="e">
        <v>#N/A</v>
      </c>
      <c r="JZC27" s="24" t="e">
        <v>#N/A</v>
      </c>
      <c r="JZD27" s="24" t="e">
        <v>#N/A</v>
      </c>
      <c r="JZE27" s="24" t="e">
        <v>#N/A</v>
      </c>
      <c r="JZF27" s="24" t="e">
        <v>#N/A</v>
      </c>
      <c r="JZG27" s="24" t="e">
        <v>#N/A</v>
      </c>
      <c r="JZH27" s="24" t="e">
        <v>#N/A</v>
      </c>
      <c r="JZI27" s="24" t="e">
        <v>#N/A</v>
      </c>
      <c r="JZJ27" s="24" t="e">
        <v>#N/A</v>
      </c>
      <c r="JZK27" s="24" t="e">
        <v>#N/A</v>
      </c>
      <c r="JZL27" s="24" t="e">
        <v>#N/A</v>
      </c>
      <c r="JZM27" s="24" t="e">
        <v>#N/A</v>
      </c>
      <c r="JZN27" s="24" t="e">
        <v>#N/A</v>
      </c>
      <c r="JZO27" s="24" t="e">
        <v>#N/A</v>
      </c>
      <c r="JZP27" s="24" t="e">
        <v>#N/A</v>
      </c>
      <c r="JZQ27" s="24" t="e">
        <v>#N/A</v>
      </c>
      <c r="JZR27" s="24" t="e">
        <v>#N/A</v>
      </c>
      <c r="JZS27" s="24" t="e">
        <v>#N/A</v>
      </c>
      <c r="JZT27" s="24" t="e">
        <v>#N/A</v>
      </c>
      <c r="JZU27" s="24" t="e">
        <v>#N/A</v>
      </c>
      <c r="JZV27" s="24" t="e">
        <v>#N/A</v>
      </c>
      <c r="JZW27" s="24" t="e">
        <v>#N/A</v>
      </c>
      <c r="JZX27" s="24" t="e">
        <v>#N/A</v>
      </c>
      <c r="JZY27" s="24" t="e">
        <v>#N/A</v>
      </c>
      <c r="JZZ27" s="24" t="e">
        <v>#N/A</v>
      </c>
      <c r="KAA27" s="24" t="e">
        <v>#N/A</v>
      </c>
      <c r="KAB27" s="24" t="e">
        <v>#N/A</v>
      </c>
      <c r="KAC27" s="24" t="e">
        <v>#N/A</v>
      </c>
      <c r="KAD27" s="24" t="e">
        <v>#N/A</v>
      </c>
      <c r="KAE27" s="24" t="e">
        <v>#N/A</v>
      </c>
      <c r="KAF27" s="24" t="e">
        <v>#N/A</v>
      </c>
      <c r="KAG27" s="24" t="e">
        <v>#N/A</v>
      </c>
      <c r="KAH27" s="24" t="e">
        <v>#N/A</v>
      </c>
      <c r="KAI27" s="24" t="e">
        <v>#N/A</v>
      </c>
      <c r="KAJ27" s="24" t="e">
        <v>#N/A</v>
      </c>
      <c r="KAK27" s="24" t="e">
        <v>#N/A</v>
      </c>
      <c r="KAL27" s="24" t="e">
        <v>#N/A</v>
      </c>
      <c r="KAM27" s="24" t="e">
        <v>#N/A</v>
      </c>
      <c r="KAN27" s="24" t="e">
        <v>#N/A</v>
      </c>
      <c r="KAO27" s="24" t="e">
        <v>#N/A</v>
      </c>
      <c r="KAP27" s="24" t="e">
        <v>#N/A</v>
      </c>
      <c r="KAQ27" s="24" t="e">
        <v>#N/A</v>
      </c>
      <c r="KAR27" s="24" t="e">
        <v>#N/A</v>
      </c>
      <c r="KAS27" s="24" t="e">
        <v>#N/A</v>
      </c>
      <c r="KAT27" s="24" t="e">
        <v>#N/A</v>
      </c>
      <c r="KAU27" s="24" t="e">
        <v>#N/A</v>
      </c>
      <c r="KAV27" s="24" t="e">
        <v>#N/A</v>
      </c>
      <c r="KAW27" s="24" t="e">
        <v>#N/A</v>
      </c>
      <c r="KAX27" s="24" t="e">
        <v>#N/A</v>
      </c>
      <c r="KAY27" s="24" t="e">
        <v>#N/A</v>
      </c>
      <c r="KAZ27" s="24" t="e">
        <v>#N/A</v>
      </c>
      <c r="KBA27" s="24" t="e">
        <v>#N/A</v>
      </c>
      <c r="KBB27" s="24" t="e">
        <v>#N/A</v>
      </c>
      <c r="KBC27" s="24" t="e">
        <v>#N/A</v>
      </c>
      <c r="KBD27" s="24" t="e">
        <v>#N/A</v>
      </c>
      <c r="KBE27" s="24" t="e">
        <v>#N/A</v>
      </c>
      <c r="KBF27" s="24" t="e">
        <v>#N/A</v>
      </c>
      <c r="KBG27" s="24" t="e">
        <v>#N/A</v>
      </c>
      <c r="KBH27" s="24" t="e">
        <v>#N/A</v>
      </c>
      <c r="KBI27" s="24" t="e">
        <v>#N/A</v>
      </c>
      <c r="KBJ27" s="24" t="e">
        <v>#N/A</v>
      </c>
      <c r="KBK27" s="24" t="e">
        <v>#N/A</v>
      </c>
      <c r="KBL27" s="24" t="e">
        <v>#N/A</v>
      </c>
      <c r="KBM27" s="24" t="e">
        <v>#N/A</v>
      </c>
      <c r="KBN27" s="24" t="e">
        <v>#N/A</v>
      </c>
      <c r="KBO27" s="24" t="e">
        <v>#N/A</v>
      </c>
      <c r="KBP27" s="24" t="e">
        <v>#N/A</v>
      </c>
      <c r="KBQ27" s="24" t="e">
        <v>#N/A</v>
      </c>
      <c r="KBR27" s="24" t="e">
        <v>#N/A</v>
      </c>
      <c r="KBS27" s="24" t="e">
        <v>#N/A</v>
      </c>
      <c r="KBT27" s="24" t="e">
        <v>#N/A</v>
      </c>
      <c r="KBU27" s="24" t="e">
        <v>#N/A</v>
      </c>
      <c r="KBV27" s="24" t="e">
        <v>#N/A</v>
      </c>
      <c r="KBW27" s="24" t="e">
        <v>#N/A</v>
      </c>
      <c r="KBX27" s="24" t="e">
        <v>#N/A</v>
      </c>
      <c r="KBY27" s="24" t="e">
        <v>#N/A</v>
      </c>
      <c r="KBZ27" s="24" t="e">
        <v>#N/A</v>
      </c>
      <c r="KCA27" s="24" t="e">
        <v>#N/A</v>
      </c>
      <c r="KCB27" s="24" t="e">
        <v>#N/A</v>
      </c>
      <c r="KCC27" s="24" t="e">
        <v>#N/A</v>
      </c>
      <c r="KCD27" s="24" t="e">
        <v>#N/A</v>
      </c>
      <c r="KCE27" s="24" t="e">
        <v>#N/A</v>
      </c>
      <c r="KCF27" s="24" t="e">
        <v>#N/A</v>
      </c>
      <c r="KCG27" s="24" t="e">
        <v>#N/A</v>
      </c>
      <c r="KCH27" s="24" t="e">
        <v>#N/A</v>
      </c>
      <c r="KCI27" s="24" t="e">
        <v>#N/A</v>
      </c>
      <c r="KCJ27" s="24" t="e">
        <v>#N/A</v>
      </c>
      <c r="KCK27" s="24" t="e">
        <v>#N/A</v>
      </c>
      <c r="KCL27" s="24" t="e">
        <v>#N/A</v>
      </c>
      <c r="KCM27" s="24" t="e">
        <v>#N/A</v>
      </c>
      <c r="KCN27" s="24" t="e">
        <v>#N/A</v>
      </c>
      <c r="KCO27" s="24" t="e">
        <v>#N/A</v>
      </c>
      <c r="KCP27" s="24" t="e">
        <v>#N/A</v>
      </c>
      <c r="KCQ27" s="24" t="e">
        <v>#N/A</v>
      </c>
      <c r="KCR27" s="24" t="e">
        <v>#N/A</v>
      </c>
      <c r="KCS27" s="24" t="e">
        <v>#N/A</v>
      </c>
      <c r="KCT27" s="24" t="e">
        <v>#N/A</v>
      </c>
      <c r="KCU27" s="24" t="e">
        <v>#N/A</v>
      </c>
      <c r="KCV27" s="24" t="e">
        <v>#N/A</v>
      </c>
      <c r="KCW27" s="24" t="e">
        <v>#N/A</v>
      </c>
      <c r="KCX27" s="24" t="e">
        <v>#N/A</v>
      </c>
      <c r="KCY27" s="24" t="e">
        <v>#N/A</v>
      </c>
      <c r="KCZ27" s="24" t="e">
        <v>#N/A</v>
      </c>
      <c r="KDA27" s="24" t="e">
        <v>#N/A</v>
      </c>
      <c r="KDB27" s="24" t="e">
        <v>#N/A</v>
      </c>
      <c r="KDC27" s="24" t="e">
        <v>#N/A</v>
      </c>
      <c r="KDD27" s="24" t="e">
        <v>#N/A</v>
      </c>
      <c r="KDE27" s="24" t="e">
        <v>#N/A</v>
      </c>
      <c r="KDF27" s="24" t="e">
        <v>#N/A</v>
      </c>
      <c r="KDG27" s="24" t="e">
        <v>#N/A</v>
      </c>
      <c r="KDH27" s="24" t="e">
        <v>#N/A</v>
      </c>
      <c r="KDI27" s="24" t="e">
        <v>#N/A</v>
      </c>
      <c r="KDJ27" s="24" t="e">
        <v>#N/A</v>
      </c>
      <c r="KDK27" s="24" t="e">
        <v>#N/A</v>
      </c>
      <c r="KDL27" s="24" t="e">
        <v>#N/A</v>
      </c>
      <c r="KDM27" s="24" t="e">
        <v>#N/A</v>
      </c>
      <c r="KDN27" s="24" t="e">
        <v>#N/A</v>
      </c>
      <c r="KDO27" s="24" t="e">
        <v>#N/A</v>
      </c>
      <c r="KDP27" s="24" t="e">
        <v>#N/A</v>
      </c>
      <c r="KDQ27" s="24" t="e">
        <v>#N/A</v>
      </c>
      <c r="KDR27" s="24" t="e">
        <v>#N/A</v>
      </c>
      <c r="KDS27" s="24" t="e">
        <v>#N/A</v>
      </c>
      <c r="KDT27" s="24" t="e">
        <v>#N/A</v>
      </c>
      <c r="KDU27" s="24" t="e">
        <v>#N/A</v>
      </c>
      <c r="KDV27" s="24" t="e">
        <v>#N/A</v>
      </c>
      <c r="KDW27" s="24" t="e">
        <v>#N/A</v>
      </c>
      <c r="KDX27" s="24" t="e">
        <v>#N/A</v>
      </c>
      <c r="KDY27" s="24" t="e">
        <v>#N/A</v>
      </c>
      <c r="KDZ27" s="24" t="e">
        <v>#N/A</v>
      </c>
      <c r="KEA27" s="24" t="e">
        <v>#N/A</v>
      </c>
      <c r="KEB27" s="24" t="e">
        <v>#N/A</v>
      </c>
      <c r="KEC27" s="24" t="e">
        <v>#N/A</v>
      </c>
      <c r="KED27" s="24" t="e">
        <v>#N/A</v>
      </c>
      <c r="KEE27" s="24" t="e">
        <v>#N/A</v>
      </c>
      <c r="KEF27" s="24" t="e">
        <v>#N/A</v>
      </c>
      <c r="KEG27" s="24" t="e">
        <v>#N/A</v>
      </c>
      <c r="KEH27" s="24" t="e">
        <v>#N/A</v>
      </c>
      <c r="KEI27" s="24" t="e">
        <v>#N/A</v>
      </c>
      <c r="KEJ27" s="24" t="e">
        <v>#N/A</v>
      </c>
      <c r="KEK27" s="24" t="e">
        <v>#N/A</v>
      </c>
      <c r="KEL27" s="24" t="e">
        <v>#N/A</v>
      </c>
      <c r="KEM27" s="24" t="e">
        <v>#N/A</v>
      </c>
      <c r="KEN27" s="24" t="e">
        <v>#N/A</v>
      </c>
      <c r="KEO27" s="24" t="e">
        <v>#N/A</v>
      </c>
      <c r="KEP27" s="24" t="e">
        <v>#N/A</v>
      </c>
      <c r="KEQ27" s="24" t="e">
        <v>#N/A</v>
      </c>
      <c r="KER27" s="24" t="e">
        <v>#N/A</v>
      </c>
      <c r="KES27" s="24" t="e">
        <v>#N/A</v>
      </c>
      <c r="KET27" s="24" t="e">
        <v>#N/A</v>
      </c>
      <c r="KEU27" s="24" t="e">
        <v>#N/A</v>
      </c>
      <c r="KEV27" s="24" t="e">
        <v>#N/A</v>
      </c>
      <c r="KEW27" s="24" t="e">
        <v>#N/A</v>
      </c>
      <c r="KEX27" s="24" t="e">
        <v>#N/A</v>
      </c>
      <c r="KEY27" s="24" t="e">
        <v>#N/A</v>
      </c>
      <c r="KEZ27" s="24" t="e">
        <v>#N/A</v>
      </c>
      <c r="KFA27" s="24" t="e">
        <v>#N/A</v>
      </c>
      <c r="KFB27" s="24" t="e">
        <v>#N/A</v>
      </c>
      <c r="KFC27" s="24" t="e">
        <v>#N/A</v>
      </c>
      <c r="KFD27" s="24" t="e">
        <v>#N/A</v>
      </c>
      <c r="KFE27" s="24" t="e">
        <v>#N/A</v>
      </c>
      <c r="KFF27" s="24" t="e">
        <v>#N/A</v>
      </c>
      <c r="KFG27" s="24" t="e">
        <v>#N/A</v>
      </c>
      <c r="KFH27" s="24" t="e">
        <v>#N/A</v>
      </c>
      <c r="KFI27" s="24" t="e">
        <v>#N/A</v>
      </c>
      <c r="KFJ27" s="24" t="e">
        <v>#N/A</v>
      </c>
      <c r="KFK27" s="24" t="e">
        <v>#N/A</v>
      </c>
      <c r="KFL27" s="24" t="e">
        <v>#N/A</v>
      </c>
      <c r="KFM27" s="24" t="e">
        <v>#N/A</v>
      </c>
      <c r="KFN27" s="24" t="e">
        <v>#N/A</v>
      </c>
      <c r="KFO27" s="24" t="e">
        <v>#N/A</v>
      </c>
      <c r="KFP27" s="24" t="e">
        <v>#N/A</v>
      </c>
      <c r="KFQ27" s="24" t="e">
        <v>#N/A</v>
      </c>
      <c r="KFR27" s="24" t="e">
        <v>#N/A</v>
      </c>
      <c r="KFS27" s="24" t="e">
        <v>#N/A</v>
      </c>
      <c r="KFT27" s="24" t="e">
        <v>#N/A</v>
      </c>
      <c r="KFU27" s="24" t="e">
        <v>#N/A</v>
      </c>
      <c r="KFV27" s="24" t="e">
        <v>#N/A</v>
      </c>
      <c r="KFW27" s="24" t="e">
        <v>#N/A</v>
      </c>
      <c r="KFX27" s="24" t="e">
        <v>#N/A</v>
      </c>
      <c r="KFY27" s="24" t="e">
        <v>#N/A</v>
      </c>
      <c r="KFZ27" s="24" t="e">
        <v>#N/A</v>
      </c>
      <c r="KGA27" s="24" t="e">
        <v>#N/A</v>
      </c>
      <c r="KGB27" s="24" t="e">
        <v>#N/A</v>
      </c>
      <c r="KGC27" s="24" t="e">
        <v>#N/A</v>
      </c>
      <c r="KGD27" s="24" t="e">
        <v>#N/A</v>
      </c>
      <c r="KGE27" s="24" t="e">
        <v>#N/A</v>
      </c>
      <c r="KGF27" s="24" t="e">
        <v>#N/A</v>
      </c>
      <c r="KGG27" s="24" t="e">
        <v>#N/A</v>
      </c>
      <c r="KGH27" s="24" t="e">
        <v>#N/A</v>
      </c>
      <c r="KGI27" s="24" t="e">
        <v>#N/A</v>
      </c>
      <c r="KGJ27" s="24" t="e">
        <v>#N/A</v>
      </c>
      <c r="KGK27" s="24" t="e">
        <v>#N/A</v>
      </c>
      <c r="KGL27" s="24" t="e">
        <v>#N/A</v>
      </c>
      <c r="KGM27" s="24" t="e">
        <v>#N/A</v>
      </c>
      <c r="KGN27" s="24" t="e">
        <v>#N/A</v>
      </c>
      <c r="KGO27" s="24" t="e">
        <v>#N/A</v>
      </c>
      <c r="KGP27" s="24" t="e">
        <v>#N/A</v>
      </c>
      <c r="KGQ27" s="24" t="e">
        <v>#N/A</v>
      </c>
      <c r="KGR27" s="24" t="e">
        <v>#N/A</v>
      </c>
      <c r="KGS27" s="24" t="e">
        <v>#N/A</v>
      </c>
      <c r="KGT27" s="24" t="e">
        <v>#N/A</v>
      </c>
      <c r="KGU27" s="24" t="e">
        <v>#N/A</v>
      </c>
      <c r="KGV27" s="24" t="e">
        <v>#N/A</v>
      </c>
      <c r="KGW27" s="24" t="e">
        <v>#N/A</v>
      </c>
      <c r="KGX27" s="24" t="e">
        <v>#N/A</v>
      </c>
      <c r="KGY27" s="24" t="e">
        <v>#N/A</v>
      </c>
      <c r="KGZ27" s="24" t="e">
        <v>#N/A</v>
      </c>
      <c r="KHA27" s="24" t="e">
        <v>#N/A</v>
      </c>
      <c r="KHB27" s="24" t="e">
        <v>#N/A</v>
      </c>
      <c r="KHC27" s="24" t="e">
        <v>#N/A</v>
      </c>
      <c r="KHD27" s="24" t="e">
        <v>#N/A</v>
      </c>
      <c r="KHE27" s="24" t="e">
        <v>#N/A</v>
      </c>
      <c r="KHF27" s="24" t="e">
        <v>#N/A</v>
      </c>
      <c r="KHG27" s="24" t="e">
        <v>#N/A</v>
      </c>
      <c r="KHH27" s="24" t="e">
        <v>#N/A</v>
      </c>
      <c r="KHI27" s="24" t="e">
        <v>#N/A</v>
      </c>
      <c r="KHJ27" s="24" t="e">
        <v>#N/A</v>
      </c>
      <c r="KHK27" s="24" t="e">
        <v>#N/A</v>
      </c>
      <c r="KHL27" s="24" t="e">
        <v>#N/A</v>
      </c>
      <c r="KHM27" s="24" t="e">
        <v>#N/A</v>
      </c>
      <c r="KHN27" s="24" t="e">
        <v>#N/A</v>
      </c>
      <c r="KHO27" s="24" t="e">
        <v>#N/A</v>
      </c>
      <c r="KHP27" s="24" t="e">
        <v>#N/A</v>
      </c>
      <c r="KHQ27" s="24" t="e">
        <v>#N/A</v>
      </c>
      <c r="KHR27" s="24" t="e">
        <v>#N/A</v>
      </c>
      <c r="KHS27" s="24" t="e">
        <v>#N/A</v>
      </c>
      <c r="KHT27" s="24" t="e">
        <v>#N/A</v>
      </c>
      <c r="KHU27" s="24" t="e">
        <v>#N/A</v>
      </c>
      <c r="KHV27" s="24" t="e">
        <v>#N/A</v>
      </c>
      <c r="KHW27" s="24" t="e">
        <v>#N/A</v>
      </c>
      <c r="KHX27" s="24" t="e">
        <v>#N/A</v>
      </c>
      <c r="KHY27" s="24" t="e">
        <v>#N/A</v>
      </c>
      <c r="KHZ27" s="24" t="e">
        <v>#N/A</v>
      </c>
      <c r="KIA27" s="24" t="e">
        <v>#N/A</v>
      </c>
      <c r="KIB27" s="24" t="e">
        <v>#N/A</v>
      </c>
      <c r="KIC27" s="24" t="e">
        <v>#N/A</v>
      </c>
      <c r="KID27" s="24" t="e">
        <v>#N/A</v>
      </c>
      <c r="KIE27" s="24" t="e">
        <v>#N/A</v>
      </c>
      <c r="KIF27" s="24" t="e">
        <v>#N/A</v>
      </c>
      <c r="KIG27" s="24" t="e">
        <v>#N/A</v>
      </c>
      <c r="KIH27" s="24" t="e">
        <v>#N/A</v>
      </c>
      <c r="KII27" s="24" t="e">
        <v>#N/A</v>
      </c>
      <c r="KIJ27" s="24" t="e">
        <v>#N/A</v>
      </c>
      <c r="KIK27" s="24" t="e">
        <v>#N/A</v>
      </c>
      <c r="KIL27" s="24" t="e">
        <v>#N/A</v>
      </c>
      <c r="KIM27" s="24" t="e">
        <v>#N/A</v>
      </c>
      <c r="KIN27" s="24" t="e">
        <v>#N/A</v>
      </c>
      <c r="KIO27" s="24" t="e">
        <v>#N/A</v>
      </c>
      <c r="KIP27" s="24" t="e">
        <v>#N/A</v>
      </c>
      <c r="KIQ27" s="24" t="e">
        <v>#N/A</v>
      </c>
      <c r="KIR27" s="24" t="e">
        <v>#N/A</v>
      </c>
      <c r="KIS27" s="24" t="e">
        <v>#N/A</v>
      </c>
      <c r="KIT27" s="24" t="e">
        <v>#N/A</v>
      </c>
      <c r="KIU27" s="24" t="e">
        <v>#N/A</v>
      </c>
      <c r="KIV27" s="24" t="e">
        <v>#N/A</v>
      </c>
      <c r="KIW27" s="24" t="e">
        <v>#N/A</v>
      </c>
      <c r="KIX27" s="24" t="e">
        <v>#N/A</v>
      </c>
      <c r="KIY27" s="24" t="e">
        <v>#N/A</v>
      </c>
      <c r="KIZ27" s="24" t="e">
        <v>#N/A</v>
      </c>
      <c r="KJA27" s="24" t="e">
        <v>#N/A</v>
      </c>
      <c r="KJB27" s="24" t="e">
        <v>#N/A</v>
      </c>
      <c r="KJC27" s="24" t="e">
        <v>#N/A</v>
      </c>
      <c r="KJD27" s="24" t="e">
        <v>#N/A</v>
      </c>
      <c r="KJE27" s="24" t="e">
        <v>#N/A</v>
      </c>
      <c r="KJF27" s="24" t="e">
        <v>#N/A</v>
      </c>
      <c r="KJG27" s="24" t="e">
        <v>#N/A</v>
      </c>
      <c r="KJH27" s="24" t="e">
        <v>#N/A</v>
      </c>
      <c r="KJI27" s="24" t="e">
        <v>#N/A</v>
      </c>
      <c r="KJJ27" s="24" t="e">
        <v>#N/A</v>
      </c>
      <c r="KJK27" s="24" t="e">
        <v>#N/A</v>
      </c>
      <c r="KJL27" s="24" t="e">
        <v>#N/A</v>
      </c>
      <c r="KJM27" s="24" t="e">
        <v>#N/A</v>
      </c>
      <c r="KJN27" s="24" t="e">
        <v>#N/A</v>
      </c>
      <c r="KJO27" s="24" t="e">
        <v>#N/A</v>
      </c>
      <c r="KJP27" s="24" t="e">
        <v>#N/A</v>
      </c>
      <c r="KJQ27" s="24" t="e">
        <v>#N/A</v>
      </c>
      <c r="KJR27" s="24" t="e">
        <v>#N/A</v>
      </c>
      <c r="KJS27" s="24" t="e">
        <v>#N/A</v>
      </c>
      <c r="KJT27" s="24" t="e">
        <v>#N/A</v>
      </c>
      <c r="KJU27" s="24" t="e">
        <v>#N/A</v>
      </c>
      <c r="KJV27" s="24" t="e">
        <v>#N/A</v>
      </c>
      <c r="KJW27" s="24" t="e">
        <v>#N/A</v>
      </c>
      <c r="KJX27" s="24" t="e">
        <v>#N/A</v>
      </c>
      <c r="KJY27" s="24" t="e">
        <v>#N/A</v>
      </c>
      <c r="KJZ27" s="24" t="e">
        <v>#N/A</v>
      </c>
      <c r="KKA27" s="24" t="e">
        <v>#N/A</v>
      </c>
      <c r="KKB27" s="24" t="e">
        <v>#N/A</v>
      </c>
      <c r="KKC27" s="24" t="e">
        <v>#N/A</v>
      </c>
      <c r="KKD27" s="24" t="e">
        <v>#N/A</v>
      </c>
      <c r="KKE27" s="24" t="e">
        <v>#N/A</v>
      </c>
      <c r="KKF27" s="24" t="e">
        <v>#N/A</v>
      </c>
      <c r="KKG27" s="24" t="e">
        <v>#N/A</v>
      </c>
      <c r="KKH27" s="24" t="e">
        <v>#N/A</v>
      </c>
      <c r="KKI27" s="24" t="e">
        <v>#N/A</v>
      </c>
      <c r="KKJ27" s="24" t="e">
        <v>#N/A</v>
      </c>
      <c r="KKK27" s="24" t="e">
        <v>#N/A</v>
      </c>
      <c r="KKL27" s="24" t="e">
        <v>#N/A</v>
      </c>
      <c r="KKM27" s="24" t="e">
        <v>#N/A</v>
      </c>
      <c r="KKN27" s="24" t="e">
        <v>#N/A</v>
      </c>
      <c r="KKO27" s="24" t="e">
        <v>#N/A</v>
      </c>
      <c r="KKP27" s="24" t="e">
        <v>#N/A</v>
      </c>
      <c r="KKQ27" s="24" t="e">
        <v>#N/A</v>
      </c>
      <c r="KKR27" s="24" t="e">
        <v>#N/A</v>
      </c>
      <c r="KKS27" s="24" t="e">
        <v>#N/A</v>
      </c>
      <c r="KKT27" s="24" t="e">
        <v>#N/A</v>
      </c>
      <c r="KKU27" s="24" t="e">
        <v>#N/A</v>
      </c>
      <c r="KKV27" s="24" t="e">
        <v>#N/A</v>
      </c>
      <c r="KKW27" s="24" t="e">
        <v>#N/A</v>
      </c>
      <c r="KKX27" s="24" t="e">
        <v>#N/A</v>
      </c>
      <c r="KKY27" s="24" t="e">
        <v>#N/A</v>
      </c>
      <c r="KKZ27" s="24" t="e">
        <v>#N/A</v>
      </c>
      <c r="KLA27" s="24" t="e">
        <v>#N/A</v>
      </c>
      <c r="KLB27" s="24" t="e">
        <v>#N/A</v>
      </c>
      <c r="KLC27" s="24" t="e">
        <v>#N/A</v>
      </c>
      <c r="KLD27" s="24" t="e">
        <v>#N/A</v>
      </c>
      <c r="KLE27" s="24" t="e">
        <v>#N/A</v>
      </c>
      <c r="KLF27" s="24" t="e">
        <v>#N/A</v>
      </c>
      <c r="KLG27" s="24" t="e">
        <v>#N/A</v>
      </c>
      <c r="KLH27" s="24" t="e">
        <v>#N/A</v>
      </c>
      <c r="KLI27" s="24" t="e">
        <v>#N/A</v>
      </c>
      <c r="KLJ27" s="24" t="e">
        <v>#N/A</v>
      </c>
      <c r="KLK27" s="24" t="e">
        <v>#N/A</v>
      </c>
      <c r="KLL27" s="24" t="e">
        <v>#N/A</v>
      </c>
      <c r="KLM27" s="24" t="e">
        <v>#N/A</v>
      </c>
      <c r="KLN27" s="24" t="e">
        <v>#N/A</v>
      </c>
      <c r="KLO27" s="24" t="e">
        <v>#N/A</v>
      </c>
      <c r="KLP27" s="24" t="e">
        <v>#N/A</v>
      </c>
      <c r="KLQ27" s="24" t="e">
        <v>#N/A</v>
      </c>
      <c r="KLR27" s="24" t="e">
        <v>#N/A</v>
      </c>
      <c r="KLS27" s="24" t="e">
        <v>#N/A</v>
      </c>
      <c r="KLT27" s="24" t="e">
        <v>#N/A</v>
      </c>
      <c r="KLU27" s="24" t="e">
        <v>#N/A</v>
      </c>
      <c r="KLV27" s="24" t="e">
        <v>#N/A</v>
      </c>
      <c r="KLW27" s="24" t="e">
        <v>#N/A</v>
      </c>
      <c r="KLX27" s="24" t="e">
        <v>#N/A</v>
      </c>
      <c r="KLY27" s="24" t="e">
        <v>#N/A</v>
      </c>
      <c r="KLZ27" s="24" t="e">
        <v>#N/A</v>
      </c>
      <c r="KMA27" s="24" t="e">
        <v>#N/A</v>
      </c>
      <c r="KMB27" s="24" t="e">
        <v>#N/A</v>
      </c>
      <c r="KMC27" s="24" t="e">
        <v>#N/A</v>
      </c>
      <c r="KMD27" s="24" t="e">
        <v>#N/A</v>
      </c>
      <c r="KME27" s="24" t="e">
        <v>#N/A</v>
      </c>
      <c r="KMF27" s="24" t="e">
        <v>#N/A</v>
      </c>
      <c r="KMG27" s="24" t="e">
        <v>#N/A</v>
      </c>
      <c r="KMH27" s="24" t="e">
        <v>#N/A</v>
      </c>
      <c r="KMI27" s="24" t="e">
        <v>#N/A</v>
      </c>
      <c r="KMJ27" s="24" t="e">
        <v>#N/A</v>
      </c>
      <c r="KMK27" s="24" t="e">
        <v>#N/A</v>
      </c>
      <c r="KML27" s="24" t="e">
        <v>#N/A</v>
      </c>
      <c r="KMM27" s="24" t="e">
        <v>#N/A</v>
      </c>
      <c r="KMN27" s="24" t="e">
        <v>#N/A</v>
      </c>
      <c r="KMO27" s="24" t="e">
        <v>#N/A</v>
      </c>
      <c r="KMP27" s="24" t="e">
        <v>#N/A</v>
      </c>
      <c r="KMQ27" s="24" t="e">
        <v>#N/A</v>
      </c>
      <c r="KMR27" s="24" t="e">
        <v>#N/A</v>
      </c>
      <c r="KMS27" s="24" t="e">
        <v>#N/A</v>
      </c>
      <c r="KMT27" s="24" t="e">
        <v>#N/A</v>
      </c>
      <c r="KMU27" s="24" t="e">
        <v>#N/A</v>
      </c>
      <c r="KMV27" s="24" t="e">
        <v>#N/A</v>
      </c>
      <c r="KMW27" s="24" t="e">
        <v>#N/A</v>
      </c>
      <c r="KMX27" s="24" t="e">
        <v>#N/A</v>
      </c>
      <c r="KMY27" s="24" t="e">
        <v>#N/A</v>
      </c>
      <c r="KMZ27" s="24" t="e">
        <v>#N/A</v>
      </c>
      <c r="KNA27" s="24" t="e">
        <v>#N/A</v>
      </c>
      <c r="KNB27" s="24" t="e">
        <v>#N/A</v>
      </c>
      <c r="KNC27" s="24" t="e">
        <v>#N/A</v>
      </c>
      <c r="KND27" s="24" t="e">
        <v>#N/A</v>
      </c>
      <c r="KNE27" s="24" t="e">
        <v>#N/A</v>
      </c>
      <c r="KNF27" s="24" t="e">
        <v>#N/A</v>
      </c>
      <c r="KNG27" s="24" t="e">
        <v>#N/A</v>
      </c>
      <c r="KNH27" s="24" t="e">
        <v>#N/A</v>
      </c>
      <c r="KNI27" s="24" t="e">
        <v>#N/A</v>
      </c>
      <c r="KNJ27" s="24" t="e">
        <v>#N/A</v>
      </c>
      <c r="KNK27" s="24" t="e">
        <v>#N/A</v>
      </c>
      <c r="KNL27" s="24" t="e">
        <v>#N/A</v>
      </c>
      <c r="KNM27" s="24" t="e">
        <v>#N/A</v>
      </c>
      <c r="KNN27" s="24" t="e">
        <v>#N/A</v>
      </c>
      <c r="KNO27" s="24" t="e">
        <v>#N/A</v>
      </c>
      <c r="KNP27" s="24" t="e">
        <v>#N/A</v>
      </c>
      <c r="KNQ27" s="24" t="e">
        <v>#N/A</v>
      </c>
      <c r="KNR27" s="24" t="e">
        <v>#N/A</v>
      </c>
      <c r="KNS27" s="24" t="e">
        <v>#N/A</v>
      </c>
      <c r="KNT27" s="24" t="e">
        <v>#N/A</v>
      </c>
      <c r="KNU27" s="24" t="e">
        <v>#N/A</v>
      </c>
      <c r="KNV27" s="24" t="e">
        <v>#N/A</v>
      </c>
      <c r="KNW27" s="24" t="e">
        <v>#N/A</v>
      </c>
      <c r="KNX27" s="24" t="e">
        <v>#N/A</v>
      </c>
      <c r="KNY27" s="24" t="e">
        <v>#N/A</v>
      </c>
      <c r="KNZ27" s="24" t="e">
        <v>#N/A</v>
      </c>
      <c r="KOA27" s="24" t="e">
        <v>#N/A</v>
      </c>
      <c r="KOB27" s="24" t="e">
        <v>#N/A</v>
      </c>
      <c r="KOC27" s="24" t="e">
        <v>#N/A</v>
      </c>
      <c r="KOD27" s="24" t="e">
        <v>#N/A</v>
      </c>
      <c r="KOE27" s="24" t="e">
        <v>#N/A</v>
      </c>
      <c r="KOF27" s="24" t="e">
        <v>#N/A</v>
      </c>
      <c r="KOG27" s="24" t="e">
        <v>#N/A</v>
      </c>
      <c r="KOH27" s="24" t="e">
        <v>#N/A</v>
      </c>
      <c r="KOI27" s="24" t="e">
        <v>#N/A</v>
      </c>
      <c r="KOJ27" s="24" t="e">
        <v>#N/A</v>
      </c>
      <c r="KOK27" s="24" t="e">
        <v>#N/A</v>
      </c>
      <c r="KOL27" s="24" t="e">
        <v>#N/A</v>
      </c>
      <c r="KOM27" s="24" t="e">
        <v>#N/A</v>
      </c>
      <c r="KON27" s="24" t="e">
        <v>#N/A</v>
      </c>
      <c r="KOO27" s="24" t="e">
        <v>#N/A</v>
      </c>
      <c r="KOP27" s="24" t="e">
        <v>#N/A</v>
      </c>
      <c r="KOQ27" s="24" t="e">
        <v>#N/A</v>
      </c>
      <c r="KOR27" s="24" t="e">
        <v>#N/A</v>
      </c>
      <c r="KOS27" s="24" t="e">
        <v>#N/A</v>
      </c>
      <c r="KOT27" s="24" t="e">
        <v>#N/A</v>
      </c>
      <c r="KOU27" s="24" t="e">
        <v>#N/A</v>
      </c>
      <c r="KOV27" s="24" t="e">
        <v>#N/A</v>
      </c>
      <c r="KOW27" s="24" t="e">
        <v>#N/A</v>
      </c>
      <c r="KOX27" s="24" t="e">
        <v>#N/A</v>
      </c>
      <c r="KOY27" s="24" t="e">
        <v>#N/A</v>
      </c>
      <c r="KOZ27" s="24" t="e">
        <v>#N/A</v>
      </c>
      <c r="KPA27" s="24" t="e">
        <v>#N/A</v>
      </c>
      <c r="KPB27" s="24" t="e">
        <v>#N/A</v>
      </c>
      <c r="KPC27" s="24" t="e">
        <v>#N/A</v>
      </c>
      <c r="KPD27" s="24" t="e">
        <v>#N/A</v>
      </c>
      <c r="KPE27" s="24" t="e">
        <v>#N/A</v>
      </c>
      <c r="KPF27" s="24" t="e">
        <v>#N/A</v>
      </c>
      <c r="KPG27" s="24" t="e">
        <v>#N/A</v>
      </c>
      <c r="KPH27" s="24" t="e">
        <v>#N/A</v>
      </c>
      <c r="KPI27" s="24" t="e">
        <v>#N/A</v>
      </c>
      <c r="KPJ27" s="24" t="e">
        <v>#N/A</v>
      </c>
      <c r="KPK27" s="24" t="e">
        <v>#N/A</v>
      </c>
      <c r="KPL27" s="24" t="e">
        <v>#N/A</v>
      </c>
      <c r="KPM27" s="24" t="e">
        <v>#N/A</v>
      </c>
      <c r="KPN27" s="24" t="e">
        <v>#N/A</v>
      </c>
      <c r="KPO27" s="24" t="e">
        <v>#N/A</v>
      </c>
      <c r="KPP27" s="24" t="e">
        <v>#N/A</v>
      </c>
      <c r="KPQ27" s="24" t="e">
        <v>#N/A</v>
      </c>
      <c r="KPR27" s="24" t="e">
        <v>#N/A</v>
      </c>
      <c r="KPS27" s="24" t="e">
        <v>#N/A</v>
      </c>
      <c r="KPT27" s="24" t="e">
        <v>#N/A</v>
      </c>
      <c r="KPU27" s="24" t="e">
        <v>#N/A</v>
      </c>
      <c r="KPV27" s="24" t="e">
        <v>#N/A</v>
      </c>
      <c r="KPW27" s="24" t="e">
        <v>#N/A</v>
      </c>
      <c r="KPX27" s="24" t="e">
        <v>#N/A</v>
      </c>
      <c r="KPY27" s="24" t="e">
        <v>#N/A</v>
      </c>
      <c r="KPZ27" s="24" t="e">
        <v>#N/A</v>
      </c>
      <c r="KQA27" s="24" t="e">
        <v>#N/A</v>
      </c>
      <c r="KQB27" s="24" t="e">
        <v>#N/A</v>
      </c>
      <c r="KQC27" s="24" t="e">
        <v>#N/A</v>
      </c>
      <c r="KQD27" s="24" t="e">
        <v>#N/A</v>
      </c>
      <c r="KQE27" s="24" t="e">
        <v>#N/A</v>
      </c>
      <c r="KQF27" s="24" t="e">
        <v>#N/A</v>
      </c>
      <c r="KQG27" s="24" t="e">
        <v>#N/A</v>
      </c>
      <c r="KQH27" s="24" t="e">
        <v>#N/A</v>
      </c>
      <c r="KQI27" s="24" t="e">
        <v>#N/A</v>
      </c>
      <c r="KQJ27" s="24" t="e">
        <v>#N/A</v>
      </c>
      <c r="KQK27" s="24" t="e">
        <v>#N/A</v>
      </c>
      <c r="KQL27" s="24" t="e">
        <v>#N/A</v>
      </c>
      <c r="KQM27" s="24" t="e">
        <v>#N/A</v>
      </c>
      <c r="KQN27" s="24" t="e">
        <v>#N/A</v>
      </c>
      <c r="KQO27" s="24" t="e">
        <v>#N/A</v>
      </c>
      <c r="KQP27" s="24" t="e">
        <v>#N/A</v>
      </c>
      <c r="KQQ27" s="24" t="e">
        <v>#N/A</v>
      </c>
      <c r="KQR27" s="24" t="e">
        <v>#N/A</v>
      </c>
      <c r="KQS27" s="24" t="e">
        <v>#N/A</v>
      </c>
      <c r="KQT27" s="24" t="e">
        <v>#N/A</v>
      </c>
      <c r="KQU27" s="24" t="e">
        <v>#N/A</v>
      </c>
      <c r="KQV27" s="24" t="e">
        <v>#N/A</v>
      </c>
      <c r="KQW27" s="24" t="e">
        <v>#N/A</v>
      </c>
      <c r="KQX27" s="24" t="e">
        <v>#N/A</v>
      </c>
      <c r="KQY27" s="24" t="e">
        <v>#N/A</v>
      </c>
      <c r="KQZ27" s="24" t="e">
        <v>#N/A</v>
      </c>
      <c r="KRA27" s="24" t="e">
        <v>#N/A</v>
      </c>
      <c r="KRB27" s="24" t="e">
        <v>#N/A</v>
      </c>
      <c r="KRC27" s="24" t="e">
        <v>#N/A</v>
      </c>
      <c r="KRD27" s="24" t="e">
        <v>#N/A</v>
      </c>
      <c r="KRE27" s="24" t="e">
        <v>#N/A</v>
      </c>
      <c r="KRF27" s="24" t="e">
        <v>#N/A</v>
      </c>
      <c r="KRG27" s="24" t="e">
        <v>#N/A</v>
      </c>
      <c r="KRH27" s="24" t="e">
        <v>#N/A</v>
      </c>
      <c r="KRI27" s="24" t="e">
        <v>#N/A</v>
      </c>
      <c r="KRJ27" s="24" t="e">
        <v>#N/A</v>
      </c>
      <c r="KRK27" s="24" t="e">
        <v>#N/A</v>
      </c>
      <c r="KRL27" s="24" t="e">
        <v>#N/A</v>
      </c>
      <c r="KRM27" s="24" t="e">
        <v>#N/A</v>
      </c>
      <c r="KRN27" s="24" t="e">
        <v>#N/A</v>
      </c>
      <c r="KRO27" s="24" t="e">
        <v>#N/A</v>
      </c>
      <c r="KRP27" s="24" t="e">
        <v>#N/A</v>
      </c>
      <c r="KRQ27" s="24" t="e">
        <v>#N/A</v>
      </c>
      <c r="KRR27" s="24" t="e">
        <v>#N/A</v>
      </c>
      <c r="KRS27" s="24" t="e">
        <v>#N/A</v>
      </c>
      <c r="KRT27" s="24" t="e">
        <v>#N/A</v>
      </c>
      <c r="KRU27" s="24" t="e">
        <v>#N/A</v>
      </c>
      <c r="KRV27" s="24" t="e">
        <v>#N/A</v>
      </c>
      <c r="KRW27" s="24" t="e">
        <v>#N/A</v>
      </c>
      <c r="KRX27" s="24" t="e">
        <v>#N/A</v>
      </c>
      <c r="KRY27" s="24" t="e">
        <v>#N/A</v>
      </c>
      <c r="KRZ27" s="24" t="e">
        <v>#N/A</v>
      </c>
      <c r="KSA27" s="24" t="e">
        <v>#N/A</v>
      </c>
      <c r="KSB27" s="24" t="e">
        <v>#N/A</v>
      </c>
      <c r="KSC27" s="24" t="e">
        <v>#N/A</v>
      </c>
      <c r="KSD27" s="24" t="e">
        <v>#N/A</v>
      </c>
      <c r="KSE27" s="24" t="e">
        <v>#N/A</v>
      </c>
      <c r="KSF27" s="24" t="e">
        <v>#N/A</v>
      </c>
      <c r="KSG27" s="24" t="e">
        <v>#N/A</v>
      </c>
      <c r="KSH27" s="24" t="e">
        <v>#N/A</v>
      </c>
      <c r="KSI27" s="24" t="e">
        <v>#N/A</v>
      </c>
      <c r="KSJ27" s="24" t="e">
        <v>#N/A</v>
      </c>
      <c r="KSK27" s="24" t="e">
        <v>#N/A</v>
      </c>
      <c r="KSL27" s="24" t="e">
        <v>#N/A</v>
      </c>
      <c r="KSM27" s="24" t="e">
        <v>#N/A</v>
      </c>
      <c r="KSN27" s="24" t="e">
        <v>#N/A</v>
      </c>
      <c r="KSO27" s="24" t="e">
        <v>#N/A</v>
      </c>
      <c r="KSP27" s="24" t="e">
        <v>#N/A</v>
      </c>
      <c r="KSQ27" s="24" t="e">
        <v>#N/A</v>
      </c>
      <c r="KSR27" s="24" t="e">
        <v>#N/A</v>
      </c>
      <c r="KSS27" s="24" t="e">
        <v>#N/A</v>
      </c>
      <c r="KST27" s="24" t="e">
        <v>#N/A</v>
      </c>
      <c r="KSU27" s="24" t="e">
        <v>#N/A</v>
      </c>
      <c r="KSV27" s="24" t="e">
        <v>#N/A</v>
      </c>
      <c r="KSW27" s="24" t="e">
        <v>#N/A</v>
      </c>
      <c r="KSX27" s="24" t="e">
        <v>#N/A</v>
      </c>
      <c r="KSY27" s="24" t="e">
        <v>#N/A</v>
      </c>
      <c r="KSZ27" s="24" t="e">
        <v>#N/A</v>
      </c>
      <c r="KTA27" s="24" t="e">
        <v>#N/A</v>
      </c>
      <c r="KTB27" s="24" t="e">
        <v>#N/A</v>
      </c>
      <c r="KTC27" s="24" t="e">
        <v>#N/A</v>
      </c>
      <c r="KTD27" s="24" t="e">
        <v>#N/A</v>
      </c>
      <c r="KTE27" s="24" t="e">
        <v>#N/A</v>
      </c>
      <c r="KTF27" s="24" t="e">
        <v>#N/A</v>
      </c>
      <c r="KTG27" s="24" t="e">
        <v>#N/A</v>
      </c>
      <c r="KTH27" s="24" t="e">
        <v>#N/A</v>
      </c>
      <c r="KTI27" s="24" t="e">
        <v>#N/A</v>
      </c>
      <c r="KTJ27" s="24" t="e">
        <v>#N/A</v>
      </c>
      <c r="KTK27" s="24" t="e">
        <v>#N/A</v>
      </c>
      <c r="KTL27" s="24" t="e">
        <v>#N/A</v>
      </c>
      <c r="KTM27" s="24" t="e">
        <v>#N/A</v>
      </c>
      <c r="KTN27" s="24" t="e">
        <v>#N/A</v>
      </c>
      <c r="KTO27" s="24" t="e">
        <v>#N/A</v>
      </c>
      <c r="KTP27" s="24" t="e">
        <v>#N/A</v>
      </c>
      <c r="KTQ27" s="24" t="e">
        <v>#N/A</v>
      </c>
      <c r="KTR27" s="24" t="e">
        <v>#N/A</v>
      </c>
      <c r="KTS27" s="24" t="e">
        <v>#N/A</v>
      </c>
      <c r="KTT27" s="24" t="e">
        <v>#N/A</v>
      </c>
      <c r="KTU27" s="24" t="e">
        <v>#N/A</v>
      </c>
      <c r="KTV27" s="24" t="e">
        <v>#N/A</v>
      </c>
      <c r="KTW27" s="24" t="e">
        <v>#N/A</v>
      </c>
      <c r="KTX27" s="24" t="e">
        <v>#N/A</v>
      </c>
      <c r="KTY27" s="24" t="e">
        <v>#N/A</v>
      </c>
      <c r="KTZ27" s="24" t="e">
        <v>#N/A</v>
      </c>
      <c r="KUA27" s="24" t="e">
        <v>#N/A</v>
      </c>
      <c r="KUB27" s="24" t="e">
        <v>#N/A</v>
      </c>
      <c r="KUC27" s="24" t="e">
        <v>#N/A</v>
      </c>
      <c r="KUD27" s="24" t="e">
        <v>#N/A</v>
      </c>
      <c r="KUE27" s="24" t="e">
        <v>#N/A</v>
      </c>
      <c r="KUF27" s="24" t="e">
        <v>#N/A</v>
      </c>
      <c r="KUG27" s="24" t="e">
        <v>#N/A</v>
      </c>
      <c r="KUH27" s="24" t="e">
        <v>#N/A</v>
      </c>
      <c r="KUI27" s="24" t="e">
        <v>#N/A</v>
      </c>
      <c r="KUJ27" s="24" t="e">
        <v>#N/A</v>
      </c>
      <c r="KUK27" s="24" t="e">
        <v>#N/A</v>
      </c>
      <c r="KUL27" s="24" t="e">
        <v>#N/A</v>
      </c>
      <c r="KUM27" s="24" t="e">
        <v>#N/A</v>
      </c>
      <c r="KUN27" s="24" t="e">
        <v>#N/A</v>
      </c>
      <c r="KUO27" s="24" t="e">
        <v>#N/A</v>
      </c>
      <c r="KUP27" s="24" t="e">
        <v>#N/A</v>
      </c>
      <c r="KUQ27" s="24" t="e">
        <v>#N/A</v>
      </c>
      <c r="KUR27" s="24" t="e">
        <v>#N/A</v>
      </c>
      <c r="KUS27" s="24" t="e">
        <v>#N/A</v>
      </c>
      <c r="KUT27" s="24" t="e">
        <v>#N/A</v>
      </c>
      <c r="KUU27" s="24" t="e">
        <v>#N/A</v>
      </c>
      <c r="KUV27" s="24" t="e">
        <v>#N/A</v>
      </c>
      <c r="KUW27" s="24" t="e">
        <v>#N/A</v>
      </c>
      <c r="KUX27" s="24" t="e">
        <v>#N/A</v>
      </c>
      <c r="KUY27" s="24" t="e">
        <v>#N/A</v>
      </c>
      <c r="KUZ27" s="24" t="e">
        <v>#N/A</v>
      </c>
      <c r="KVA27" s="24" t="e">
        <v>#N/A</v>
      </c>
      <c r="KVB27" s="24" t="e">
        <v>#N/A</v>
      </c>
      <c r="KVC27" s="24" t="e">
        <v>#N/A</v>
      </c>
      <c r="KVD27" s="24" t="e">
        <v>#N/A</v>
      </c>
      <c r="KVE27" s="24" t="e">
        <v>#N/A</v>
      </c>
      <c r="KVF27" s="24" t="e">
        <v>#N/A</v>
      </c>
      <c r="KVG27" s="24" t="e">
        <v>#N/A</v>
      </c>
      <c r="KVH27" s="24" t="e">
        <v>#N/A</v>
      </c>
      <c r="KVI27" s="24" t="e">
        <v>#N/A</v>
      </c>
      <c r="KVJ27" s="24" t="e">
        <v>#N/A</v>
      </c>
      <c r="KVK27" s="24" t="e">
        <v>#N/A</v>
      </c>
      <c r="KVL27" s="24" t="e">
        <v>#N/A</v>
      </c>
      <c r="KVM27" s="24" t="e">
        <v>#N/A</v>
      </c>
      <c r="KVN27" s="24" t="e">
        <v>#N/A</v>
      </c>
      <c r="KVO27" s="24" t="e">
        <v>#N/A</v>
      </c>
      <c r="KVP27" s="24" t="e">
        <v>#N/A</v>
      </c>
      <c r="KVQ27" s="24" t="e">
        <v>#N/A</v>
      </c>
      <c r="KVR27" s="24" t="e">
        <v>#N/A</v>
      </c>
      <c r="KVS27" s="24" t="e">
        <v>#N/A</v>
      </c>
      <c r="KVT27" s="24" t="e">
        <v>#N/A</v>
      </c>
      <c r="KVU27" s="24" t="e">
        <v>#N/A</v>
      </c>
      <c r="KVV27" s="24" t="e">
        <v>#N/A</v>
      </c>
      <c r="KVW27" s="24" t="e">
        <v>#N/A</v>
      </c>
      <c r="KVX27" s="24" t="e">
        <v>#N/A</v>
      </c>
      <c r="KVY27" s="24" t="e">
        <v>#N/A</v>
      </c>
      <c r="KVZ27" s="24" t="e">
        <v>#N/A</v>
      </c>
      <c r="KWA27" s="24" t="e">
        <v>#N/A</v>
      </c>
      <c r="KWB27" s="24" t="e">
        <v>#N/A</v>
      </c>
      <c r="KWC27" s="24" t="e">
        <v>#N/A</v>
      </c>
      <c r="KWD27" s="24" t="e">
        <v>#N/A</v>
      </c>
      <c r="KWE27" s="24" t="e">
        <v>#N/A</v>
      </c>
      <c r="KWF27" s="24" t="e">
        <v>#N/A</v>
      </c>
      <c r="KWG27" s="24" t="e">
        <v>#N/A</v>
      </c>
      <c r="KWH27" s="24" t="e">
        <v>#N/A</v>
      </c>
      <c r="KWI27" s="24" t="e">
        <v>#N/A</v>
      </c>
      <c r="KWJ27" s="24" t="e">
        <v>#N/A</v>
      </c>
      <c r="KWK27" s="24" t="e">
        <v>#N/A</v>
      </c>
      <c r="KWL27" s="24" t="e">
        <v>#N/A</v>
      </c>
      <c r="KWM27" s="24" t="e">
        <v>#N/A</v>
      </c>
      <c r="KWN27" s="24" t="e">
        <v>#N/A</v>
      </c>
      <c r="KWO27" s="24" t="e">
        <v>#N/A</v>
      </c>
      <c r="KWP27" s="24" t="e">
        <v>#N/A</v>
      </c>
      <c r="KWQ27" s="24" t="e">
        <v>#N/A</v>
      </c>
      <c r="KWR27" s="24" t="e">
        <v>#N/A</v>
      </c>
      <c r="KWS27" s="24" t="e">
        <v>#N/A</v>
      </c>
      <c r="KWT27" s="24" t="e">
        <v>#N/A</v>
      </c>
      <c r="KWU27" s="24" t="e">
        <v>#N/A</v>
      </c>
      <c r="KWV27" s="24" t="e">
        <v>#N/A</v>
      </c>
      <c r="KWW27" s="24" t="e">
        <v>#N/A</v>
      </c>
      <c r="KWX27" s="24" t="e">
        <v>#N/A</v>
      </c>
      <c r="KWY27" s="24" t="e">
        <v>#N/A</v>
      </c>
      <c r="KWZ27" s="24" t="e">
        <v>#N/A</v>
      </c>
      <c r="KXA27" s="24" t="e">
        <v>#N/A</v>
      </c>
      <c r="KXB27" s="24" t="e">
        <v>#N/A</v>
      </c>
      <c r="KXC27" s="24" t="e">
        <v>#N/A</v>
      </c>
      <c r="KXD27" s="24" t="e">
        <v>#N/A</v>
      </c>
      <c r="KXE27" s="24" t="e">
        <v>#N/A</v>
      </c>
      <c r="KXF27" s="24" t="e">
        <v>#N/A</v>
      </c>
      <c r="KXG27" s="24" t="e">
        <v>#N/A</v>
      </c>
      <c r="KXH27" s="24" t="e">
        <v>#N/A</v>
      </c>
      <c r="KXI27" s="24" t="e">
        <v>#N/A</v>
      </c>
      <c r="KXJ27" s="24" t="e">
        <v>#N/A</v>
      </c>
      <c r="KXK27" s="24" t="e">
        <v>#N/A</v>
      </c>
      <c r="KXL27" s="24" t="e">
        <v>#N/A</v>
      </c>
      <c r="KXM27" s="24" t="e">
        <v>#N/A</v>
      </c>
      <c r="KXN27" s="24" t="e">
        <v>#N/A</v>
      </c>
      <c r="KXO27" s="24" t="e">
        <v>#N/A</v>
      </c>
      <c r="KXP27" s="24" t="e">
        <v>#N/A</v>
      </c>
      <c r="KXQ27" s="24" t="e">
        <v>#N/A</v>
      </c>
      <c r="KXR27" s="24" t="e">
        <v>#N/A</v>
      </c>
      <c r="KXS27" s="24" t="e">
        <v>#N/A</v>
      </c>
      <c r="KXT27" s="24" t="e">
        <v>#N/A</v>
      </c>
      <c r="KXU27" s="24" t="e">
        <v>#N/A</v>
      </c>
      <c r="KXV27" s="24" t="e">
        <v>#N/A</v>
      </c>
      <c r="KXW27" s="24" t="e">
        <v>#N/A</v>
      </c>
      <c r="KXX27" s="24" t="e">
        <v>#N/A</v>
      </c>
      <c r="KXY27" s="24" t="e">
        <v>#N/A</v>
      </c>
      <c r="KXZ27" s="24" t="e">
        <v>#N/A</v>
      </c>
      <c r="KYA27" s="24" t="e">
        <v>#N/A</v>
      </c>
      <c r="KYB27" s="24" t="e">
        <v>#N/A</v>
      </c>
      <c r="KYC27" s="24" t="e">
        <v>#N/A</v>
      </c>
      <c r="KYD27" s="24" t="e">
        <v>#N/A</v>
      </c>
      <c r="KYE27" s="24" t="e">
        <v>#N/A</v>
      </c>
      <c r="KYF27" s="24" t="e">
        <v>#N/A</v>
      </c>
      <c r="KYG27" s="24" t="e">
        <v>#N/A</v>
      </c>
      <c r="KYH27" s="24" t="e">
        <v>#N/A</v>
      </c>
      <c r="KYI27" s="24" t="e">
        <v>#N/A</v>
      </c>
      <c r="KYJ27" s="24" t="e">
        <v>#N/A</v>
      </c>
      <c r="KYK27" s="24" t="e">
        <v>#N/A</v>
      </c>
      <c r="KYL27" s="24" t="e">
        <v>#N/A</v>
      </c>
      <c r="KYM27" s="24" t="e">
        <v>#N/A</v>
      </c>
      <c r="KYN27" s="24" t="e">
        <v>#N/A</v>
      </c>
      <c r="KYO27" s="24" t="e">
        <v>#N/A</v>
      </c>
      <c r="KYP27" s="24" t="e">
        <v>#N/A</v>
      </c>
      <c r="KYQ27" s="24" t="e">
        <v>#N/A</v>
      </c>
      <c r="KYR27" s="24" t="e">
        <v>#N/A</v>
      </c>
      <c r="KYS27" s="24" t="e">
        <v>#N/A</v>
      </c>
      <c r="KYT27" s="24" t="e">
        <v>#N/A</v>
      </c>
      <c r="KYU27" s="24" t="e">
        <v>#N/A</v>
      </c>
      <c r="KYV27" s="24" t="e">
        <v>#N/A</v>
      </c>
      <c r="KYW27" s="24" t="e">
        <v>#N/A</v>
      </c>
      <c r="KYX27" s="24" t="e">
        <v>#N/A</v>
      </c>
      <c r="KYY27" s="24" t="e">
        <v>#N/A</v>
      </c>
      <c r="KYZ27" s="24" t="e">
        <v>#N/A</v>
      </c>
      <c r="KZA27" s="24" t="e">
        <v>#N/A</v>
      </c>
      <c r="KZB27" s="24" t="e">
        <v>#N/A</v>
      </c>
      <c r="KZC27" s="24" t="e">
        <v>#N/A</v>
      </c>
      <c r="KZD27" s="24" t="e">
        <v>#N/A</v>
      </c>
      <c r="KZE27" s="24" t="e">
        <v>#N/A</v>
      </c>
      <c r="KZF27" s="24" t="e">
        <v>#N/A</v>
      </c>
      <c r="KZG27" s="24" t="e">
        <v>#N/A</v>
      </c>
      <c r="KZH27" s="24" t="e">
        <v>#N/A</v>
      </c>
      <c r="KZI27" s="24" t="e">
        <v>#N/A</v>
      </c>
      <c r="KZJ27" s="24" t="e">
        <v>#N/A</v>
      </c>
      <c r="KZK27" s="24" t="e">
        <v>#N/A</v>
      </c>
      <c r="KZL27" s="24" t="e">
        <v>#N/A</v>
      </c>
      <c r="KZM27" s="24" t="e">
        <v>#N/A</v>
      </c>
      <c r="KZN27" s="24" t="e">
        <v>#N/A</v>
      </c>
      <c r="KZO27" s="24" t="e">
        <v>#N/A</v>
      </c>
      <c r="KZP27" s="24" t="e">
        <v>#N/A</v>
      </c>
      <c r="KZQ27" s="24" t="e">
        <v>#N/A</v>
      </c>
      <c r="KZR27" s="24" t="e">
        <v>#N/A</v>
      </c>
      <c r="KZS27" s="24" t="e">
        <v>#N/A</v>
      </c>
      <c r="KZT27" s="24" t="e">
        <v>#N/A</v>
      </c>
      <c r="KZU27" s="24" t="e">
        <v>#N/A</v>
      </c>
      <c r="KZV27" s="24" t="e">
        <v>#N/A</v>
      </c>
      <c r="KZW27" s="24" t="e">
        <v>#N/A</v>
      </c>
      <c r="KZX27" s="24" t="e">
        <v>#N/A</v>
      </c>
      <c r="KZY27" s="24" t="e">
        <v>#N/A</v>
      </c>
      <c r="KZZ27" s="24" t="e">
        <v>#N/A</v>
      </c>
      <c r="LAA27" s="24" t="e">
        <v>#N/A</v>
      </c>
      <c r="LAB27" s="24" t="e">
        <v>#N/A</v>
      </c>
      <c r="LAC27" s="24" t="e">
        <v>#N/A</v>
      </c>
      <c r="LAD27" s="24" t="e">
        <v>#N/A</v>
      </c>
      <c r="LAE27" s="24" t="e">
        <v>#N/A</v>
      </c>
      <c r="LAF27" s="24" t="e">
        <v>#N/A</v>
      </c>
      <c r="LAG27" s="24" t="e">
        <v>#N/A</v>
      </c>
      <c r="LAH27" s="24" t="e">
        <v>#N/A</v>
      </c>
      <c r="LAI27" s="24" t="e">
        <v>#N/A</v>
      </c>
      <c r="LAJ27" s="24" t="e">
        <v>#N/A</v>
      </c>
      <c r="LAK27" s="24" t="e">
        <v>#N/A</v>
      </c>
      <c r="LAL27" s="24" t="e">
        <v>#N/A</v>
      </c>
      <c r="LAM27" s="24" t="e">
        <v>#N/A</v>
      </c>
      <c r="LAN27" s="24" t="e">
        <v>#N/A</v>
      </c>
      <c r="LAO27" s="24" t="e">
        <v>#N/A</v>
      </c>
      <c r="LAP27" s="24" t="e">
        <v>#N/A</v>
      </c>
      <c r="LAQ27" s="24" t="e">
        <v>#N/A</v>
      </c>
      <c r="LAR27" s="24" t="e">
        <v>#N/A</v>
      </c>
      <c r="LAS27" s="24" t="e">
        <v>#N/A</v>
      </c>
      <c r="LAT27" s="24" t="e">
        <v>#N/A</v>
      </c>
      <c r="LAU27" s="24" t="e">
        <v>#N/A</v>
      </c>
      <c r="LAV27" s="24" t="e">
        <v>#N/A</v>
      </c>
      <c r="LAW27" s="24" t="e">
        <v>#N/A</v>
      </c>
      <c r="LAX27" s="24" t="e">
        <v>#N/A</v>
      </c>
      <c r="LAY27" s="24" t="e">
        <v>#N/A</v>
      </c>
      <c r="LAZ27" s="24" t="e">
        <v>#N/A</v>
      </c>
      <c r="LBA27" s="24" t="e">
        <v>#N/A</v>
      </c>
      <c r="LBB27" s="24" t="e">
        <v>#N/A</v>
      </c>
      <c r="LBC27" s="24" t="e">
        <v>#N/A</v>
      </c>
      <c r="LBD27" s="24" t="e">
        <v>#N/A</v>
      </c>
      <c r="LBE27" s="24" t="e">
        <v>#N/A</v>
      </c>
      <c r="LBF27" s="24" t="e">
        <v>#N/A</v>
      </c>
      <c r="LBG27" s="24" t="e">
        <v>#N/A</v>
      </c>
      <c r="LBH27" s="24" t="e">
        <v>#N/A</v>
      </c>
      <c r="LBI27" s="24" t="e">
        <v>#N/A</v>
      </c>
      <c r="LBJ27" s="24" t="e">
        <v>#N/A</v>
      </c>
      <c r="LBK27" s="24" t="e">
        <v>#N/A</v>
      </c>
      <c r="LBL27" s="24" t="e">
        <v>#N/A</v>
      </c>
      <c r="LBM27" s="24" t="e">
        <v>#N/A</v>
      </c>
      <c r="LBN27" s="24" t="e">
        <v>#N/A</v>
      </c>
      <c r="LBO27" s="24" t="e">
        <v>#N/A</v>
      </c>
      <c r="LBP27" s="24" t="e">
        <v>#N/A</v>
      </c>
      <c r="LBQ27" s="24" t="e">
        <v>#N/A</v>
      </c>
      <c r="LBR27" s="24" t="e">
        <v>#N/A</v>
      </c>
      <c r="LBS27" s="24" t="e">
        <v>#N/A</v>
      </c>
      <c r="LBT27" s="24" t="e">
        <v>#N/A</v>
      </c>
      <c r="LBU27" s="24" t="e">
        <v>#N/A</v>
      </c>
      <c r="LBV27" s="24" t="e">
        <v>#N/A</v>
      </c>
      <c r="LBW27" s="24" t="e">
        <v>#N/A</v>
      </c>
      <c r="LBX27" s="24" t="e">
        <v>#N/A</v>
      </c>
      <c r="LBY27" s="24" t="e">
        <v>#N/A</v>
      </c>
      <c r="LBZ27" s="24" t="e">
        <v>#N/A</v>
      </c>
      <c r="LCA27" s="24" t="e">
        <v>#N/A</v>
      </c>
      <c r="LCB27" s="24" t="e">
        <v>#N/A</v>
      </c>
      <c r="LCC27" s="24" t="e">
        <v>#N/A</v>
      </c>
      <c r="LCD27" s="24" t="e">
        <v>#N/A</v>
      </c>
      <c r="LCE27" s="24" t="e">
        <v>#N/A</v>
      </c>
      <c r="LCF27" s="24" t="e">
        <v>#N/A</v>
      </c>
      <c r="LCG27" s="24" t="e">
        <v>#N/A</v>
      </c>
      <c r="LCH27" s="24" t="e">
        <v>#N/A</v>
      </c>
      <c r="LCI27" s="24" t="e">
        <v>#N/A</v>
      </c>
      <c r="LCJ27" s="24" t="e">
        <v>#N/A</v>
      </c>
      <c r="LCK27" s="24" t="e">
        <v>#N/A</v>
      </c>
      <c r="LCL27" s="24" t="e">
        <v>#N/A</v>
      </c>
      <c r="LCM27" s="24" t="e">
        <v>#N/A</v>
      </c>
      <c r="LCN27" s="24" t="e">
        <v>#N/A</v>
      </c>
      <c r="LCO27" s="24" t="e">
        <v>#N/A</v>
      </c>
      <c r="LCP27" s="24" t="e">
        <v>#N/A</v>
      </c>
      <c r="LCQ27" s="24" t="e">
        <v>#N/A</v>
      </c>
      <c r="LCR27" s="24" t="e">
        <v>#N/A</v>
      </c>
      <c r="LCS27" s="24" t="e">
        <v>#N/A</v>
      </c>
      <c r="LCT27" s="24" t="e">
        <v>#N/A</v>
      </c>
      <c r="LCU27" s="24" t="e">
        <v>#N/A</v>
      </c>
      <c r="LCV27" s="24" t="e">
        <v>#N/A</v>
      </c>
      <c r="LCW27" s="24" t="e">
        <v>#N/A</v>
      </c>
      <c r="LCX27" s="24" t="e">
        <v>#N/A</v>
      </c>
      <c r="LCY27" s="24" t="e">
        <v>#N/A</v>
      </c>
      <c r="LCZ27" s="24" t="e">
        <v>#N/A</v>
      </c>
      <c r="LDA27" s="24" t="e">
        <v>#N/A</v>
      </c>
      <c r="LDB27" s="24" t="e">
        <v>#N/A</v>
      </c>
      <c r="LDC27" s="24" t="e">
        <v>#N/A</v>
      </c>
      <c r="LDD27" s="24" t="e">
        <v>#N/A</v>
      </c>
      <c r="LDE27" s="24" t="e">
        <v>#N/A</v>
      </c>
      <c r="LDF27" s="24" t="e">
        <v>#N/A</v>
      </c>
      <c r="LDG27" s="24" t="e">
        <v>#N/A</v>
      </c>
      <c r="LDH27" s="24" t="e">
        <v>#N/A</v>
      </c>
      <c r="LDI27" s="24" t="e">
        <v>#N/A</v>
      </c>
      <c r="LDJ27" s="24" t="e">
        <v>#N/A</v>
      </c>
      <c r="LDK27" s="24" t="e">
        <v>#N/A</v>
      </c>
      <c r="LDL27" s="24" t="e">
        <v>#N/A</v>
      </c>
      <c r="LDM27" s="24" t="e">
        <v>#N/A</v>
      </c>
      <c r="LDN27" s="24" t="e">
        <v>#N/A</v>
      </c>
      <c r="LDO27" s="24" t="e">
        <v>#N/A</v>
      </c>
      <c r="LDP27" s="24" t="e">
        <v>#N/A</v>
      </c>
      <c r="LDQ27" s="24" t="e">
        <v>#N/A</v>
      </c>
      <c r="LDR27" s="24" t="e">
        <v>#N/A</v>
      </c>
      <c r="LDS27" s="24" t="e">
        <v>#N/A</v>
      </c>
      <c r="LDT27" s="24" t="e">
        <v>#N/A</v>
      </c>
      <c r="LDU27" s="24" t="e">
        <v>#N/A</v>
      </c>
      <c r="LDV27" s="24" t="e">
        <v>#N/A</v>
      </c>
      <c r="LDW27" s="24" t="e">
        <v>#N/A</v>
      </c>
      <c r="LDX27" s="24" t="e">
        <v>#N/A</v>
      </c>
      <c r="LDY27" s="24" t="e">
        <v>#N/A</v>
      </c>
      <c r="LDZ27" s="24" t="e">
        <v>#N/A</v>
      </c>
      <c r="LEA27" s="24" t="e">
        <v>#N/A</v>
      </c>
      <c r="LEB27" s="24" t="e">
        <v>#N/A</v>
      </c>
      <c r="LEC27" s="24" t="e">
        <v>#N/A</v>
      </c>
      <c r="LED27" s="24" t="e">
        <v>#N/A</v>
      </c>
      <c r="LEE27" s="24" t="e">
        <v>#N/A</v>
      </c>
      <c r="LEF27" s="24" t="e">
        <v>#N/A</v>
      </c>
      <c r="LEG27" s="24" t="e">
        <v>#N/A</v>
      </c>
      <c r="LEH27" s="24" t="e">
        <v>#N/A</v>
      </c>
      <c r="LEI27" s="24" t="e">
        <v>#N/A</v>
      </c>
      <c r="LEJ27" s="24" t="e">
        <v>#N/A</v>
      </c>
      <c r="LEK27" s="24" t="e">
        <v>#N/A</v>
      </c>
      <c r="LEL27" s="24" t="e">
        <v>#N/A</v>
      </c>
      <c r="LEM27" s="24" t="e">
        <v>#N/A</v>
      </c>
      <c r="LEN27" s="24" t="e">
        <v>#N/A</v>
      </c>
      <c r="LEO27" s="24" t="e">
        <v>#N/A</v>
      </c>
      <c r="LEP27" s="24" t="e">
        <v>#N/A</v>
      </c>
      <c r="LEQ27" s="24" t="e">
        <v>#N/A</v>
      </c>
      <c r="LER27" s="24" t="e">
        <v>#N/A</v>
      </c>
      <c r="LES27" s="24" t="e">
        <v>#N/A</v>
      </c>
      <c r="LET27" s="24" t="e">
        <v>#N/A</v>
      </c>
      <c r="LEU27" s="24" t="e">
        <v>#N/A</v>
      </c>
      <c r="LEV27" s="24" t="e">
        <v>#N/A</v>
      </c>
      <c r="LEW27" s="24" t="e">
        <v>#N/A</v>
      </c>
      <c r="LEX27" s="24" t="e">
        <v>#N/A</v>
      </c>
      <c r="LEY27" s="24" t="e">
        <v>#N/A</v>
      </c>
      <c r="LEZ27" s="24" t="e">
        <v>#N/A</v>
      </c>
      <c r="LFA27" s="24" t="e">
        <v>#N/A</v>
      </c>
      <c r="LFB27" s="24" t="e">
        <v>#N/A</v>
      </c>
      <c r="LFC27" s="24" t="e">
        <v>#N/A</v>
      </c>
      <c r="LFD27" s="24" t="e">
        <v>#N/A</v>
      </c>
      <c r="LFE27" s="24" t="e">
        <v>#N/A</v>
      </c>
      <c r="LFF27" s="24" t="e">
        <v>#N/A</v>
      </c>
      <c r="LFG27" s="24" t="e">
        <v>#N/A</v>
      </c>
      <c r="LFH27" s="24" t="e">
        <v>#N/A</v>
      </c>
      <c r="LFI27" s="24" t="e">
        <v>#N/A</v>
      </c>
      <c r="LFJ27" s="24" t="e">
        <v>#N/A</v>
      </c>
      <c r="LFK27" s="24" t="e">
        <v>#N/A</v>
      </c>
      <c r="LFL27" s="24" t="e">
        <v>#N/A</v>
      </c>
      <c r="LFM27" s="24" t="e">
        <v>#N/A</v>
      </c>
      <c r="LFN27" s="24" t="e">
        <v>#N/A</v>
      </c>
      <c r="LFO27" s="24" t="e">
        <v>#N/A</v>
      </c>
      <c r="LFP27" s="24" t="e">
        <v>#N/A</v>
      </c>
      <c r="LFQ27" s="24" t="e">
        <v>#N/A</v>
      </c>
      <c r="LFR27" s="24" t="e">
        <v>#N/A</v>
      </c>
      <c r="LFS27" s="24" t="e">
        <v>#N/A</v>
      </c>
      <c r="LFT27" s="24" t="e">
        <v>#N/A</v>
      </c>
      <c r="LFU27" s="24" t="e">
        <v>#N/A</v>
      </c>
      <c r="LFV27" s="24" t="e">
        <v>#N/A</v>
      </c>
      <c r="LFW27" s="24" t="e">
        <v>#N/A</v>
      </c>
      <c r="LFX27" s="24" t="e">
        <v>#N/A</v>
      </c>
      <c r="LFY27" s="24" t="e">
        <v>#N/A</v>
      </c>
      <c r="LFZ27" s="24" t="e">
        <v>#N/A</v>
      </c>
      <c r="LGA27" s="24" t="e">
        <v>#N/A</v>
      </c>
      <c r="LGB27" s="24" t="e">
        <v>#N/A</v>
      </c>
      <c r="LGC27" s="24" t="e">
        <v>#N/A</v>
      </c>
      <c r="LGD27" s="24" t="e">
        <v>#N/A</v>
      </c>
      <c r="LGE27" s="24" t="e">
        <v>#N/A</v>
      </c>
      <c r="LGF27" s="24" t="e">
        <v>#N/A</v>
      </c>
      <c r="LGG27" s="24" t="e">
        <v>#N/A</v>
      </c>
      <c r="LGH27" s="24" t="e">
        <v>#N/A</v>
      </c>
      <c r="LGI27" s="24" t="e">
        <v>#N/A</v>
      </c>
      <c r="LGJ27" s="24" t="e">
        <v>#N/A</v>
      </c>
      <c r="LGK27" s="24" t="e">
        <v>#N/A</v>
      </c>
      <c r="LGL27" s="24" t="e">
        <v>#N/A</v>
      </c>
      <c r="LGM27" s="24" t="e">
        <v>#N/A</v>
      </c>
      <c r="LGN27" s="24" t="e">
        <v>#N/A</v>
      </c>
      <c r="LGO27" s="24" t="e">
        <v>#N/A</v>
      </c>
      <c r="LGP27" s="24" t="e">
        <v>#N/A</v>
      </c>
      <c r="LGQ27" s="24" t="e">
        <v>#N/A</v>
      </c>
      <c r="LGR27" s="24" t="e">
        <v>#N/A</v>
      </c>
      <c r="LGS27" s="24" t="e">
        <v>#N/A</v>
      </c>
      <c r="LGT27" s="24" t="e">
        <v>#N/A</v>
      </c>
      <c r="LGU27" s="24" t="e">
        <v>#N/A</v>
      </c>
      <c r="LGV27" s="24" t="e">
        <v>#N/A</v>
      </c>
      <c r="LGW27" s="24" t="e">
        <v>#N/A</v>
      </c>
      <c r="LGX27" s="24" t="e">
        <v>#N/A</v>
      </c>
      <c r="LGY27" s="24" t="e">
        <v>#N/A</v>
      </c>
      <c r="LGZ27" s="24" t="e">
        <v>#N/A</v>
      </c>
      <c r="LHA27" s="24" t="e">
        <v>#N/A</v>
      </c>
      <c r="LHB27" s="24" t="e">
        <v>#N/A</v>
      </c>
      <c r="LHC27" s="24" t="e">
        <v>#N/A</v>
      </c>
      <c r="LHD27" s="24" t="e">
        <v>#N/A</v>
      </c>
      <c r="LHE27" s="24" t="e">
        <v>#N/A</v>
      </c>
      <c r="LHF27" s="24" t="e">
        <v>#N/A</v>
      </c>
      <c r="LHG27" s="24" t="e">
        <v>#N/A</v>
      </c>
      <c r="LHH27" s="24" t="e">
        <v>#N/A</v>
      </c>
      <c r="LHI27" s="24" t="e">
        <v>#N/A</v>
      </c>
      <c r="LHJ27" s="24" t="e">
        <v>#N/A</v>
      </c>
      <c r="LHK27" s="24" t="e">
        <v>#N/A</v>
      </c>
      <c r="LHL27" s="24" t="e">
        <v>#N/A</v>
      </c>
      <c r="LHM27" s="24" t="e">
        <v>#N/A</v>
      </c>
      <c r="LHN27" s="24" t="e">
        <v>#N/A</v>
      </c>
      <c r="LHO27" s="24" t="e">
        <v>#N/A</v>
      </c>
      <c r="LHP27" s="24" t="e">
        <v>#N/A</v>
      </c>
      <c r="LHQ27" s="24" t="e">
        <v>#N/A</v>
      </c>
      <c r="LHR27" s="24" t="e">
        <v>#N/A</v>
      </c>
      <c r="LHS27" s="24" t="e">
        <v>#N/A</v>
      </c>
      <c r="LHT27" s="24" t="e">
        <v>#N/A</v>
      </c>
      <c r="LHU27" s="24" t="e">
        <v>#N/A</v>
      </c>
      <c r="LHV27" s="24" t="e">
        <v>#N/A</v>
      </c>
      <c r="LHW27" s="24" t="e">
        <v>#N/A</v>
      </c>
      <c r="LHX27" s="24" t="e">
        <v>#N/A</v>
      </c>
      <c r="LHY27" s="24" t="e">
        <v>#N/A</v>
      </c>
      <c r="LHZ27" s="24" t="e">
        <v>#N/A</v>
      </c>
      <c r="LIA27" s="24" t="e">
        <v>#N/A</v>
      </c>
      <c r="LIB27" s="24" t="e">
        <v>#N/A</v>
      </c>
      <c r="LIC27" s="24" t="e">
        <v>#N/A</v>
      </c>
      <c r="LID27" s="24" t="e">
        <v>#N/A</v>
      </c>
      <c r="LIE27" s="24" t="e">
        <v>#N/A</v>
      </c>
      <c r="LIF27" s="24" t="e">
        <v>#N/A</v>
      </c>
      <c r="LIG27" s="24" t="e">
        <v>#N/A</v>
      </c>
      <c r="LIH27" s="24" t="e">
        <v>#N/A</v>
      </c>
      <c r="LII27" s="24" t="e">
        <v>#N/A</v>
      </c>
      <c r="LIJ27" s="24" t="e">
        <v>#N/A</v>
      </c>
      <c r="LIK27" s="24" t="e">
        <v>#N/A</v>
      </c>
      <c r="LIL27" s="24" t="e">
        <v>#N/A</v>
      </c>
      <c r="LIM27" s="24" t="e">
        <v>#N/A</v>
      </c>
      <c r="LIN27" s="24" t="e">
        <v>#N/A</v>
      </c>
      <c r="LIO27" s="24" t="e">
        <v>#N/A</v>
      </c>
      <c r="LIP27" s="24" t="e">
        <v>#N/A</v>
      </c>
      <c r="LIQ27" s="24" t="e">
        <v>#N/A</v>
      </c>
      <c r="LIR27" s="24" t="e">
        <v>#N/A</v>
      </c>
      <c r="LIS27" s="24" t="e">
        <v>#N/A</v>
      </c>
      <c r="LIT27" s="24" t="e">
        <v>#N/A</v>
      </c>
      <c r="LIU27" s="24" t="e">
        <v>#N/A</v>
      </c>
      <c r="LIV27" s="24" t="e">
        <v>#N/A</v>
      </c>
      <c r="LIW27" s="24" t="e">
        <v>#N/A</v>
      </c>
      <c r="LIX27" s="24" t="e">
        <v>#N/A</v>
      </c>
      <c r="LIY27" s="24" t="e">
        <v>#N/A</v>
      </c>
      <c r="LIZ27" s="24" t="e">
        <v>#N/A</v>
      </c>
      <c r="LJA27" s="24" t="e">
        <v>#N/A</v>
      </c>
      <c r="LJB27" s="24" t="e">
        <v>#N/A</v>
      </c>
      <c r="LJC27" s="24" t="e">
        <v>#N/A</v>
      </c>
      <c r="LJD27" s="24" t="e">
        <v>#N/A</v>
      </c>
      <c r="LJE27" s="24" t="e">
        <v>#N/A</v>
      </c>
      <c r="LJF27" s="24" t="e">
        <v>#N/A</v>
      </c>
      <c r="LJG27" s="24" t="e">
        <v>#N/A</v>
      </c>
      <c r="LJH27" s="24" t="e">
        <v>#N/A</v>
      </c>
      <c r="LJI27" s="24" t="e">
        <v>#N/A</v>
      </c>
      <c r="LJJ27" s="24" t="e">
        <v>#N/A</v>
      </c>
      <c r="LJK27" s="24" t="e">
        <v>#N/A</v>
      </c>
      <c r="LJL27" s="24" t="e">
        <v>#N/A</v>
      </c>
      <c r="LJM27" s="24" t="e">
        <v>#N/A</v>
      </c>
      <c r="LJN27" s="24" t="e">
        <v>#N/A</v>
      </c>
      <c r="LJO27" s="24" t="e">
        <v>#N/A</v>
      </c>
      <c r="LJP27" s="24" t="e">
        <v>#N/A</v>
      </c>
      <c r="LJQ27" s="24" t="e">
        <v>#N/A</v>
      </c>
      <c r="LJR27" s="24" t="e">
        <v>#N/A</v>
      </c>
      <c r="LJS27" s="24" t="e">
        <v>#N/A</v>
      </c>
      <c r="LJT27" s="24" t="e">
        <v>#N/A</v>
      </c>
      <c r="LJU27" s="24" t="e">
        <v>#N/A</v>
      </c>
      <c r="LJV27" s="24" t="e">
        <v>#N/A</v>
      </c>
      <c r="LJW27" s="24" t="e">
        <v>#N/A</v>
      </c>
      <c r="LJX27" s="24" t="e">
        <v>#N/A</v>
      </c>
      <c r="LJY27" s="24" t="e">
        <v>#N/A</v>
      </c>
      <c r="LJZ27" s="24" t="e">
        <v>#N/A</v>
      </c>
      <c r="LKA27" s="24" t="e">
        <v>#N/A</v>
      </c>
      <c r="LKB27" s="24" t="e">
        <v>#N/A</v>
      </c>
      <c r="LKC27" s="24" t="e">
        <v>#N/A</v>
      </c>
      <c r="LKD27" s="24" t="e">
        <v>#N/A</v>
      </c>
      <c r="LKE27" s="24" t="e">
        <v>#N/A</v>
      </c>
      <c r="LKF27" s="24" t="e">
        <v>#N/A</v>
      </c>
      <c r="LKG27" s="24" t="e">
        <v>#N/A</v>
      </c>
      <c r="LKH27" s="24" t="e">
        <v>#N/A</v>
      </c>
      <c r="LKI27" s="24" t="e">
        <v>#N/A</v>
      </c>
      <c r="LKJ27" s="24" t="e">
        <v>#N/A</v>
      </c>
      <c r="LKK27" s="24" t="e">
        <v>#N/A</v>
      </c>
      <c r="LKL27" s="24" t="e">
        <v>#N/A</v>
      </c>
      <c r="LKM27" s="24" t="e">
        <v>#N/A</v>
      </c>
      <c r="LKN27" s="24" t="e">
        <v>#N/A</v>
      </c>
      <c r="LKO27" s="24" t="e">
        <v>#N/A</v>
      </c>
      <c r="LKP27" s="24" t="e">
        <v>#N/A</v>
      </c>
      <c r="LKQ27" s="24" t="e">
        <v>#N/A</v>
      </c>
      <c r="LKR27" s="24" t="e">
        <v>#N/A</v>
      </c>
      <c r="LKS27" s="24" t="e">
        <v>#N/A</v>
      </c>
      <c r="LKT27" s="24" t="e">
        <v>#N/A</v>
      </c>
      <c r="LKU27" s="24" t="e">
        <v>#N/A</v>
      </c>
      <c r="LKV27" s="24" t="e">
        <v>#N/A</v>
      </c>
      <c r="LKW27" s="24" t="e">
        <v>#N/A</v>
      </c>
      <c r="LKX27" s="24" t="e">
        <v>#N/A</v>
      </c>
      <c r="LKY27" s="24" t="e">
        <v>#N/A</v>
      </c>
      <c r="LKZ27" s="24" t="e">
        <v>#N/A</v>
      </c>
      <c r="LLA27" s="24" t="e">
        <v>#N/A</v>
      </c>
      <c r="LLB27" s="24" t="e">
        <v>#N/A</v>
      </c>
      <c r="LLC27" s="24" t="e">
        <v>#N/A</v>
      </c>
      <c r="LLD27" s="24" t="e">
        <v>#N/A</v>
      </c>
      <c r="LLE27" s="24" t="e">
        <v>#N/A</v>
      </c>
      <c r="LLF27" s="24" t="e">
        <v>#N/A</v>
      </c>
      <c r="LLG27" s="24" t="e">
        <v>#N/A</v>
      </c>
      <c r="LLH27" s="24" t="e">
        <v>#N/A</v>
      </c>
      <c r="LLI27" s="24" t="e">
        <v>#N/A</v>
      </c>
      <c r="LLJ27" s="24" t="e">
        <v>#N/A</v>
      </c>
      <c r="LLK27" s="24" t="e">
        <v>#N/A</v>
      </c>
      <c r="LLL27" s="24" t="e">
        <v>#N/A</v>
      </c>
      <c r="LLM27" s="24" t="e">
        <v>#N/A</v>
      </c>
      <c r="LLN27" s="24" t="e">
        <v>#N/A</v>
      </c>
      <c r="LLO27" s="24" t="e">
        <v>#N/A</v>
      </c>
      <c r="LLP27" s="24" t="e">
        <v>#N/A</v>
      </c>
      <c r="LLQ27" s="24" t="e">
        <v>#N/A</v>
      </c>
      <c r="LLR27" s="24" t="e">
        <v>#N/A</v>
      </c>
      <c r="LLS27" s="24" t="e">
        <v>#N/A</v>
      </c>
      <c r="LLT27" s="24" t="e">
        <v>#N/A</v>
      </c>
      <c r="LLU27" s="24" t="e">
        <v>#N/A</v>
      </c>
      <c r="LLV27" s="24" t="e">
        <v>#N/A</v>
      </c>
      <c r="LLW27" s="24" t="e">
        <v>#N/A</v>
      </c>
      <c r="LLX27" s="24" t="e">
        <v>#N/A</v>
      </c>
      <c r="LLY27" s="24" t="e">
        <v>#N/A</v>
      </c>
      <c r="LLZ27" s="24" t="e">
        <v>#N/A</v>
      </c>
      <c r="LMA27" s="24" t="e">
        <v>#N/A</v>
      </c>
      <c r="LMB27" s="24" t="e">
        <v>#N/A</v>
      </c>
      <c r="LMC27" s="24" t="e">
        <v>#N/A</v>
      </c>
      <c r="LMD27" s="24" t="e">
        <v>#N/A</v>
      </c>
      <c r="LME27" s="24" t="e">
        <v>#N/A</v>
      </c>
      <c r="LMF27" s="24" t="e">
        <v>#N/A</v>
      </c>
      <c r="LMG27" s="24" t="e">
        <v>#N/A</v>
      </c>
      <c r="LMH27" s="24" t="e">
        <v>#N/A</v>
      </c>
      <c r="LMI27" s="24" t="e">
        <v>#N/A</v>
      </c>
      <c r="LMJ27" s="24" t="e">
        <v>#N/A</v>
      </c>
      <c r="LMK27" s="24" t="e">
        <v>#N/A</v>
      </c>
      <c r="LML27" s="24" t="e">
        <v>#N/A</v>
      </c>
      <c r="LMM27" s="24" t="e">
        <v>#N/A</v>
      </c>
      <c r="LMN27" s="24" t="e">
        <v>#N/A</v>
      </c>
      <c r="LMO27" s="24" t="e">
        <v>#N/A</v>
      </c>
      <c r="LMP27" s="24" t="e">
        <v>#N/A</v>
      </c>
      <c r="LMQ27" s="24" t="e">
        <v>#N/A</v>
      </c>
      <c r="LMR27" s="24" t="e">
        <v>#N/A</v>
      </c>
      <c r="LMS27" s="24" t="e">
        <v>#N/A</v>
      </c>
      <c r="LMT27" s="24" t="e">
        <v>#N/A</v>
      </c>
      <c r="LMU27" s="24" t="e">
        <v>#N/A</v>
      </c>
      <c r="LMV27" s="24" t="e">
        <v>#N/A</v>
      </c>
      <c r="LMW27" s="24" t="e">
        <v>#N/A</v>
      </c>
      <c r="LMX27" s="24" t="e">
        <v>#N/A</v>
      </c>
      <c r="LMY27" s="24" t="e">
        <v>#N/A</v>
      </c>
      <c r="LMZ27" s="24" t="e">
        <v>#N/A</v>
      </c>
      <c r="LNA27" s="24" t="e">
        <v>#N/A</v>
      </c>
      <c r="LNB27" s="24" t="e">
        <v>#N/A</v>
      </c>
      <c r="LNC27" s="24" t="e">
        <v>#N/A</v>
      </c>
      <c r="LND27" s="24" t="e">
        <v>#N/A</v>
      </c>
      <c r="LNE27" s="24" t="e">
        <v>#N/A</v>
      </c>
      <c r="LNF27" s="24" t="e">
        <v>#N/A</v>
      </c>
      <c r="LNG27" s="24" t="e">
        <v>#N/A</v>
      </c>
      <c r="LNH27" s="24" t="e">
        <v>#N/A</v>
      </c>
      <c r="LNI27" s="24" t="e">
        <v>#N/A</v>
      </c>
      <c r="LNJ27" s="24" t="e">
        <v>#N/A</v>
      </c>
      <c r="LNK27" s="24" t="e">
        <v>#N/A</v>
      </c>
      <c r="LNL27" s="24" t="e">
        <v>#N/A</v>
      </c>
      <c r="LNM27" s="24" t="e">
        <v>#N/A</v>
      </c>
      <c r="LNN27" s="24" t="e">
        <v>#N/A</v>
      </c>
      <c r="LNO27" s="24" t="e">
        <v>#N/A</v>
      </c>
      <c r="LNP27" s="24" t="e">
        <v>#N/A</v>
      </c>
      <c r="LNQ27" s="24" t="e">
        <v>#N/A</v>
      </c>
      <c r="LNR27" s="24" t="e">
        <v>#N/A</v>
      </c>
      <c r="LNS27" s="24" t="e">
        <v>#N/A</v>
      </c>
      <c r="LNT27" s="24" t="e">
        <v>#N/A</v>
      </c>
      <c r="LNU27" s="24" t="e">
        <v>#N/A</v>
      </c>
      <c r="LNV27" s="24" t="e">
        <v>#N/A</v>
      </c>
      <c r="LNW27" s="24" t="e">
        <v>#N/A</v>
      </c>
      <c r="LNX27" s="24" t="e">
        <v>#N/A</v>
      </c>
      <c r="LNY27" s="24" t="e">
        <v>#N/A</v>
      </c>
      <c r="LNZ27" s="24" t="e">
        <v>#N/A</v>
      </c>
      <c r="LOA27" s="24" t="e">
        <v>#N/A</v>
      </c>
      <c r="LOB27" s="24" t="e">
        <v>#N/A</v>
      </c>
      <c r="LOC27" s="24" t="e">
        <v>#N/A</v>
      </c>
      <c r="LOD27" s="24" t="e">
        <v>#N/A</v>
      </c>
      <c r="LOE27" s="24" t="e">
        <v>#N/A</v>
      </c>
      <c r="LOF27" s="24" t="e">
        <v>#N/A</v>
      </c>
      <c r="LOG27" s="24" t="e">
        <v>#N/A</v>
      </c>
      <c r="LOH27" s="24" t="e">
        <v>#N/A</v>
      </c>
      <c r="LOI27" s="24" t="e">
        <v>#N/A</v>
      </c>
      <c r="LOJ27" s="24" t="e">
        <v>#N/A</v>
      </c>
      <c r="LOK27" s="24" t="e">
        <v>#N/A</v>
      </c>
      <c r="LOL27" s="24" t="e">
        <v>#N/A</v>
      </c>
      <c r="LOM27" s="24" t="e">
        <v>#N/A</v>
      </c>
      <c r="LON27" s="24" t="e">
        <v>#N/A</v>
      </c>
      <c r="LOO27" s="24" t="e">
        <v>#N/A</v>
      </c>
      <c r="LOP27" s="24" t="e">
        <v>#N/A</v>
      </c>
      <c r="LOQ27" s="24" t="e">
        <v>#N/A</v>
      </c>
      <c r="LOR27" s="24" t="e">
        <v>#N/A</v>
      </c>
      <c r="LOS27" s="24" t="e">
        <v>#N/A</v>
      </c>
      <c r="LOT27" s="24" t="e">
        <v>#N/A</v>
      </c>
      <c r="LOU27" s="24" t="e">
        <v>#N/A</v>
      </c>
      <c r="LOV27" s="24" t="e">
        <v>#N/A</v>
      </c>
      <c r="LOW27" s="24" t="e">
        <v>#N/A</v>
      </c>
      <c r="LOX27" s="24" t="e">
        <v>#N/A</v>
      </c>
      <c r="LOY27" s="24" t="e">
        <v>#N/A</v>
      </c>
      <c r="LOZ27" s="24" t="e">
        <v>#N/A</v>
      </c>
      <c r="LPA27" s="24" t="e">
        <v>#N/A</v>
      </c>
      <c r="LPB27" s="24" t="e">
        <v>#N/A</v>
      </c>
      <c r="LPC27" s="24" t="e">
        <v>#N/A</v>
      </c>
      <c r="LPD27" s="24" t="e">
        <v>#N/A</v>
      </c>
      <c r="LPE27" s="24" t="e">
        <v>#N/A</v>
      </c>
      <c r="LPF27" s="24" t="e">
        <v>#N/A</v>
      </c>
      <c r="LPG27" s="24" t="e">
        <v>#N/A</v>
      </c>
      <c r="LPH27" s="24" t="e">
        <v>#N/A</v>
      </c>
      <c r="LPI27" s="24" t="e">
        <v>#N/A</v>
      </c>
      <c r="LPJ27" s="24" t="e">
        <v>#N/A</v>
      </c>
      <c r="LPK27" s="24" t="e">
        <v>#N/A</v>
      </c>
      <c r="LPL27" s="24" t="e">
        <v>#N/A</v>
      </c>
      <c r="LPM27" s="24" t="e">
        <v>#N/A</v>
      </c>
      <c r="LPN27" s="24" t="e">
        <v>#N/A</v>
      </c>
      <c r="LPO27" s="24" t="e">
        <v>#N/A</v>
      </c>
      <c r="LPP27" s="24" t="e">
        <v>#N/A</v>
      </c>
      <c r="LPQ27" s="24" t="e">
        <v>#N/A</v>
      </c>
      <c r="LPR27" s="24" t="e">
        <v>#N/A</v>
      </c>
      <c r="LPS27" s="24" t="e">
        <v>#N/A</v>
      </c>
      <c r="LPT27" s="24" t="e">
        <v>#N/A</v>
      </c>
      <c r="LPU27" s="24" t="e">
        <v>#N/A</v>
      </c>
      <c r="LPV27" s="24" t="e">
        <v>#N/A</v>
      </c>
      <c r="LPW27" s="24" t="e">
        <v>#N/A</v>
      </c>
      <c r="LPX27" s="24" t="e">
        <v>#N/A</v>
      </c>
      <c r="LPY27" s="24" t="e">
        <v>#N/A</v>
      </c>
      <c r="LPZ27" s="24" t="e">
        <v>#N/A</v>
      </c>
      <c r="LQA27" s="24" t="e">
        <v>#N/A</v>
      </c>
      <c r="LQB27" s="24" t="e">
        <v>#N/A</v>
      </c>
      <c r="LQC27" s="24" t="e">
        <v>#N/A</v>
      </c>
      <c r="LQD27" s="24" t="e">
        <v>#N/A</v>
      </c>
      <c r="LQE27" s="24" t="e">
        <v>#N/A</v>
      </c>
      <c r="LQF27" s="24" t="e">
        <v>#N/A</v>
      </c>
      <c r="LQG27" s="24" t="e">
        <v>#N/A</v>
      </c>
      <c r="LQH27" s="24" t="e">
        <v>#N/A</v>
      </c>
      <c r="LQI27" s="24" t="e">
        <v>#N/A</v>
      </c>
      <c r="LQJ27" s="24" t="e">
        <v>#N/A</v>
      </c>
      <c r="LQK27" s="24" t="e">
        <v>#N/A</v>
      </c>
      <c r="LQL27" s="24" t="e">
        <v>#N/A</v>
      </c>
      <c r="LQM27" s="24" t="e">
        <v>#N/A</v>
      </c>
      <c r="LQN27" s="24" t="e">
        <v>#N/A</v>
      </c>
      <c r="LQO27" s="24" t="e">
        <v>#N/A</v>
      </c>
      <c r="LQP27" s="24" t="e">
        <v>#N/A</v>
      </c>
      <c r="LQQ27" s="24" t="e">
        <v>#N/A</v>
      </c>
      <c r="LQR27" s="24" t="e">
        <v>#N/A</v>
      </c>
      <c r="LQS27" s="24" t="e">
        <v>#N/A</v>
      </c>
      <c r="LQT27" s="24" t="e">
        <v>#N/A</v>
      </c>
      <c r="LQU27" s="24" t="e">
        <v>#N/A</v>
      </c>
      <c r="LQV27" s="24" t="e">
        <v>#N/A</v>
      </c>
      <c r="LQW27" s="24" t="e">
        <v>#N/A</v>
      </c>
      <c r="LQX27" s="24" t="e">
        <v>#N/A</v>
      </c>
      <c r="LQY27" s="24" t="e">
        <v>#N/A</v>
      </c>
      <c r="LQZ27" s="24" t="e">
        <v>#N/A</v>
      </c>
      <c r="LRA27" s="24" t="e">
        <v>#N/A</v>
      </c>
      <c r="LRB27" s="24" t="e">
        <v>#N/A</v>
      </c>
      <c r="LRC27" s="24" t="e">
        <v>#N/A</v>
      </c>
      <c r="LRD27" s="24" t="e">
        <v>#N/A</v>
      </c>
      <c r="LRE27" s="24" t="e">
        <v>#N/A</v>
      </c>
      <c r="LRF27" s="24" t="e">
        <v>#N/A</v>
      </c>
      <c r="LRG27" s="24" t="e">
        <v>#N/A</v>
      </c>
      <c r="LRH27" s="24" t="e">
        <v>#N/A</v>
      </c>
      <c r="LRI27" s="24" t="e">
        <v>#N/A</v>
      </c>
      <c r="LRJ27" s="24" t="e">
        <v>#N/A</v>
      </c>
      <c r="LRK27" s="24" t="e">
        <v>#N/A</v>
      </c>
      <c r="LRL27" s="24" t="e">
        <v>#N/A</v>
      </c>
      <c r="LRM27" s="24" t="e">
        <v>#N/A</v>
      </c>
      <c r="LRN27" s="24" t="e">
        <v>#N/A</v>
      </c>
      <c r="LRO27" s="24" t="e">
        <v>#N/A</v>
      </c>
      <c r="LRP27" s="24" t="e">
        <v>#N/A</v>
      </c>
      <c r="LRQ27" s="24" t="e">
        <v>#N/A</v>
      </c>
      <c r="LRR27" s="24" t="e">
        <v>#N/A</v>
      </c>
      <c r="LRS27" s="24" t="e">
        <v>#N/A</v>
      </c>
      <c r="LRT27" s="24" t="e">
        <v>#N/A</v>
      </c>
      <c r="LRU27" s="24" t="e">
        <v>#N/A</v>
      </c>
      <c r="LRV27" s="24" t="e">
        <v>#N/A</v>
      </c>
      <c r="LRW27" s="24" t="e">
        <v>#N/A</v>
      </c>
      <c r="LRX27" s="24" t="e">
        <v>#N/A</v>
      </c>
      <c r="LRY27" s="24" t="e">
        <v>#N/A</v>
      </c>
      <c r="LRZ27" s="24" t="e">
        <v>#N/A</v>
      </c>
      <c r="LSA27" s="24" t="e">
        <v>#N/A</v>
      </c>
      <c r="LSB27" s="24" t="e">
        <v>#N/A</v>
      </c>
      <c r="LSC27" s="24" t="e">
        <v>#N/A</v>
      </c>
      <c r="LSD27" s="24" t="e">
        <v>#N/A</v>
      </c>
      <c r="LSE27" s="24" t="e">
        <v>#N/A</v>
      </c>
      <c r="LSF27" s="24" t="e">
        <v>#N/A</v>
      </c>
      <c r="LSG27" s="24" t="e">
        <v>#N/A</v>
      </c>
      <c r="LSH27" s="24" t="e">
        <v>#N/A</v>
      </c>
      <c r="LSI27" s="24" t="e">
        <v>#N/A</v>
      </c>
      <c r="LSJ27" s="24" t="e">
        <v>#N/A</v>
      </c>
      <c r="LSK27" s="24" t="e">
        <v>#N/A</v>
      </c>
      <c r="LSL27" s="24" t="e">
        <v>#N/A</v>
      </c>
      <c r="LSM27" s="24" t="e">
        <v>#N/A</v>
      </c>
      <c r="LSN27" s="24" t="e">
        <v>#N/A</v>
      </c>
      <c r="LSO27" s="24" t="e">
        <v>#N/A</v>
      </c>
      <c r="LSP27" s="24" t="e">
        <v>#N/A</v>
      </c>
      <c r="LSQ27" s="24" t="e">
        <v>#N/A</v>
      </c>
      <c r="LSR27" s="24" t="e">
        <v>#N/A</v>
      </c>
      <c r="LSS27" s="24" t="e">
        <v>#N/A</v>
      </c>
      <c r="LST27" s="24" t="e">
        <v>#N/A</v>
      </c>
      <c r="LSU27" s="24" t="e">
        <v>#N/A</v>
      </c>
      <c r="LSV27" s="24" t="e">
        <v>#N/A</v>
      </c>
      <c r="LSW27" s="24" t="e">
        <v>#N/A</v>
      </c>
      <c r="LSX27" s="24" t="e">
        <v>#N/A</v>
      </c>
      <c r="LSY27" s="24" t="e">
        <v>#N/A</v>
      </c>
      <c r="LSZ27" s="24" t="e">
        <v>#N/A</v>
      </c>
      <c r="LTA27" s="24" t="e">
        <v>#N/A</v>
      </c>
      <c r="LTB27" s="24" t="e">
        <v>#N/A</v>
      </c>
      <c r="LTC27" s="24" t="e">
        <v>#N/A</v>
      </c>
      <c r="LTD27" s="24" t="e">
        <v>#N/A</v>
      </c>
      <c r="LTE27" s="24" t="e">
        <v>#N/A</v>
      </c>
      <c r="LTF27" s="24" t="e">
        <v>#N/A</v>
      </c>
      <c r="LTG27" s="24" t="e">
        <v>#N/A</v>
      </c>
      <c r="LTH27" s="24" t="e">
        <v>#N/A</v>
      </c>
      <c r="LTI27" s="24" t="e">
        <v>#N/A</v>
      </c>
      <c r="LTJ27" s="24" t="e">
        <v>#N/A</v>
      </c>
      <c r="LTK27" s="24" t="e">
        <v>#N/A</v>
      </c>
      <c r="LTL27" s="24" t="e">
        <v>#N/A</v>
      </c>
      <c r="LTM27" s="24" t="e">
        <v>#N/A</v>
      </c>
      <c r="LTN27" s="24" t="e">
        <v>#N/A</v>
      </c>
      <c r="LTO27" s="24" t="e">
        <v>#N/A</v>
      </c>
      <c r="LTP27" s="24" t="e">
        <v>#N/A</v>
      </c>
      <c r="LTQ27" s="24" t="e">
        <v>#N/A</v>
      </c>
      <c r="LTR27" s="24" t="e">
        <v>#N/A</v>
      </c>
      <c r="LTS27" s="24" t="e">
        <v>#N/A</v>
      </c>
      <c r="LTT27" s="24" t="e">
        <v>#N/A</v>
      </c>
      <c r="LTU27" s="24" t="e">
        <v>#N/A</v>
      </c>
      <c r="LTV27" s="24" t="e">
        <v>#N/A</v>
      </c>
      <c r="LTW27" s="24" t="e">
        <v>#N/A</v>
      </c>
      <c r="LTX27" s="24" t="e">
        <v>#N/A</v>
      </c>
      <c r="LTY27" s="24" t="e">
        <v>#N/A</v>
      </c>
      <c r="LTZ27" s="24" t="e">
        <v>#N/A</v>
      </c>
      <c r="LUA27" s="24" t="e">
        <v>#N/A</v>
      </c>
      <c r="LUB27" s="24" t="e">
        <v>#N/A</v>
      </c>
      <c r="LUC27" s="24" t="e">
        <v>#N/A</v>
      </c>
      <c r="LUD27" s="24" t="e">
        <v>#N/A</v>
      </c>
      <c r="LUE27" s="24" t="e">
        <v>#N/A</v>
      </c>
      <c r="LUF27" s="24" t="e">
        <v>#N/A</v>
      </c>
      <c r="LUG27" s="24" t="e">
        <v>#N/A</v>
      </c>
      <c r="LUH27" s="24" t="e">
        <v>#N/A</v>
      </c>
      <c r="LUI27" s="24" t="e">
        <v>#N/A</v>
      </c>
      <c r="LUJ27" s="24" t="e">
        <v>#N/A</v>
      </c>
      <c r="LUK27" s="24" t="e">
        <v>#N/A</v>
      </c>
      <c r="LUL27" s="24" t="e">
        <v>#N/A</v>
      </c>
      <c r="LUM27" s="24" t="e">
        <v>#N/A</v>
      </c>
      <c r="LUN27" s="24" t="e">
        <v>#N/A</v>
      </c>
      <c r="LUO27" s="24" t="e">
        <v>#N/A</v>
      </c>
      <c r="LUP27" s="24" t="e">
        <v>#N/A</v>
      </c>
      <c r="LUQ27" s="24" t="e">
        <v>#N/A</v>
      </c>
      <c r="LUR27" s="24" t="e">
        <v>#N/A</v>
      </c>
      <c r="LUS27" s="24" t="e">
        <v>#N/A</v>
      </c>
      <c r="LUT27" s="24" t="e">
        <v>#N/A</v>
      </c>
      <c r="LUU27" s="24" t="e">
        <v>#N/A</v>
      </c>
      <c r="LUV27" s="24" t="e">
        <v>#N/A</v>
      </c>
      <c r="LUW27" s="24" t="e">
        <v>#N/A</v>
      </c>
      <c r="LUX27" s="24" t="e">
        <v>#N/A</v>
      </c>
      <c r="LUY27" s="24" t="e">
        <v>#N/A</v>
      </c>
      <c r="LUZ27" s="24" t="e">
        <v>#N/A</v>
      </c>
      <c r="LVA27" s="24" t="e">
        <v>#N/A</v>
      </c>
      <c r="LVB27" s="24" t="e">
        <v>#N/A</v>
      </c>
      <c r="LVC27" s="24" t="e">
        <v>#N/A</v>
      </c>
      <c r="LVD27" s="24" t="e">
        <v>#N/A</v>
      </c>
      <c r="LVE27" s="24" t="e">
        <v>#N/A</v>
      </c>
      <c r="LVF27" s="24" t="e">
        <v>#N/A</v>
      </c>
      <c r="LVG27" s="24" t="e">
        <v>#N/A</v>
      </c>
      <c r="LVH27" s="24" t="e">
        <v>#N/A</v>
      </c>
      <c r="LVI27" s="24" t="e">
        <v>#N/A</v>
      </c>
      <c r="LVJ27" s="24" t="e">
        <v>#N/A</v>
      </c>
      <c r="LVK27" s="24" t="e">
        <v>#N/A</v>
      </c>
      <c r="LVL27" s="24" t="e">
        <v>#N/A</v>
      </c>
      <c r="LVM27" s="24" t="e">
        <v>#N/A</v>
      </c>
      <c r="LVN27" s="24" t="e">
        <v>#N/A</v>
      </c>
      <c r="LVO27" s="24" t="e">
        <v>#N/A</v>
      </c>
      <c r="LVP27" s="24" t="e">
        <v>#N/A</v>
      </c>
      <c r="LVQ27" s="24" t="e">
        <v>#N/A</v>
      </c>
      <c r="LVR27" s="24" t="e">
        <v>#N/A</v>
      </c>
      <c r="LVS27" s="24" t="e">
        <v>#N/A</v>
      </c>
      <c r="LVT27" s="24" t="e">
        <v>#N/A</v>
      </c>
      <c r="LVU27" s="24" t="e">
        <v>#N/A</v>
      </c>
      <c r="LVV27" s="24" t="e">
        <v>#N/A</v>
      </c>
      <c r="LVW27" s="24" t="e">
        <v>#N/A</v>
      </c>
      <c r="LVX27" s="24" t="e">
        <v>#N/A</v>
      </c>
      <c r="LVY27" s="24" t="e">
        <v>#N/A</v>
      </c>
      <c r="LVZ27" s="24" t="e">
        <v>#N/A</v>
      </c>
      <c r="LWA27" s="24" t="e">
        <v>#N/A</v>
      </c>
      <c r="LWB27" s="24" t="e">
        <v>#N/A</v>
      </c>
      <c r="LWC27" s="24" t="e">
        <v>#N/A</v>
      </c>
      <c r="LWD27" s="24" t="e">
        <v>#N/A</v>
      </c>
      <c r="LWE27" s="24" t="e">
        <v>#N/A</v>
      </c>
      <c r="LWF27" s="24" t="e">
        <v>#N/A</v>
      </c>
      <c r="LWG27" s="24" t="e">
        <v>#N/A</v>
      </c>
      <c r="LWH27" s="24" t="e">
        <v>#N/A</v>
      </c>
      <c r="LWI27" s="24" t="e">
        <v>#N/A</v>
      </c>
      <c r="LWJ27" s="24" t="e">
        <v>#N/A</v>
      </c>
      <c r="LWK27" s="24" t="e">
        <v>#N/A</v>
      </c>
      <c r="LWL27" s="24" t="e">
        <v>#N/A</v>
      </c>
      <c r="LWM27" s="24" t="e">
        <v>#N/A</v>
      </c>
      <c r="LWN27" s="24" t="e">
        <v>#N/A</v>
      </c>
      <c r="LWO27" s="24" t="e">
        <v>#N/A</v>
      </c>
      <c r="LWP27" s="24" t="e">
        <v>#N/A</v>
      </c>
      <c r="LWQ27" s="24" t="e">
        <v>#N/A</v>
      </c>
      <c r="LWR27" s="24" t="e">
        <v>#N/A</v>
      </c>
      <c r="LWS27" s="24" t="e">
        <v>#N/A</v>
      </c>
      <c r="LWT27" s="24" t="e">
        <v>#N/A</v>
      </c>
      <c r="LWU27" s="24" t="e">
        <v>#N/A</v>
      </c>
      <c r="LWV27" s="24" t="e">
        <v>#N/A</v>
      </c>
      <c r="LWW27" s="24" t="e">
        <v>#N/A</v>
      </c>
      <c r="LWX27" s="24" t="e">
        <v>#N/A</v>
      </c>
      <c r="LWY27" s="24" t="e">
        <v>#N/A</v>
      </c>
      <c r="LWZ27" s="24" t="e">
        <v>#N/A</v>
      </c>
      <c r="LXA27" s="24" t="e">
        <v>#N/A</v>
      </c>
      <c r="LXB27" s="24" t="e">
        <v>#N/A</v>
      </c>
      <c r="LXC27" s="24" t="e">
        <v>#N/A</v>
      </c>
      <c r="LXD27" s="24" t="e">
        <v>#N/A</v>
      </c>
      <c r="LXE27" s="24" t="e">
        <v>#N/A</v>
      </c>
      <c r="LXF27" s="24" t="e">
        <v>#N/A</v>
      </c>
      <c r="LXG27" s="24" t="e">
        <v>#N/A</v>
      </c>
      <c r="LXH27" s="24" t="e">
        <v>#N/A</v>
      </c>
      <c r="LXI27" s="24" t="e">
        <v>#N/A</v>
      </c>
      <c r="LXJ27" s="24" t="e">
        <v>#N/A</v>
      </c>
      <c r="LXK27" s="24" t="e">
        <v>#N/A</v>
      </c>
      <c r="LXL27" s="24" t="e">
        <v>#N/A</v>
      </c>
      <c r="LXM27" s="24" t="e">
        <v>#N/A</v>
      </c>
      <c r="LXN27" s="24" t="e">
        <v>#N/A</v>
      </c>
      <c r="LXO27" s="24" t="e">
        <v>#N/A</v>
      </c>
      <c r="LXP27" s="24" t="e">
        <v>#N/A</v>
      </c>
      <c r="LXQ27" s="24" t="e">
        <v>#N/A</v>
      </c>
      <c r="LXR27" s="24" t="e">
        <v>#N/A</v>
      </c>
      <c r="LXS27" s="24" t="e">
        <v>#N/A</v>
      </c>
      <c r="LXT27" s="24" t="e">
        <v>#N/A</v>
      </c>
      <c r="LXU27" s="24" t="e">
        <v>#N/A</v>
      </c>
      <c r="LXV27" s="24" t="e">
        <v>#N/A</v>
      </c>
      <c r="LXW27" s="24" t="e">
        <v>#N/A</v>
      </c>
      <c r="LXX27" s="24" t="e">
        <v>#N/A</v>
      </c>
      <c r="LXY27" s="24" t="e">
        <v>#N/A</v>
      </c>
      <c r="LXZ27" s="24" t="e">
        <v>#N/A</v>
      </c>
      <c r="LYA27" s="24" t="e">
        <v>#N/A</v>
      </c>
      <c r="LYB27" s="24" t="e">
        <v>#N/A</v>
      </c>
      <c r="LYC27" s="24" t="e">
        <v>#N/A</v>
      </c>
      <c r="LYD27" s="24" t="e">
        <v>#N/A</v>
      </c>
      <c r="LYE27" s="24" t="e">
        <v>#N/A</v>
      </c>
      <c r="LYF27" s="24" t="e">
        <v>#N/A</v>
      </c>
      <c r="LYG27" s="24" t="e">
        <v>#N/A</v>
      </c>
      <c r="LYH27" s="24" t="e">
        <v>#N/A</v>
      </c>
      <c r="LYI27" s="24" t="e">
        <v>#N/A</v>
      </c>
      <c r="LYJ27" s="24" t="e">
        <v>#N/A</v>
      </c>
      <c r="LYK27" s="24" t="e">
        <v>#N/A</v>
      </c>
      <c r="LYL27" s="24" t="e">
        <v>#N/A</v>
      </c>
      <c r="LYM27" s="24" t="e">
        <v>#N/A</v>
      </c>
      <c r="LYN27" s="24" t="e">
        <v>#N/A</v>
      </c>
      <c r="LYO27" s="24" t="e">
        <v>#N/A</v>
      </c>
      <c r="LYP27" s="24" t="e">
        <v>#N/A</v>
      </c>
      <c r="LYQ27" s="24" t="e">
        <v>#N/A</v>
      </c>
      <c r="LYR27" s="24" t="e">
        <v>#N/A</v>
      </c>
      <c r="LYS27" s="24" t="e">
        <v>#N/A</v>
      </c>
      <c r="LYT27" s="24" t="e">
        <v>#N/A</v>
      </c>
      <c r="LYU27" s="24" t="e">
        <v>#N/A</v>
      </c>
      <c r="LYV27" s="24" t="e">
        <v>#N/A</v>
      </c>
      <c r="LYW27" s="24" t="e">
        <v>#N/A</v>
      </c>
      <c r="LYX27" s="24" t="e">
        <v>#N/A</v>
      </c>
      <c r="LYY27" s="24" t="e">
        <v>#N/A</v>
      </c>
      <c r="LYZ27" s="24" t="e">
        <v>#N/A</v>
      </c>
      <c r="LZA27" s="24" t="e">
        <v>#N/A</v>
      </c>
      <c r="LZB27" s="24" t="e">
        <v>#N/A</v>
      </c>
      <c r="LZC27" s="24" t="e">
        <v>#N/A</v>
      </c>
      <c r="LZD27" s="24" t="e">
        <v>#N/A</v>
      </c>
      <c r="LZE27" s="24" t="e">
        <v>#N/A</v>
      </c>
      <c r="LZF27" s="24" t="e">
        <v>#N/A</v>
      </c>
      <c r="LZG27" s="24" t="e">
        <v>#N/A</v>
      </c>
      <c r="LZH27" s="24" t="e">
        <v>#N/A</v>
      </c>
      <c r="LZI27" s="24" t="e">
        <v>#N/A</v>
      </c>
      <c r="LZJ27" s="24" t="e">
        <v>#N/A</v>
      </c>
      <c r="LZK27" s="24" t="e">
        <v>#N/A</v>
      </c>
      <c r="LZL27" s="24" t="e">
        <v>#N/A</v>
      </c>
      <c r="LZM27" s="24" t="e">
        <v>#N/A</v>
      </c>
      <c r="LZN27" s="24" t="e">
        <v>#N/A</v>
      </c>
      <c r="LZO27" s="24" t="e">
        <v>#N/A</v>
      </c>
      <c r="LZP27" s="24" t="e">
        <v>#N/A</v>
      </c>
      <c r="LZQ27" s="24" t="e">
        <v>#N/A</v>
      </c>
      <c r="LZR27" s="24" t="e">
        <v>#N/A</v>
      </c>
      <c r="LZS27" s="24" t="e">
        <v>#N/A</v>
      </c>
      <c r="LZT27" s="24" t="e">
        <v>#N/A</v>
      </c>
      <c r="LZU27" s="24" t="e">
        <v>#N/A</v>
      </c>
      <c r="LZV27" s="24" t="e">
        <v>#N/A</v>
      </c>
      <c r="LZW27" s="24" t="e">
        <v>#N/A</v>
      </c>
      <c r="LZX27" s="24" t="e">
        <v>#N/A</v>
      </c>
      <c r="LZY27" s="24" t="e">
        <v>#N/A</v>
      </c>
      <c r="LZZ27" s="24" t="e">
        <v>#N/A</v>
      </c>
      <c r="MAA27" s="24" t="e">
        <v>#N/A</v>
      </c>
      <c r="MAB27" s="24" t="e">
        <v>#N/A</v>
      </c>
      <c r="MAC27" s="24" t="e">
        <v>#N/A</v>
      </c>
      <c r="MAD27" s="24" t="e">
        <v>#N/A</v>
      </c>
      <c r="MAE27" s="24" t="e">
        <v>#N/A</v>
      </c>
      <c r="MAF27" s="24" t="e">
        <v>#N/A</v>
      </c>
      <c r="MAG27" s="24" t="e">
        <v>#N/A</v>
      </c>
      <c r="MAH27" s="24" t="e">
        <v>#N/A</v>
      </c>
      <c r="MAI27" s="24" t="e">
        <v>#N/A</v>
      </c>
      <c r="MAJ27" s="24" t="e">
        <v>#N/A</v>
      </c>
      <c r="MAK27" s="24" t="e">
        <v>#N/A</v>
      </c>
      <c r="MAL27" s="24" t="e">
        <v>#N/A</v>
      </c>
      <c r="MAM27" s="24" t="e">
        <v>#N/A</v>
      </c>
      <c r="MAN27" s="24" t="e">
        <v>#N/A</v>
      </c>
      <c r="MAO27" s="24" t="e">
        <v>#N/A</v>
      </c>
      <c r="MAP27" s="24" t="e">
        <v>#N/A</v>
      </c>
      <c r="MAQ27" s="24" t="e">
        <v>#N/A</v>
      </c>
      <c r="MAR27" s="24" t="e">
        <v>#N/A</v>
      </c>
      <c r="MAS27" s="24" t="e">
        <v>#N/A</v>
      </c>
      <c r="MAT27" s="24" t="e">
        <v>#N/A</v>
      </c>
      <c r="MAU27" s="24" t="e">
        <v>#N/A</v>
      </c>
      <c r="MAV27" s="24" t="e">
        <v>#N/A</v>
      </c>
      <c r="MAW27" s="24" t="e">
        <v>#N/A</v>
      </c>
      <c r="MAX27" s="24" t="e">
        <v>#N/A</v>
      </c>
      <c r="MAY27" s="24" t="e">
        <v>#N/A</v>
      </c>
      <c r="MAZ27" s="24" t="e">
        <v>#N/A</v>
      </c>
      <c r="MBA27" s="24" t="e">
        <v>#N/A</v>
      </c>
      <c r="MBB27" s="24" t="e">
        <v>#N/A</v>
      </c>
      <c r="MBC27" s="24" t="e">
        <v>#N/A</v>
      </c>
      <c r="MBD27" s="24" t="e">
        <v>#N/A</v>
      </c>
      <c r="MBE27" s="24" t="e">
        <v>#N/A</v>
      </c>
      <c r="MBF27" s="24" t="e">
        <v>#N/A</v>
      </c>
      <c r="MBG27" s="24" t="e">
        <v>#N/A</v>
      </c>
      <c r="MBH27" s="24" t="e">
        <v>#N/A</v>
      </c>
      <c r="MBI27" s="24" t="e">
        <v>#N/A</v>
      </c>
      <c r="MBJ27" s="24" t="e">
        <v>#N/A</v>
      </c>
      <c r="MBK27" s="24" t="e">
        <v>#N/A</v>
      </c>
      <c r="MBL27" s="24" t="e">
        <v>#N/A</v>
      </c>
      <c r="MBM27" s="24" t="e">
        <v>#N/A</v>
      </c>
      <c r="MBN27" s="24" t="e">
        <v>#N/A</v>
      </c>
      <c r="MBO27" s="24" t="e">
        <v>#N/A</v>
      </c>
      <c r="MBP27" s="24" t="e">
        <v>#N/A</v>
      </c>
      <c r="MBQ27" s="24" t="e">
        <v>#N/A</v>
      </c>
      <c r="MBR27" s="24" t="e">
        <v>#N/A</v>
      </c>
      <c r="MBS27" s="24" t="e">
        <v>#N/A</v>
      </c>
      <c r="MBT27" s="24" t="e">
        <v>#N/A</v>
      </c>
      <c r="MBU27" s="24" t="e">
        <v>#N/A</v>
      </c>
      <c r="MBV27" s="24" t="e">
        <v>#N/A</v>
      </c>
      <c r="MBW27" s="24" t="e">
        <v>#N/A</v>
      </c>
      <c r="MBX27" s="24" t="e">
        <v>#N/A</v>
      </c>
      <c r="MBY27" s="24" t="e">
        <v>#N/A</v>
      </c>
      <c r="MBZ27" s="24" t="e">
        <v>#N/A</v>
      </c>
      <c r="MCA27" s="24" t="e">
        <v>#N/A</v>
      </c>
      <c r="MCB27" s="24" t="e">
        <v>#N/A</v>
      </c>
      <c r="MCC27" s="24" t="e">
        <v>#N/A</v>
      </c>
      <c r="MCD27" s="24" t="e">
        <v>#N/A</v>
      </c>
      <c r="MCE27" s="24" t="e">
        <v>#N/A</v>
      </c>
      <c r="MCF27" s="24" t="e">
        <v>#N/A</v>
      </c>
      <c r="MCG27" s="24" t="e">
        <v>#N/A</v>
      </c>
      <c r="MCH27" s="24" t="e">
        <v>#N/A</v>
      </c>
      <c r="MCI27" s="24" t="e">
        <v>#N/A</v>
      </c>
      <c r="MCJ27" s="24" t="e">
        <v>#N/A</v>
      </c>
      <c r="MCK27" s="24" t="e">
        <v>#N/A</v>
      </c>
      <c r="MCL27" s="24" t="e">
        <v>#N/A</v>
      </c>
      <c r="MCM27" s="24" t="e">
        <v>#N/A</v>
      </c>
      <c r="MCN27" s="24" t="e">
        <v>#N/A</v>
      </c>
      <c r="MCO27" s="24" t="e">
        <v>#N/A</v>
      </c>
      <c r="MCP27" s="24" t="e">
        <v>#N/A</v>
      </c>
      <c r="MCQ27" s="24" t="e">
        <v>#N/A</v>
      </c>
      <c r="MCR27" s="24" t="e">
        <v>#N/A</v>
      </c>
      <c r="MCS27" s="24" t="e">
        <v>#N/A</v>
      </c>
      <c r="MCT27" s="24" t="e">
        <v>#N/A</v>
      </c>
      <c r="MCU27" s="24" t="e">
        <v>#N/A</v>
      </c>
      <c r="MCV27" s="24" t="e">
        <v>#N/A</v>
      </c>
      <c r="MCW27" s="24" t="e">
        <v>#N/A</v>
      </c>
      <c r="MCX27" s="24" t="e">
        <v>#N/A</v>
      </c>
      <c r="MCY27" s="24" t="e">
        <v>#N/A</v>
      </c>
      <c r="MCZ27" s="24" t="e">
        <v>#N/A</v>
      </c>
      <c r="MDA27" s="24" t="e">
        <v>#N/A</v>
      </c>
      <c r="MDB27" s="24" t="e">
        <v>#N/A</v>
      </c>
      <c r="MDC27" s="24" t="e">
        <v>#N/A</v>
      </c>
      <c r="MDD27" s="24" t="e">
        <v>#N/A</v>
      </c>
      <c r="MDE27" s="24" t="e">
        <v>#N/A</v>
      </c>
      <c r="MDF27" s="24" t="e">
        <v>#N/A</v>
      </c>
      <c r="MDG27" s="24" t="e">
        <v>#N/A</v>
      </c>
      <c r="MDH27" s="24" t="e">
        <v>#N/A</v>
      </c>
      <c r="MDI27" s="24" t="e">
        <v>#N/A</v>
      </c>
      <c r="MDJ27" s="24" t="e">
        <v>#N/A</v>
      </c>
      <c r="MDK27" s="24" t="e">
        <v>#N/A</v>
      </c>
      <c r="MDL27" s="24" t="e">
        <v>#N/A</v>
      </c>
      <c r="MDM27" s="24" t="e">
        <v>#N/A</v>
      </c>
      <c r="MDN27" s="24" t="e">
        <v>#N/A</v>
      </c>
      <c r="MDO27" s="24" t="e">
        <v>#N/A</v>
      </c>
      <c r="MDP27" s="24" t="e">
        <v>#N/A</v>
      </c>
      <c r="MDQ27" s="24" t="e">
        <v>#N/A</v>
      </c>
      <c r="MDR27" s="24" t="e">
        <v>#N/A</v>
      </c>
      <c r="MDS27" s="24" t="e">
        <v>#N/A</v>
      </c>
      <c r="MDT27" s="24" t="e">
        <v>#N/A</v>
      </c>
      <c r="MDU27" s="24" t="e">
        <v>#N/A</v>
      </c>
      <c r="MDV27" s="24" t="e">
        <v>#N/A</v>
      </c>
      <c r="MDW27" s="24" t="e">
        <v>#N/A</v>
      </c>
      <c r="MDX27" s="24" t="e">
        <v>#N/A</v>
      </c>
      <c r="MDY27" s="24" t="e">
        <v>#N/A</v>
      </c>
      <c r="MDZ27" s="24" t="e">
        <v>#N/A</v>
      </c>
      <c r="MEA27" s="24" t="e">
        <v>#N/A</v>
      </c>
      <c r="MEB27" s="24" t="e">
        <v>#N/A</v>
      </c>
      <c r="MEC27" s="24" t="e">
        <v>#N/A</v>
      </c>
      <c r="MED27" s="24" t="e">
        <v>#N/A</v>
      </c>
      <c r="MEE27" s="24" t="e">
        <v>#N/A</v>
      </c>
      <c r="MEF27" s="24" t="e">
        <v>#N/A</v>
      </c>
      <c r="MEG27" s="24" t="e">
        <v>#N/A</v>
      </c>
      <c r="MEH27" s="24" t="e">
        <v>#N/A</v>
      </c>
      <c r="MEI27" s="24" t="e">
        <v>#N/A</v>
      </c>
      <c r="MEJ27" s="24" t="e">
        <v>#N/A</v>
      </c>
      <c r="MEK27" s="24" t="e">
        <v>#N/A</v>
      </c>
      <c r="MEL27" s="24" t="e">
        <v>#N/A</v>
      </c>
      <c r="MEM27" s="24" t="e">
        <v>#N/A</v>
      </c>
      <c r="MEN27" s="24" t="e">
        <v>#N/A</v>
      </c>
      <c r="MEO27" s="24" t="e">
        <v>#N/A</v>
      </c>
      <c r="MEP27" s="24" t="e">
        <v>#N/A</v>
      </c>
      <c r="MEQ27" s="24" t="e">
        <v>#N/A</v>
      </c>
      <c r="MER27" s="24" t="e">
        <v>#N/A</v>
      </c>
      <c r="MES27" s="24" t="e">
        <v>#N/A</v>
      </c>
      <c r="MET27" s="24" t="e">
        <v>#N/A</v>
      </c>
      <c r="MEU27" s="24" t="e">
        <v>#N/A</v>
      </c>
      <c r="MEV27" s="24" t="e">
        <v>#N/A</v>
      </c>
      <c r="MEW27" s="24" t="e">
        <v>#N/A</v>
      </c>
      <c r="MEX27" s="24" t="e">
        <v>#N/A</v>
      </c>
      <c r="MEY27" s="24" t="e">
        <v>#N/A</v>
      </c>
      <c r="MEZ27" s="24" t="e">
        <v>#N/A</v>
      </c>
      <c r="MFA27" s="24" t="e">
        <v>#N/A</v>
      </c>
      <c r="MFB27" s="24" t="e">
        <v>#N/A</v>
      </c>
      <c r="MFC27" s="24" t="e">
        <v>#N/A</v>
      </c>
      <c r="MFD27" s="24" t="e">
        <v>#N/A</v>
      </c>
      <c r="MFE27" s="24" t="e">
        <v>#N/A</v>
      </c>
      <c r="MFF27" s="24" t="e">
        <v>#N/A</v>
      </c>
      <c r="MFG27" s="24" t="e">
        <v>#N/A</v>
      </c>
      <c r="MFH27" s="24" t="e">
        <v>#N/A</v>
      </c>
      <c r="MFI27" s="24" t="e">
        <v>#N/A</v>
      </c>
      <c r="MFJ27" s="24" t="e">
        <v>#N/A</v>
      </c>
      <c r="MFK27" s="24" t="e">
        <v>#N/A</v>
      </c>
      <c r="MFL27" s="24" t="e">
        <v>#N/A</v>
      </c>
      <c r="MFM27" s="24" t="e">
        <v>#N/A</v>
      </c>
      <c r="MFN27" s="24" t="e">
        <v>#N/A</v>
      </c>
      <c r="MFO27" s="24" t="e">
        <v>#N/A</v>
      </c>
      <c r="MFP27" s="24" t="e">
        <v>#N/A</v>
      </c>
      <c r="MFQ27" s="24" t="e">
        <v>#N/A</v>
      </c>
      <c r="MFR27" s="24" t="e">
        <v>#N/A</v>
      </c>
      <c r="MFS27" s="24" t="e">
        <v>#N/A</v>
      </c>
      <c r="MFT27" s="24" t="e">
        <v>#N/A</v>
      </c>
      <c r="MFU27" s="24" t="e">
        <v>#N/A</v>
      </c>
      <c r="MFV27" s="24" t="e">
        <v>#N/A</v>
      </c>
      <c r="MFW27" s="24" t="e">
        <v>#N/A</v>
      </c>
      <c r="MFX27" s="24" t="e">
        <v>#N/A</v>
      </c>
      <c r="MFY27" s="24" t="e">
        <v>#N/A</v>
      </c>
      <c r="MFZ27" s="24" t="e">
        <v>#N/A</v>
      </c>
      <c r="MGA27" s="24" t="e">
        <v>#N/A</v>
      </c>
      <c r="MGB27" s="24" t="e">
        <v>#N/A</v>
      </c>
      <c r="MGC27" s="24" t="e">
        <v>#N/A</v>
      </c>
      <c r="MGD27" s="24" t="e">
        <v>#N/A</v>
      </c>
      <c r="MGE27" s="24" t="e">
        <v>#N/A</v>
      </c>
      <c r="MGF27" s="24" t="e">
        <v>#N/A</v>
      </c>
      <c r="MGG27" s="24" t="e">
        <v>#N/A</v>
      </c>
      <c r="MGH27" s="24" t="e">
        <v>#N/A</v>
      </c>
      <c r="MGI27" s="24" t="e">
        <v>#N/A</v>
      </c>
      <c r="MGJ27" s="24" t="e">
        <v>#N/A</v>
      </c>
      <c r="MGK27" s="24" t="e">
        <v>#N/A</v>
      </c>
      <c r="MGL27" s="24" t="e">
        <v>#N/A</v>
      </c>
      <c r="MGM27" s="24" t="e">
        <v>#N/A</v>
      </c>
      <c r="MGN27" s="24" t="e">
        <v>#N/A</v>
      </c>
      <c r="MGO27" s="24" t="e">
        <v>#N/A</v>
      </c>
      <c r="MGP27" s="24" t="e">
        <v>#N/A</v>
      </c>
      <c r="MGQ27" s="24" t="e">
        <v>#N/A</v>
      </c>
      <c r="MGR27" s="24" t="e">
        <v>#N/A</v>
      </c>
      <c r="MGS27" s="24" t="e">
        <v>#N/A</v>
      </c>
      <c r="MGT27" s="24" t="e">
        <v>#N/A</v>
      </c>
      <c r="MGU27" s="24" t="e">
        <v>#N/A</v>
      </c>
      <c r="MGV27" s="24" t="e">
        <v>#N/A</v>
      </c>
      <c r="MGW27" s="24" t="e">
        <v>#N/A</v>
      </c>
      <c r="MGX27" s="24" t="e">
        <v>#N/A</v>
      </c>
      <c r="MGY27" s="24" t="e">
        <v>#N/A</v>
      </c>
      <c r="MGZ27" s="24" t="e">
        <v>#N/A</v>
      </c>
      <c r="MHA27" s="24" t="e">
        <v>#N/A</v>
      </c>
      <c r="MHB27" s="24" t="e">
        <v>#N/A</v>
      </c>
      <c r="MHC27" s="24" t="e">
        <v>#N/A</v>
      </c>
      <c r="MHD27" s="24" t="e">
        <v>#N/A</v>
      </c>
      <c r="MHE27" s="24" t="e">
        <v>#N/A</v>
      </c>
      <c r="MHF27" s="24" t="e">
        <v>#N/A</v>
      </c>
      <c r="MHG27" s="24" t="e">
        <v>#N/A</v>
      </c>
      <c r="MHH27" s="24" t="e">
        <v>#N/A</v>
      </c>
      <c r="MHI27" s="24" t="e">
        <v>#N/A</v>
      </c>
      <c r="MHJ27" s="24" t="e">
        <v>#N/A</v>
      </c>
      <c r="MHK27" s="24" t="e">
        <v>#N/A</v>
      </c>
      <c r="MHL27" s="24" t="e">
        <v>#N/A</v>
      </c>
      <c r="MHM27" s="24" t="e">
        <v>#N/A</v>
      </c>
      <c r="MHN27" s="24" t="e">
        <v>#N/A</v>
      </c>
      <c r="MHO27" s="24" t="e">
        <v>#N/A</v>
      </c>
      <c r="MHP27" s="24" t="e">
        <v>#N/A</v>
      </c>
      <c r="MHQ27" s="24" t="e">
        <v>#N/A</v>
      </c>
      <c r="MHR27" s="24" t="e">
        <v>#N/A</v>
      </c>
      <c r="MHS27" s="24" t="e">
        <v>#N/A</v>
      </c>
      <c r="MHT27" s="24" t="e">
        <v>#N/A</v>
      </c>
      <c r="MHU27" s="24" t="e">
        <v>#N/A</v>
      </c>
      <c r="MHV27" s="24" t="e">
        <v>#N/A</v>
      </c>
      <c r="MHW27" s="24" t="e">
        <v>#N/A</v>
      </c>
      <c r="MHX27" s="24" t="e">
        <v>#N/A</v>
      </c>
      <c r="MHY27" s="24" t="e">
        <v>#N/A</v>
      </c>
      <c r="MHZ27" s="24" t="e">
        <v>#N/A</v>
      </c>
      <c r="MIA27" s="24" t="e">
        <v>#N/A</v>
      </c>
      <c r="MIB27" s="24" t="e">
        <v>#N/A</v>
      </c>
      <c r="MIC27" s="24" t="e">
        <v>#N/A</v>
      </c>
      <c r="MID27" s="24" t="e">
        <v>#N/A</v>
      </c>
      <c r="MIE27" s="24" t="e">
        <v>#N/A</v>
      </c>
      <c r="MIF27" s="24" t="e">
        <v>#N/A</v>
      </c>
      <c r="MIG27" s="24" t="e">
        <v>#N/A</v>
      </c>
      <c r="MIH27" s="24" t="e">
        <v>#N/A</v>
      </c>
      <c r="MII27" s="24" t="e">
        <v>#N/A</v>
      </c>
      <c r="MIJ27" s="24" t="e">
        <v>#N/A</v>
      </c>
      <c r="MIK27" s="24" t="e">
        <v>#N/A</v>
      </c>
      <c r="MIL27" s="24" t="e">
        <v>#N/A</v>
      </c>
      <c r="MIM27" s="24" t="e">
        <v>#N/A</v>
      </c>
      <c r="MIN27" s="24" t="e">
        <v>#N/A</v>
      </c>
      <c r="MIO27" s="24" t="e">
        <v>#N/A</v>
      </c>
      <c r="MIP27" s="24" t="e">
        <v>#N/A</v>
      </c>
      <c r="MIQ27" s="24" t="e">
        <v>#N/A</v>
      </c>
      <c r="MIR27" s="24" t="e">
        <v>#N/A</v>
      </c>
      <c r="MIS27" s="24" t="e">
        <v>#N/A</v>
      </c>
      <c r="MIT27" s="24" t="e">
        <v>#N/A</v>
      </c>
      <c r="MIU27" s="24" t="e">
        <v>#N/A</v>
      </c>
      <c r="MIV27" s="24" t="e">
        <v>#N/A</v>
      </c>
      <c r="MIW27" s="24" t="e">
        <v>#N/A</v>
      </c>
      <c r="MIX27" s="24" t="e">
        <v>#N/A</v>
      </c>
      <c r="MIY27" s="24" t="e">
        <v>#N/A</v>
      </c>
      <c r="MIZ27" s="24" t="e">
        <v>#N/A</v>
      </c>
      <c r="MJA27" s="24" t="e">
        <v>#N/A</v>
      </c>
      <c r="MJB27" s="24" t="e">
        <v>#N/A</v>
      </c>
      <c r="MJC27" s="24" t="e">
        <v>#N/A</v>
      </c>
      <c r="MJD27" s="24" t="e">
        <v>#N/A</v>
      </c>
      <c r="MJE27" s="24" t="e">
        <v>#N/A</v>
      </c>
      <c r="MJF27" s="24" t="e">
        <v>#N/A</v>
      </c>
      <c r="MJG27" s="24" t="e">
        <v>#N/A</v>
      </c>
      <c r="MJH27" s="24" t="e">
        <v>#N/A</v>
      </c>
      <c r="MJI27" s="24" t="e">
        <v>#N/A</v>
      </c>
      <c r="MJJ27" s="24" t="e">
        <v>#N/A</v>
      </c>
      <c r="MJK27" s="24" t="e">
        <v>#N/A</v>
      </c>
      <c r="MJL27" s="24" t="e">
        <v>#N/A</v>
      </c>
      <c r="MJM27" s="24" t="e">
        <v>#N/A</v>
      </c>
      <c r="MJN27" s="24" t="e">
        <v>#N/A</v>
      </c>
      <c r="MJO27" s="24" t="e">
        <v>#N/A</v>
      </c>
      <c r="MJP27" s="24" t="e">
        <v>#N/A</v>
      </c>
      <c r="MJQ27" s="24" t="e">
        <v>#N/A</v>
      </c>
      <c r="MJR27" s="24" t="e">
        <v>#N/A</v>
      </c>
      <c r="MJS27" s="24" t="e">
        <v>#N/A</v>
      </c>
      <c r="MJT27" s="24" t="e">
        <v>#N/A</v>
      </c>
      <c r="MJU27" s="24" t="e">
        <v>#N/A</v>
      </c>
      <c r="MJV27" s="24" t="e">
        <v>#N/A</v>
      </c>
      <c r="MJW27" s="24" t="e">
        <v>#N/A</v>
      </c>
      <c r="MJX27" s="24" t="e">
        <v>#N/A</v>
      </c>
      <c r="MJY27" s="24" t="e">
        <v>#N/A</v>
      </c>
      <c r="MJZ27" s="24" t="e">
        <v>#N/A</v>
      </c>
      <c r="MKA27" s="24" t="e">
        <v>#N/A</v>
      </c>
      <c r="MKB27" s="24" t="e">
        <v>#N/A</v>
      </c>
      <c r="MKC27" s="24" t="e">
        <v>#N/A</v>
      </c>
      <c r="MKD27" s="24" t="e">
        <v>#N/A</v>
      </c>
      <c r="MKE27" s="24" t="e">
        <v>#N/A</v>
      </c>
      <c r="MKF27" s="24" t="e">
        <v>#N/A</v>
      </c>
      <c r="MKG27" s="24" t="e">
        <v>#N/A</v>
      </c>
      <c r="MKH27" s="24" t="e">
        <v>#N/A</v>
      </c>
      <c r="MKI27" s="24" t="e">
        <v>#N/A</v>
      </c>
      <c r="MKJ27" s="24" t="e">
        <v>#N/A</v>
      </c>
      <c r="MKK27" s="24" t="e">
        <v>#N/A</v>
      </c>
      <c r="MKL27" s="24" t="e">
        <v>#N/A</v>
      </c>
      <c r="MKM27" s="24" t="e">
        <v>#N/A</v>
      </c>
      <c r="MKN27" s="24" t="e">
        <v>#N/A</v>
      </c>
      <c r="MKO27" s="24" t="e">
        <v>#N/A</v>
      </c>
      <c r="MKP27" s="24" t="e">
        <v>#N/A</v>
      </c>
      <c r="MKQ27" s="24" t="e">
        <v>#N/A</v>
      </c>
      <c r="MKR27" s="24" t="e">
        <v>#N/A</v>
      </c>
      <c r="MKS27" s="24" t="e">
        <v>#N/A</v>
      </c>
      <c r="MKT27" s="24" t="e">
        <v>#N/A</v>
      </c>
      <c r="MKU27" s="24" t="e">
        <v>#N/A</v>
      </c>
      <c r="MKV27" s="24" t="e">
        <v>#N/A</v>
      </c>
      <c r="MKW27" s="24" t="e">
        <v>#N/A</v>
      </c>
      <c r="MKX27" s="24" t="e">
        <v>#N/A</v>
      </c>
      <c r="MKY27" s="24" t="e">
        <v>#N/A</v>
      </c>
      <c r="MKZ27" s="24" t="e">
        <v>#N/A</v>
      </c>
      <c r="MLA27" s="24" t="e">
        <v>#N/A</v>
      </c>
      <c r="MLB27" s="24" t="e">
        <v>#N/A</v>
      </c>
      <c r="MLC27" s="24" t="e">
        <v>#N/A</v>
      </c>
      <c r="MLD27" s="24" t="e">
        <v>#N/A</v>
      </c>
      <c r="MLE27" s="24" t="e">
        <v>#N/A</v>
      </c>
      <c r="MLF27" s="24" t="e">
        <v>#N/A</v>
      </c>
      <c r="MLG27" s="24" t="e">
        <v>#N/A</v>
      </c>
      <c r="MLH27" s="24" t="e">
        <v>#N/A</v>
      </c>
      <c r="MLI27" s="24" t="e">
        <v>#N/A</v>
      </c>
      <c r="MLJ27" s="24" t="e">
        <v>#N/A</v>
      </c>
      <c r="MLK27" s="24" t="e">
        <v>#N/A</v>
      </c>
      <c r="MLL27" s="24" t="e">
        <v>#N/A</v>
      </c>
      <c r="MLM27" s="24" t="e">
        <v>#N/A</v>
      </c>
      <c r="MLN27" s="24" t="e">
        <v>#N/A</v>
      </c>
      <c r="MLO27" s="24" t="e">
        <v>#N/A</v>
      </c>
      <c r="MLP27" s="24" t="e">
        <v>#N/A</v>
      </c>
      <c r="MLQ27" s="24" t="e">
        <v>#N/A</v>
      </c>
      <c r="MLR27" s="24" t="e">
        <v>#N/A</v>
      </c>
      <c r="MLS27" s="24" t="e">
        <v>#N/A</v>
      </c>
      <c r="MLT27" s="24" t="e">
        <v>#N/A</v>
      </c>
      <c r="MLU27" s="24" t="e">
        <v>#N/A</v>
      </c>
      <c r="MLV27" s="24" t="e">
        <v>#N/A</v>
      </c>
      <c r="MLW27" s="24" t="e">
        <v>#N/A</v>
      </c>
      <c r="MLX27" s="24" t="e">
        <v>#N/A</v>
      </c>
      <c r="MLY27" s="24" t="e">
        <v>#N/A</v>
      </c>
      <c r="MLZ27" s="24" t="e">
        <v>#N/A</v>
      </c>
      <c r="MMA27" s="24" t="e">
        <v>#N/A</v>
      </c>
      <c r="MMB27" s="24" t="e">
        <v>#N/A</v>
      </c>
      <c r="MMC27" s="24" t="e">
        <v>#N/A</v>
      </c>
      <c r="MMD27" s="24" t="e">
        <v>#N/A</v>
      </c>
      <c r="MME27" s="24" t="e">
        <v>#N/A</v>
      </c>
      <c r="MMF27" s="24" t="e">
        <v>#N/A</v>
      </c>
      <c r="MMG27" s="24" t="e">
        <v>#N/A</v>
      </c>
      <c r="MMH27" s="24" t="e">
        <v>#N/A</v>
      </c>
      <c r="MMI27" s="24" t="e">
        <v>#N/A</v>
      </c>
      <c r="MMJ27" s="24" t="e">
        <v>#N/A</v>
      </c>
      <c r="MMK27" s="24" t="e">
        <v>#N/A</v>
      </c>
      <c r="MML27" s="24" t="e">
        <v>#N/A</v>
      </c>
      <c r="MMM27" s="24" t="e">
        <v>#N/A</v>
      </c>
      <c r="MMN27" s="24" t="e">
        <v>#N/A</v>
      </c>
      <c r="MMO27" s="24" t="e">
        <v>#N/A</v>
      </c>
      <c r="MMP27" s="24" t="e">
        <v>#N/A</v>
      </c>
      <c r="MMQ27" s="24" t="e">
        <v>#N/A</v>
      </c>
      <c r="MMR27" s="24" t="e">
        <v>#N/A</v>
      </c>
      <c r="MMS27" s="24" t="e">
        <v>#N/A</v>
      </c>
      <c r="MMT27" s="24" t="e">
        <v>#N/A</v>
      </c>
      <c r="MMU27" s="24" t="e">
        <v>#N/A</v>
      </c>
      <c r="MMV27" s="24" t="e">
        <v>#N/A</v>
      </c>
      <c r="MMW27" s="24" t="e">
        <v>#N/A</v>
      </c>
      <c r="MMX27" s="24" t="e">
        <v>#N/A</v>
      </c>
      <c r="MMY27" s="24" t="e">
        <v>#N/A</v>
      </c>
      <c r="MMZ27" s="24" t="e">
        <v>#N/A</v>
      </c>
      <c r="MNA27" s="24" t="e">
        <v>#N/A</v>
      </c>
      <c r="MNB27" s="24" t="e">
        <v>#N/A</v>
      </c>
      <c r="MNC27" s="24" t="e">
        <v>#N/A</v>
      </c>
      <c r="MND27" s="24" t="e">
        <v>#N/A</v>
      </c>
      <c r="MNE27" s="24" t="e">
        <v>#N/A</v>
      </c>
      <c r="MNF27" s="24" t="e">
        <v>#N/A</v>
      </c>
      <c r="MNG27" s="24" t="e">
        <v>#N/A</v>
      </c>
      <c r="MNH27" s="24" t="e">
        <v>#N/A</v>
      </c>
      <c r="MNI27" s="24" t="e">
        <v>#N/A</v>
      </c>
      <c r="MNJ27" s="24" t="e">
        <v>#N/A</v>
      </c>
      <c r="MNK27" s="24" t="e">
        <v>#N/A</v>
      </c>
      <c r="MNL27" s="24" t="e">
        <v>#N/A</v>
      </c>
      <c r="MNM27" s="24" t="e">
        <v>#N/A</v>
      </c>
      <c r="MNN27" s="24" t="e">
        <v>#N/A</v>
      </c>
      <c r="MNO27" s="24" t="e">
        <v>#N/A</v>
      </c>
      <c r="MNP27" s="24" t="e">
        <v>#N/A</v>
      </c>
      <c r="MNQ27" s="24" t="e">
        <v>#N/A</v>
      </c>
      <c r="MNR27" s="24" t="e">
        <v>#N/A</v>
      </c>
      <c r="MNS27" s="24" t="e">
        <v>#N/A</v>
      </c>
      <c r="MNT27" s="24" t="e">
        <v>#N/A</v>
      </c>
      <c r="MNU27" s="24" t="e">
        <v>#N/A</v>
      </c>
      <c r="MNV27" s="24" t="e">
        <v>#N/A</v>
      </c>
      <c r="MNW27" s="24" t="e">
        <v>#N/A</v>
      </c>
      <c r="MNX27" s="24" t="e">
        <v>#N/A</v>
      </c>
      <c r="MNY27" s="24" t="e">
        <v>#N/A</v>
      </c>
      <c r="MNZ27" s="24" t="e">
        <v>#N/A</v>
      </c>
      <c r="MOA27" s="24" t="e">
        <v>#N/A</v>
      </c>
      <c r="MOB27" s="24" t="e">
        <v>#N/A</v>
      </c>
      <c r="MOC27" s="24" t="e">
        <v>#N/A</v>
      </c>
      <c r="MOD27" s="24" t="e">
        <v>#N/A</v>
      </c>
      <c r="MOE27" s="24" t="e">
        <v>#N/A</v>
      </c>
      <c r="MOF27" s="24" t="e">
        <v>#N/A</v>
      </c>
      <c r="MOG27" s="24" t="e">
        <v>#N/A</v>
      </c>
      <c r="MOH27" s="24" t="e">
        <v>#N/A</v>
      </c>
      <c r="MOI27" s="24" t="e">
        <v>#N/A</v>
      </c>
      <c r="MOJ27" s="24" t="e">
        <v>#N/A</v>
      </c>
      <c r="MOK27" s="24" t="e">
        <v>#N/A</v>
      </c>
      <c r="MOL27" s="24" t="e">
        <v>#N/A</v>
      </c>
      <c r="MOM27" s="24" t="e">
        <v>#N/A</v>
      </c>
      <c r="MON27" s="24" t="e">
        <v>#N/A</v>
      </c>
      <c r="MOO27" s="24" t="e">
        <v>#N/A</v>
      </c>
      <c r="MOP27" s="24" t="e">
        <v>#N/A</v>
      </c>
      <c r="MOQ27" s="24" t="e">
        <v>#N/A</v>
      </c>
      <c r="MOR27" s="24" t="e">
        <v>#N/A</v>
      </c>
      <c r="MOS27" s="24" t="e">
        <v>#N/A</v>
      </c>
      <c r="MOT27" s="24" t="e">
        <v>#N/A</v>
      </c>
      <c r="MOU27" s="24" t="e">
        <v>#N/A</v>
      </c>
      <c r="MOV27" s="24" t="e">
        <v>#N/A</v>
      </c>
      <c r="MOW27" s="24" t="e">
        <v>#N/A</v>
      </c>
      <c r="MOX27" s="24" t="e">
        <v>#N/A</v>
      </c>
      <c r="MOY27" s="24" t="e">
        <v>#N/A</v>
      </c>
      <c r="MOZ27" s="24" t="e">
        <v>#N/A</v>
      </c>
      <c r="MPA27" s="24" t="e">
        <v>#N/A</v>
      </c>
      <c r="MPB27" s="24" t="e">
        <v>#N/A</v>
      </c>
      <c r="MPC27" s="24" t="e">
        <v>#N/A</v>
      </c>
      <c r="MPD27" s="24" t="e">
        <v>#N/A</v>
      </c>
      <c r="MPE27" s="24" t="e">
        <v>#N/A</v>
      </c>
      <c r="MPF27" s="24" t="e">
        <v>#N/A</v>
      </c>
      <c r="MPG27" s="24" t="e">
        <v>#N/A</v>
      </c>
      <c r="MPH27" s="24" t="e">
        <v>#N/A</v>
      </c>
      <c r="MPI27" s="24" t="e">
        <v>#N/A</v>
      </c>
      <c r="MPJ27" s="24" t="e">
        <v>#N/A</v>
      </c>
      <c r="MPK27" s="24" t="e">
        <v>#N/A</v>
      </c>
      <c r="MPL27" s="24" t="e">
        <v>#N/A</v>
      </c>
      <c r="MPM27" s="24" t="e">
        <v>#N/A</v>
      </c>
      <c r="MPN27" s="24" t="e">
        <v>#N/A</v>
      </c>
      <c r="MPO27" s="24" t="e">
        <v>#N/A</v>
      </c>
      <c r="MPP27" s="24" t="e">
        <v>#N/A</v>
      </c>
      <c r="MPQ27" s="24" t="e">
        <v>#N/A</v>
      </c>
      <c r="MPR27" s="24" t="e">
        <v>#N/A</v>
      </c>
      <c r="MPS27" s="24" t="e">
        <v>#N/A</v>
      </c>
      <c r="MPT27" s="24" t="e">
        <v>#N/A</v>
      </c>
      <c r="MPU27" s="24" t="e">
        <v>#N/A</v>
      </c>
      <c r="MPV27" s="24" t="e">
        <v>#N/A</v>
      </c>
      <c r="MPW27" s="24" t="e">
        <v>#N/A</v>
      </c>
      <c r="MPX27" s="24" t="e">
        <v>#N/A</v>
      </c>
      <c r="MPY27" s="24" t="e">
        <v>#N/A</v>
      </c>
      <c r="MPZ27" s="24" t="e">
        <v>#N/A</v>
      </c>
      <c r="MQA27" s="24" t="e">
        <v>#N/A</v>
      </c>
      <c r="MQB27" s="24" t="e">
        <v>#N/A</v>
      </c>
      <c r="MQC27" s="24" t="e">
        <v>#N/A</v>
      </c>
      <c r="MQD27" s="24" t="e">
        <v>#N/A</v>
      </c>
      <c r="MQE27" s="24" t="e">
        <v>#N/A</v>
      </c>
      <c r="MQF27" s="24" t="e">
        <v>#N/A</v>
      </c>
      <c r="MQG27" s="24" t="e">
        <v>#N/A</v>
      </c>
      <c r="MQH27" s="24" t="e">
        <v>#N/A</v>
      </c>
      <c r="MQI27" s="24" t="e">
        <v>#N/A</v>
      </c>
      <c r="MQJ27" s="24" t="e">
        <v>#N/A</v>
      </c>
      <c r="MQK27" s="24" t="e">
        <v>#N/A</v>
      </c>
      <c r="MQL27" s="24" t="e">
        <v>#N/A</v>
      </c>
      <c r="MQM27" s="24" t="e">
        <v>#N/A</v>
      </c>
      <c r="MQN27" s="24" t="e">
        <v>#N/A</v>
      </c>
      <c r="MQO27" s="24" t="e">
        <v>#N/A</v>
      </c>
      <c r="MQP27" s="24" t="e">
        <v>#N/A</v>
      </c>
      <c r="MQQ27" s="24" t="e">
        <v>#N/A</v>
      </c>
      <c r="MQR27" s="24" t="e">
        <v>#N/A</v>
      </c>
      <c r="MQS27" s="24" t="e">
        <v>#N/A</v>
      </c>
      <c r="MQT27" s="24" t="e">
        <v>#N/A</v>
      </c>
      <c r="MQU27" s="24" t="e">
        <v>#N/A</v>
      </c>
      <c r="MQV27" s="24" t="e">
        <v>#N/A</v>
      </c>
      <c r="MQW27" s="24" t="e">
        <v>#N/A</v>
      </c>
      <c r="MQX27" s="24" t="e">
        <v>#N/A</v>
      </c>
      <c r="MQY27" s="24" t="e">
        <v>#N/A</v>
      </c>
      <c r="MQZ27" s="24" t="e">
        <v>#N/A</v>
      </c>
      <c r="MRA27" s="24" t="e">
        <v>#N/A</v>
      </c>
      <c r="MRB27" s="24" t="e">
        <v>#N/A</v>
      </c>
      <c r="MRC27" s="24" t="e">
        <v>#N/A</v>
      </c>
      <c r="MRD27" s="24" t="e">
        <v>#N/A</v>
      </c>
      <c r="MRE27" s="24" t="e">
        <v>#N/A</v>
      </c>
      <c r="MRF27" s="24" t="e">
        <v>#N/A</v>
      </c>
      <c r="MRG27" s="24" t="e">
        <v>#N/A</v>
      </c>
      <c r="MRH27" s="24" t="e">
        <v>#N/A</v>
      </c>
      <c r="MRI27" s="24" t="e">
        <v>#N/A</v>
      </c>
      <c r="MRJ27" s="24" t="e">
        <v>#N/A</v>
      </c>
      <c r="MRK27" s="24" t="e">
        <v>#N/A</v>
      </c>
      <c r="MRL27" s="24" t="e">
        <v>#N/A</v>
      </c>
      <c r="MRM27" s="24" t="e">
        <v>#N/A</v>
      </c>
      <c r="MRN27" s="24" t="e">
        <v>#N/A</v>
      </c>
      <c r="MRO27" s="24" t="e">
        <v>#N/A</v>
      </c>
      <c r="MRP27" s="24" t="e">
        <v>#N/A</v>
      </c>
      <c r="MRQ27" s="24" t="e">
        <v>#N/A</v>
      </c>
      <c r="MRR27" s="24" t="e">
        <v>#N/A</v>
      </c>
      <c r="MRS27" s="24" t="e">
        <v>#N/A</v>
      </c>
      <c r="MRT27" s="24" t="e">
        <v>#N/A</v>
      </c>
      <c r="MRU27" s="24" t="e">
        <v>#N/A</v>
      </c>
      <c r="MRV27" s="24" t="e">
        <v>#N/A</v>
      </c>
      <c r="MRW27" s="24" t="e">
        <v>#N/A</v>
      </c>
      <c r="MRX27" s="24" t="e">
        <v>#N/A</v>
      </c>
      <c r="MRY27" s="24" t="e">
        <v>#N/A</v>
      </c>
      <c r="MRZ27" s="24" t="e">
        <v>#N/A</v>
      </c>
      <c r="MSA27" s="24" t="e">
        <v>#N/A</v>
      </c>
      <c r="MSB27" s="24" t="e">
        <v>#N/A</v>
      </c>
      <c r="MSC27" s="24" t="e">
        <v>#N/A</v>
      </c>
      <c r="MSD27" s="24" t="e">
        <v>#N/A</v>
      </c>
      <c r="MSE27" s="24" t="e">
        <v>#N/A</v>
      </c>
      <c r="MSF27" s="24" t="e">
        <v>#N/A</v>
      </c>
      <c r="MSG27" s="24" t="e">
        <v>#N/A</v>
      </c>
      <c r="MSH27" s="24" t="e">
        <v>#N/A</v>
      </c>
      <c r="MSI27" s="24" t="e">
        <v>#N/A</v>
      </c>
      <c r="MSJ27" s="24" t="e">
        <v>#N/A</v>
      </c>
      <c r="MSK27" s="24" t="e">
        <v>#N/A</v>
      </c>
      <c r="MSL27" s="24" t="e">
        <v>#N/A</v>
      </c>
      <c r="MSM27" s="24" t="e">
        <v>#N/A</v>
      </c>
      <c r="MSN27" s="24" t="e">
        <v>#N/A</v>
      </c>
      <c r="MSO27" s="24" t="e">
        <v>#N/A</v>
      </c>
      <c r="MSP27" s="24" t="e">
        <v>#N/A</v>
      </c>
      <c r="MSQ27" s="24" t="e">
        <v>#N/A</v>
      </c>
      <c r="MSR27" s="24" t="e">
        <v>#N/A</v>
      </c>
      <c r="MSS27" s="24" t="e">
        <v>#N/A</v>
      </c>
      <c r="MST27" s="24" t="e">
        <v>#N/A</v>
      </c>
      <c r="MSU27" s="24" t="e">
        <v>#N/A</v>
      </c>
      <c r="MSV27" s="24" t="e">
        <v>#N/A</v>
      </c>
      <c r="MSW27" s="24" t="e">
        <v>#N/A</v>
      </c>
      <c r="MSX27" s="24" t="e">
        <v>#N/A</v>
      </c>
      <c r="MSY27" s="24" t="e">
        <v>#N/A</v>
      </c>
      <c r="MSZ27" s="24" t="e">
        <v>#N/A</v>
      </c>
      <c r="MTA27" s="24" t="e">
        <v>#N/A</v>
      </c>
      <c r="MTB27" s="24" t="e">
        <v>#N/A</v>
      </c>
      <c r="MTC27" s="24" t="e">
        <v>#N/A</v>
      </c>
      <c r="MTD27" s="24" t="e">
        <v>#N/A</v>
      </c>
      <c r="MTE27" s="24" t="e">
        <v>#N/A</v>
      </c>
      <c r="MTF27" s="24" t="e">
        <v>#N/A</v>
      </c>
      <c r="MTG27" s="24" t="e">
        <v>#N/A</v>
      </c>
      <c r="MTH27" s="24" t="e">
        <v>#N/A</v>
      </c>
      <c r="MTI27" s="24" t="e">
        <v>#N/A</v>
      </c>
      <c r="MTJ27" s="24" t="e">
        <v>#N/A</v>
      </c>
      <c r="MTK27" s="24" t="e">
        <v>#N/A</v>
      </c>
      <c r="MTL27" s="24" t="e">
        <v>#N/A</v>
      </c>
      <c r="MTM27" s="24" t="e">
        <v>#N/A</v>
      </c>
      <c r="MTN27" s="24" t="e">
        <v>#N/A</v>
      </c>
      <c r="MTO27" s="24" t="e">
        <v>#N/A</v>
      </c>
      <c r="MTP27" s="24" t="e">
        <v>#N/A</v>
      </c>
      <c r="MTQ27" s="24" t="e">
        <v>#N/A</v>
      </c>
      <c r="MTR27" s="24" t="e">
        <v>#N/A</v>
      </c>
      <c r="MTS27" s="24" t="e">
        <v>#N/A</v>
      </c>
      <c r="MTT27" s="24" t="e">
        <v>#N/A</v>
      </c>
      <c r="MTU27" s="24" t="e">
        <v>#N/A</v>
      </c>
      <c r="MTV27" s="24" t="e">
        <v>#N/A</v>
      </c>
      <c r="MTW27" s="24" t="e">
        <v>#N/A</v>
      </c>
      <c r="MTX27" s="24" t="e">
        <v>#N/A</v>
      </c>
      <c r="MTY27" s="24" t="e">
        <v>#N/A</v>
      </c>
      <c r="MTZ27" s="24" t="e">
        <v>#N/A</v>
      </c>
      <c r="MUA27" s="24" t="e">
        <v>#N/A</v>
      </c>
      <c r="MUB27" s="24" t="e">
        <v>#N/A</v>
      </c>
      <c r="MUC27" s="24" t="e">
        <v>#N/A</v>
      </c>
      <c r="MUD27" s="24" t="e">
        <v>#N/A</v>
      </c>
      <c r="MUE27" s="24" t="e">
        <v>#N/A</v>
      </c>
      <c r="MUF27" s="24" t="e">
        <v>#N/A</v>
      </c>
      <c r="MUG27" s="24" t="e">
        <v>#N/A</v>
      </c>
      <c r="MUH27" s="24" t="e">
        <v>#N/A</v>
      </c>
      <c r="MUI27" s="24" t="e">
        <v>#N/A</v>
      </c>
      <c r="MUJ27" s="24" t="e">
        <v>#N/A</v>
      </c>
      <c r="MUK27" s="24" t="e">
        <v>#N/A</v>
      </c>
      <c r="MUL27" s="24" t="e">
        <v>#N/A</v>
      </c>
      <c r="MUM27" s="24" t="e">
        <v>#N/A</v>
      </c>
      <c r="MUN27" s="24" t="e">
        <v>#N/A</v>
      </c>
      <c r="MUO27" s="24" t="e">
        <v>#N/A</v>
      </c>
      <c r="MUP27" s="24" t="e">
        <v>#N/A</v>
      </c>
      <c r="MUQ27" s="24" t="e">
        <v>#N/A</v>
      </c>
      <c r="MUR27" s="24" t="e">
        <v>#N/A</v>
      </c>
      <c r="MUS27" s="24" t="e">
        <v>#N/A</v>
      </c>
      <c r="MUT27" s="24" t="e">
        <v>#N/A</v>
      </c>
      <c r="MUU27" s="24" t="e">
        <v>#N/A</v>
      </c>
      <c r="MUV27" s="24" t="e">
        <v>#N/A</v>
      </c>
      <c r="MUW27" s="24" t="e">
        <v>#N/A</v>
      </c>
      <c r="MUX27" s="24" t="e">
        <v>#N/A</v>
      </c>
      <c r="MUY27" s="24" t="e">
        <v>#N/A</v>
      </c>
      <c r="MUZ27" s="24" t="e">
        <v>#N/A</v>
      </c>
      <c r="MVA27" s="24" t="e">
        <v>#N/A</v>
      </c>
      <c r="MVB27" s="24" t="e">
        <v>#N/A</v>
      </c>
      <c r="MVC27" s="24" t="e">
        <v>#N/A</v>
      </c>
      <c r="MVD27" s="24" t="e">
        <v>#N/A</v>
      </c>
      <c r="MVE27" s="24" t="e">
        <v>#N/A</v>
      </c>
      <c r="MVF27" s="24" t="e">
        <v>#N/A</v>
      </c>
      <c r="MVG27" s="24" t="e">
        <v>#N/A</v>
      </c>
      <c r="MVH27" s="24" t="e">
        <v>#N/A</v>
      </c>
      <c r="MVI27" s="24" t="e">
        <v>#N/A</v>
      </c>
      <c r="MVJ27" s="24" t="e">
        <v>#N/A</v>
      </c>
      <c r="MVK27" s="24" t="e">
        <v>#N/A</v>
      </c>
      <c r="MVL27" s="24" t="e">
        <v>#N/A</v>
      </c>
      <c r="MVM27" s="24" t="e">
        <v>#N/A</v>
      </c>
      <c r="MVN27" s="24" t="e">
        <v>#N/A</v>
      </c>
      <c r="MVO27" s="24" t="e">
        <v>#N/A</v>
      </c>
      <c r="MVP27" s="24" t="e">
        <v>#N/A</v>
      </c>
      <c r="MVQ27" s="24" t="e">
        <v>#N/A</v>
      </c>
      <c r="MVR27" s="24" t="e">
        <v>#N/A</v>
      </c>
      <c r="MVS27" s="24" t="e">
        <v>#N/A</v>
      </c>
      <c r="MVT27" s="24" t="e">
        <v>#N/A</v>
      </c>
      <c r="MVU27" s="24" t="e">
        <v>#N/A</v>
      </c>
      <c r="MVV27" s="24" t="e">
        <v>#N/A</v>
      </c>
      <c r="MVW27" s="24" t="e">
        <v>#N/A</v>
      </c>
      <c r="MVX27" s="24" t="e">
        <v>#N/A</v>
      </c>
      <c r="MVY27" s="24" t="e">
        <v>#N/A</v>
      </c>
      <c r="MVZ27" s="24" t="e">
        <v>#N/A</v>
      </c>
      <c r="MWA27" s="24" t="e">
        <v>#N/A</v>
      </c>
      <c r="MWB27" s="24" t="e">
        <v>#N/A</v>
      </c>
      <c r="MWC27" s="24" t="e">
        <v>#N/A</v>
      </c>
      <c r="MWD27" s="24" t="e">
        <v>#N/A</v>
      </c>
      <c r="MWE27" s="24" t="e">
        <v>#N/A</v>
      </c>
      <c r="MWF27" s="24" t="e">
        <v>#N/A</v>
      </c>
      <c r="MWG27" s="24" t="e">
        <v>#N/A</v>
      </c>
      <c r="MWH27" s="24" t="e">
        <v>#N/A</v>
      </c>
      <c r="MWI27" s="24" t="e">
        <v>#N/A</v>
      </c>
      <c r="MWJ27" s="24" t="e">
        <v>#N/A</v>
      </c>
      <c r="MWK27" s="24" t="e">
        <v>#N/A</v>
      </c>
      <c r="MWL27" s="24" t="e">
        <v>#N/A</v>
      </c>
      <c r="MWM27" s="24" t="e">
        <v>#N/A</v>
      </c>
      <c r="MWN27" s="24" t="e">
        <v>#N/A</v>
      </c>
      <c r="MWO27" s="24" t="e">
        <v>#N/A</v>
      </c>
      <c r="MWP27" s="24" t="e">
        <v>#N/A</v>
      </c>
      <c r="MWQ27" s="24" t="e">
        <v>#N/A</v>
      </c>
      <c r="MWR27" s="24" t="e">
        <v>#N/A</v>
      </c>
      <c r="MWS27" s="24" t="e">
        <v>#N/A</v>
      </c>
      <c r="MWT27" s="24" t="e">
        <v>#N/A</v>
      </c>
      <c r="MWU27" s="24" t="e">
        <v>#N/A</v>
      </c>
      <c r="MWV27" s="24" t="e">
        <v>#N/A</v>
      </c>
      <c r="MWW27" s="24" t="e">
        <v>#N/A</v>
      </c>
      <c r="MWX27" s="24" t="e">
        <v>#N/A</v>
      </c>
      <c r="MWY27" s="24" t="e">
        <v>#N/A</v>
      </c>
      <c r="MWZ27" s="24" t="e">
        <v>#N/A</v>
      </c>
      <c r="MXA27" s="24" t="e">
        <v>#N/A</v>
      </c>
      <c r="MXB27" s="24" t="e">
        <v>#N/A</v>
      </c>
      <c r="MXC27" s="24" t="e">
        <v>#N/A</v>
      </c>
      <c r="MXD27" s="24" t="e">
        <v>#N/A</v>
      </c>
      <c r="MXE27" s="24" t="e">
        <v>#N/A</v>
      </c>
      <c r="MXF27" s="24" t="e">
        <v>#N/A</v>
      </c>
      <c r="MXG27" s="24" t="e">
        <v>#N/A</v>
      </c>
      <c r="MXH27" s="24" t="e">
        <v>#N/A</v>
      </c>
      <c r="MXI27" s="24" t="e">
        <v>#N/A</v>
      </c>
      <c r="MXJ27" s="24" t="e">
        <v>#N/A</v>
      </c>
      <c r="MXK27" s="24" t="e">
        <v>#N/A</v>
      </c>
      <c r="MXL27" s="24" t="e">
        <v>#N/A</v>
      </c>
      <c r="MXM27" s="24" t="e">
        <v>#N/A</v>
      </c>
      <c r="MXN27" s="24" t="e">
        <v>#N/A</v>
      </c>
      <c r="MXO27" s="24" t="e">
        <v>#N/A</v>
      </c>
      <c r="MXP27" s="24" t="e">
        <v>#N/A</v>
      </c>
      <c r="MXQ27" s="24" t="e">
        <v>#N/A</v>
      </c>
      <c r="MXR27" s="24" t="e">
        <v>#N/A</v>
      </c>
      <c r="MXS27" s="24" t="e">
        <v>#N/A</v>
      </c>
      <c r="MXT27" s="24" t="e">
        <v>#N/A</v>
      </c>
      <c r="MXU27" s="24" t="e">
        <v>#N/A</v>
      </c>
      <c r="MXV27" s="24" t="e">
        <v>#N/A</v>
      </c>
      <c r="MXW27" s="24" t="e">
        <v>#N/A</v>
      </c>
      <c r="MXX27" s="24" t="e">
        <v>#N/A</v>
      </c>
      <c r="MXY27" s="24" t="e">
        <v>#N/A</v>
      </c>
      <c r="MXZ27" s="24" t="e">
        <v>#N/A</v>
      </c>
      <c r="MYA27" s="24" t="e">
        <v>#N/A</v>
      </c>
      <c r="MYB27" s="24" t="e">
        <v>#N/A</v>
      </c>
      <c r="MYC27" s="24" t="e">
        <v>#N/A</v>
      </c>
      <c r="MYD27" s="24" t="e">
        <v>#N/A</v>
      </c>
      <c r="MYE27" s="24" t="e">
        <v>#N/A</v>
      </c>
      <c r="MYF27" s="24" t="e">
        <v>#N/A</v>
      </c>
      <c r="MYG27" s="24" t="e">
        <v>#N/A</v>
      </c>
      <c r="MYH27" s="24" t="e">
        <v>#N/A</v>
      </c>
      <c r="MYI27" s="24" t="e">
        <v>#N/A</v>
      </c>
      <c r="MYJ27" s="24" t="e">
        <v>#N/A</v>
      </c>
      <c r="MYK27" s="24" t="e">
        <v>#N/A</v>
      </c>
      <c r="MYL27" s="24" t="e">
        <v>#N/A</v>
      </c>
      <c r="MYM27" s="24" t="e">
        <v>#N/A</v>
      </c>
      <c r="MYN27" s="24" t="e">
        <v>#N/A</v>
      </c>
      <c r="MYO27" s="24" t="e">
        <v>#N/A</v>
      </c>
      <c r="MYP27" s="24" t="e">
        <v>#N/A</v>
      </c>
      <c r="MYQ27" s="24" t="e">
        <v>#N/A</v>
      </c>
      <c r="MYR27" s="24" t="e">
        <v>#N/A</v>
      </c>
      <c r="MYS27" s="24" t="e">
        <v>#N/A</v>
      </c>
      <c r="MYT27" s="24" t="e">
        <v>#N/A</v>
      </c>
      <c r="MYU27" s="24" t="e">
        <v>#N/A</v>
      </c>
      <c r="MYV27" s="24" t="e">
        <v>#N/A</v>
      </c>
      <c r="MYW27" s="24" t="e">
        <v>#N/A</v>
      </c>
      <c r="MYX27" s="24" t="e">
        <v>#N/A</v>
      </c>
      <c r="MYY27" s="24" t="e">
        <v>#N/A</v>
      </c>
      <c r="MYZ27" s="24" t="e">
        <v>#N/A</v>
      </c>
      <c r="MZA27" s="24" t="e">
        <v>#N/A</v>
      </c>
      <c r="MZB27" s="24" t="e">
        <v>#N/A</v>
      </c>
      <c r="MZC27" s="24" t="e">
        <v>#N/A</v>
      </c>
      <c r="MZD27" s="24" t="e">
        <v>#N/A</v>
      </c>
      <c r="MZE27" s="24" t="e">
        <v>#N/A</v>
      </c>
      <c r="MZF27" s="24" t="e">
        <v>#N/A</v>
      </c>
      <c r="MZG27" s="24" t="e">
        <v>#N/A</v>
      </c>
      <c r="MZH27" s="24" t="e">
        <v>#N/A</v>
      </c>
      <c r="MZI27" s="24" t="e">
        <v>#N/A</v>
      </c>
      <c r="MZJ27" s="24" t="e">
        <v>#N/A</v>
      </c>
      <c r="MZK27" s="24" t="e">
        <v>#N/A</v>
      </c>
      <c r="MZL27" s="24" t="e">
        <v>#N/A</v>
      </c>
      <c r="MZM27" s="24" t="e">
        <v>#N/A</v>
      </c>
      <c r="MZN27" s="24" t="e">
        <v>#N/A</v>
      </c>
      <c r="MZO27" s="24" t="e">
        <v>#N/A</v>
      </c>
      <c r="MZP27" s="24" t="e">
        <v>#N/A</v>
      </c>
      <c r="MZQ27" s="24" t="e">
        <v>#N/A</v>
      </c>
      <c r="MZR27" s="24" t="e">
        <v>#N/A</v>
      </c>
      <c r="MZS27" s="24" t="e">
        <v>#N/A</v>
      </c>
      <c r="MZT27" s="24" t="e">
        <v>#N/A</v>
      </c>
      <c r="MZU27" s="24" t="e">
        <v>#N/A</v>
      </c>
      <c r="MZV27" s="24" t="e">
        <v>#N/A</v>
      </c>
      <c r="MZW27" s="24" t="e">
        <v>#N/A</v>
      </c>
      <c r="MZX27" s="24" t="e">
        <v>#N/A</v>
      </c>
      <c r="MZY27" s="24" t="e">
        <v>#N/A</v>
      </c>
      <c r="MZZ27" s="24" t="e">
        <v>#N/A</v>
      </c>
      <c r="NAA27" s="24" t="e">
        <v>#N/A</v>
      </c>
      <c r="NAB27" s="24" t="e">
        <v>#N/A</v>
      </c>
      <c r="NAC27" s="24" t="e">
        <v>#N/A</v>
      </c>
      <c r="NAD27" s="24" t="e">
        <v>#N/A</v>
      </c>
      <c r="NAE27" s="24" t="e">
        <v>#N/A</v>
      </c>
      <c r="NAF27" s="24" t="e">
        <v>#N/A</v>
      </c>
      <c r="NAG27" s="24" t="e">
        <v>#N/A</v>
      </c>
      <c r="NAH27" s="24" t="e">
        <v>#N/A</v>
      </c>
      <c r="NAI27" s="24" t="e">
        <v>#N/A</v>
      </c>
      <c r="NAJ27" s="24" t="e">
        <v>#N/A</v>
      </c>
      <c r="NAK27" s="24" t="e">
        <v>#N/A</v>
      </c>
      <c r="NAL27" s="24" t="e">
        <v>#N/A</v>
      </c>
      <c r="NAM27" s="24" t="e">
        <v>#N/A</v>
      </c>
      <c r="NAN27" s="24" t="e">
        <v>#N/A</v>
      </c>
      <c r="NAO27" s="24" t="e">
        <v>#N/A</v>
      </c>
      <c r="NAP27" s="24" t="e">
        <v>#N/A</v>
      </c>
      <c r="NAQ27" s="24" t="e">
        <v>#N/A</v>
      </c>
      <c r="NAR27" s="24" t="e">
        <v>#N/A</v>
      </c>
      <c r="NAS27" s="24" t="e">
        <v>#N/A</v>
      </c>
      <c r="NAT27" s="24" t="e">
        <v>#N/A</v>
      </c>
      <c r="NAU27" s="24" t="e">
        <v>#N/A</v>
      </c>
      <c r="NAV27" s="24" t="e">
        <v>#N/A</v>
      </c>
      <c r="NAW27" s="24" t="e">
        <v>#N/A</v>
      </c>
      <c r="NAX27" s="24" t="e">
        <v>#N/A</v>
      </c>
      <c r="NAY27" s="24" t="e">
        <v>#N/A</v>
      </c>
      <c r="NAZ27" s="24" t="e">
        <v>#N/A</v>
      </c>
      <c r="NBA27" s="24" t="e">
        <v>#N/A</v>
      </c>
      <c r="NBB27" s="24" t="e">
        <v>#N/A</v>
      </c>
      <c r="NBC27" s="24" t="e">
        <v>#N/A</v>
      </c>
      <c r="NBD27" s="24" t="e">
        <v>#N/A</v>
      </c>
      <c r="NBE27" s="24" t="e">
        <v>#N/A</v>
      </c>
      <c r="NBF27" s="24" t="e">
        <v>#N/A</v>
      </c>
      <c r="NBG27" s="24" t="e">
        <v>#N/A</v>
      </c>
      <c r="NBH27" s="24" t="e">
        <v>#N/A</v>
      </c>
      <c r="NBI27" s="24" t="e">
        <v>#N/A</v>
      </c>
      <c r="NBJ27" s="24" t="e">
        <v>#N/A</v>
      </c>
      <c r="NBK27" s="24" t="e">
        <v>#N/A</v>
      </c>
      <c r="NBL27" s="24" t="e">
        <v>#N/A</v>
      </c>
      <c r="NBM27" s="24" t="e">
        <v>#N/A</v>
      </c>
      <c r="NBN27" s="24" t="e">
        <v>#N/A</v>
      </c>
      <c r="NBO27" s="24" t="e">
        <v>#N/A</v>
      </c>
      <c r="NBP27" s="24" t="e">
        <v>#N/A</v>
      </c>
      <c r="NBQ27" s="24" t="e">
        <v>#N/A</v>
      </c>
      <c r="NBR27" s="24" t="e">
        <v>#N/A</v>
      </c>
      <c r="NBS27" s="24" t="e">
        <v>#N/A</v>
      </c>
      <c r="NBT27" s="24" t="e">
        <v>#N/A</v>
      </c>
      <c r="NBU27" s="24" t="e">
        <v>#N/A</v>
      </c>
      <c r="NBV27" s="24" t="e">
        <v>#N/A</v>
      </c>
      <c r="NBW27" s="24" t="e">
        <v>#N/A</v>
      </c>
      <c r="NBX27" s="24" t="e">
        <v>#N/A</v>
      </c>
      <c r="NBY27" s="24" t="e">
        <v>#N/A</v>
      </c>
      <c r="NBZ27" s="24" t="e">
        <v>#N/A</v>
      </c>
      <c r="NCA27" s="24" t="e">
        <v>#N/A</v>
      </c>
      <c r="NCB27" s="24" t="e">
        <v>#N/A</v>
      </c>
      <c r="NCC27" s="24" t="e">
        <v>#N/A</v>
      </c>
      <c r="NCD27" s="24" t="e">
        <v>#N/A</v>
      </c>
      <c r="NCE27" s="24" t="e">
        <v>#N/A</v>
      </c>
      <c r="NCF27" s="24" t="e">
        <v>#N/A</v>
      </c>
      <c r="NCG27" s="24" t="e">
        <v>#N/A</v>
      </c>
      <c r="NCH27" s="24" t="e">
        <v>#N/A</v>
      </c>
      <c r="NCI27" s="24" t="e">
        <v>#N/A</v>
      </c>
      <c r="NCJ27" s="24" t="e">
        <v>#N/A</v>
      </c>
      <c r="NCK27" s="24" t="e">
        <v>#N/A</v>
      </c>
      <c r="NCL27" s="24" t="e">
        <v>#N/A</v>
      </c>
      <c r="NCM27" s="24" t="e">
        <v>#N/A</v>
      </c>
      <c r="NCN27" s="24" t="e">
        <v>#N/A</v>
      </c>
      <c r="NCO27" s="24" t="e">
        <v>#N/A</v>
      </c>
      <c r="NCP27" s="24" t="e">
        <v>#N/A</v>
      </c>
      <c r="NCQ27" s="24" t="e">
        <v>#N/A</v>
      </c>
      <c r="NCR27" s="24" t="e">
        <v>#N/A</v>
      </c>
      <c r="NCS27" s="24" t="e">
        <v>#N/A</v>
      </c>
      <c r="NCT27" s="24" t="e">
        <v>#N/A</v>
      </c>
      <c r="NCU27" s="24" t="e">
        <v>#N/A</v>
      </c>
      <c r="NCV27" s="24" t="e">
        <v>#N/A</v>
      </c>
      <c r="NCW27" s="24" t="e">
        <v>#N/A</v>
      </c>
      <c r="NCX27" s="24" t="e">
        <v>#N/A</v>
      </c>
      <c r="NCY27" s="24" t="e">
        <v>#N/A</v>
      </c>
      <c r="NCZ27" s="24" t="e">
        <v>#N/A</v>
      </c>
      <c r="NDA27" s="24" t="e">
        <v>#N/A</v>
      </c>
      <c r="NDB27" s="24" t="e">
        <v>#N/A</v>
      </c>
      <c r="NDC27" s="24" t="e">
        <v>#N/A</v>
      </c>
      <c r="NDD27" s="24" t="e">
        <v>#N/A</v>
      </c>
      <c r="NDE27" s="24" t="e">
        <v>#N/A</v>
      </c>
      <c r="NDF27" s="24" t="e">
        <v>#N/A</v>
      </c>
      <c r="NDG27" s="24" t="e">
        <v>#N/A</v>
      </c>
      <c r="NDH27" s="24" t="e">
        <v>#N/A</v>
      </c>
      <c r="NDI27" s="24" t="e">
        <v>#N/A</v>
      </c>
      <c r="NDJ27" s="24" t="e">
        <v>#N/A</v>
      </c>
      <c r="NDK27" s="24" t="e">
        <v>#N/A</v>
      </c>
      <c r="NDL27" s="24" t="e">
        <v>#N/A</v>
      </c>
      <c r="NDM27" s="24" t="e">
        <v>#N/A</v>
      </c>
      <c r="NDN27" s="24" t="e">
        <v>#N/A</v>
      </c>
      <c r="NDO27" s="24" t="e">
        <v>#N/A</v>
      </c>
      <c r="NDP27" s="24" t="e">
        <v>#N/A</v>
      </c>
      <c r="NDQ27" s="24" t="e">
        <v>#N/A</v>
      </c>
      <c r="NDR27" s="24" t="e">
        <v>#N/A</v>
      </c>
      <c r="NDS27" s="24" t="e">
        <v>#N/A</v>
      </c>
      <c r="NDT27" s="24" t="e">
        <v>#N/A</v>
      </c>
      <c r="NDU27" s="24" t="e">
        <v>#N/A</v>
      </c>
      <c r="NDV27" s="24" t="e">
        <v>#N/A</v>
      </c>
      <c r="NDW27" s="24" t="e">
        <v>#N/A</v>
      </c>
      <c r="NDX27" s="24" t="e">
        <v>#N/A</v>
      </c>
      <c r="NDY27" s="24" t="e">
        <v>#N/A</v>
      </c>
      <c r="NDZ27" s="24" t="e">
        <v>#N/A</v>
      </c>
      <c r="NEA27" s="24" t="e">
        <v>#N/A</v>
      </c>
      <c r="NEB27" s="24" t="e">
        <v>#N/A</v>
      </c>
      <c r="NEC27" s="24" t="e">
        <v>#N/A</v>
      </c>
      <c r="NED27" s="24" t="e">
        <v>#N/A</v>
      </c>
      <c r="NEE27" s="24" t="e">
        <v>#N/A</v>
      </c>
      <c r="NEF27" s="24" t="e">
        <v>#N/A</v>
      </c>
      <c r="NEG27" s="24" t="e">
        <v>#N/A</v>
      </c>
      <c r="NEH27" s="24" t="e">
        <v>#N/A</v>
      </c>
      <c r="NEI27" s="24" t="e">
        <v>#N/A</v>
      </c>
      <c r="NEJ27" s="24" t="e">
        <v>#N/A</v>
      </c>
      <c r="NEK27" s="24" t="e">
        <v>#N/A</v>
      </c>
      <c r="NEL27" s="24" t="e">
        <v>#N/A</v>
      </c>
      <c r="NEM27" s="24" t="e">
        <v>#N/A</v>
      </c>
      <c r="NEN27" s="24" t="e">
        <v>#N/A</v>
      </c>
      <c r="NEO27" s="24" t="e">
        <v>#N/A</v>
      </c>
      <c r="NEP27" s="24" t="e">
        <v>#N/A</v>
      </c>
      <c r="NEQ27" s="24" t="e">
        <v>#N/A</v>
      </c>
      <c r="NER27" s="24" t="e">
        <v>#N/A</v>
      </c>
      <c r="NES27" s="24" t="e">
        <v>#N/A</v>
      </c>
      <c r="NET27" s="24" t="e">
        <v>#N/A</v>
      </c>
      <c r="NEU27" s="24" t="e">
        <v>#N/A</v>
      </c>
      <c r="NEV27" s="24" t="e">
        <v>#N/A</v>
      </c>
      <c r="NEW27" s="24" t="e">
        <v>#N/A</v>
      </c>
      <c r="NEX27" s="24" t="e">
        <v>#N/A</v>
      </c>
      <c r="NEY27" s="24" t="e">
        <v>#N/A</v>
      </c>
      <c r="NEZ27" s="24" t="e">
        <v>#N/A</v>
      </c>
      <c r="NFA27" s="24" t="e">
        <v>#N/A</v>
      </c>
      <c r="NFB27" s="24" t="e">
        <v>#N/A</v>
      </c>
      <c r="NFC27" s="24" t="e">
        <v>#N/A</v>
      </c>
      <c r="NFD27" s="24" t="e">
        <v>#N/A</v>
      </c>
      <c r="NFE27" s="24" t="e">
        <v>#N/A</v>
      </c>
      <c r="NFF27" s="24" t="e">
        <v>#N/A</v>
      </c>
      <c r="NFG27" s="24" t="e">
        <v>#N/A</v>
      </c>
      <c r="NFH27" s="24" t="e">
        <v>#N/A</v>
      </c>
      <c r="NFI27" s="24" t="e">
        <v>#N/A</v>
      </c>
      <c r="NFJ27" s="24" t="e">
        <v>#N/A</v>
      </c>
      <c r="NFK27" s="24" t="e">
        <v>#N/A</v>
      </c>
      <c r="NFL27" s="24" t="e">
        <v>#N/A</v>
      </c>
      <c r="NFM27" s="24" t="e">
        <v>#N/A</v>
      </c>
      <c r="NFN27" s="24" t="e">
        <v>#N/A</v>
      </c>
      <c r="NFO27" s="24" t="e">
        <v>#N/A</v>
      </c>
      <c r="NFP27" s="24" t="e">
        <v>#N/A</v>
      </c>
      <c r="NFQ27" s="24" t="e">
        <v>#N/A</v>
      </c>
      <c r="NFR27" s="24" t="e">
        <v>#N/A</v>
      </c>
      <c r="NFS27" s="24" t="e">
        <v>#N/A</v>
      </c>
      <c r="NFT27" s="24" t="e">
        <v>#N/A</v>
      </c>
      <c r="NFU27" s="24" t="e">
        <v>#N/A</v>
      </c>
      <c r="NFV27" s="24" t="e">
        <v>#N/A</v>
      </c>
      <c r="NFW27" s="24" t="e">
        <v>#N/A</v>
      </c>
      <c r="NFX27" s="24" t="e">
        <v>#N/A</v>
      </c>
      <c r="NFY27" s="24" t="e">
        <v>#N/A</v>
      </c>
      <c r="NFZ27" s="24" t="e">
        <v>#N/A</v>
      </c>
      <c r="NGA27" s="24" t="e">
        <v>#N/A</v>
      </c>
      <c r="NGB27" s="24" t="e">
        <v>#N/A</v>
      </c>
      <c r="NGC27" s="24" t="e">
        <v>#N/A</v>
      </c>
      <c r="NGD27" s="24" t="e">
        <v>#N/A</v>
      </c>
      <c r="NGE27" s="24" t="e">
        <v>#N/A</v>
      </c>
      <c r="NGF27" s="24" t="e">
        <v>#N/A</v>
      </c>
      <c r="NGG27" s="24" t="e">
        <v>#N/A</v>
      </c>
      <c r="NGH27" s="24" t="e">
        <v>#N/A</v>
      </c>
      <c r="NGI27" s="24" t="e">
        <v>#N/A</v>
      </c>
      <c r="NGJ27" s="24" t="e">
        <v>#N/A</v>
      </c>
      <c r="NGK27" s="24" t="e">
        <v>#N/A</v>
      </c>
      <c r="NGL27" s="24" t="e">
        <v>#N/A</v>
      </c>
      <c r="NGM27" s="24" t="e">
        <v>#N/A</v>
      </c>
      <c r="NGN27" s="24" t="e">
        <v>#N/A</v>
      </c>
      <c r="NGO27" s="24" t="e">
        <v>#N/A</v>
      </c>
      <c r="NGP27" s="24" t="e">
        <v>#N/A</v>
      </c>
      <c r="NGQ27" s="24" t="e">
        <v>#N/A</v>
      </c>
      <c r="NGR27" s="24" t="e">
        <v>#N/A</v>
      </c>
      <c r="NGS27" s="24" t="e">
        <v>#N/A</v>
      </c>
      <c r="NGT27" s="24" t="e">
        <v>#N/A</v>
      </c>
      <c r="NGU27" s="24" t="e">
        <v>#N/A</v>
      </c>
      <c r="NGV27" s="24" t="e">
        <v>#N/A</v>
      </c>
      <c r="NGW27" s="24" t="e">
        <v>#N/A</v>
      </c>
      <c r="NGX27" s="24" t="e">
        <v>#N/A</v>
      </c>
      <c r="NGY27" s="24" t="e">
        <v>#N/A</v>
      </c>
      <c r="NGZ27" s="24" t="e">
        <v>#N/A</v>
      </c>
      <c r="NHA27" s="24" t="e">
        <v>#N/A</v>
      </c>
      <c r="NHB27" s="24" t="e">
        <v>#N/A</v>
      </c>
      <c r="NHC27" s="24" t="e">
        <v>#N/A</v>
      </c>
      <c r="NHD27" s="24" t="e">
        <v>#N/A</v>
      </c>
      <c r="NHE27" s="24" t="e">
        <v>#N/A</v>
      </c>
      <c r="NHF27" s="24" t="e">
        <v>#N/A</v>
      </c>
      <c r="NHG27" s="24" t="e">
        <v>#N/A</v>
      </c>
      <c r="NHH27" s="24" t="e">
        <v>#N/A</v>
      </c>
      <c r="NHI27" s="24" t="e">
        <v>#N/A</v>
      </c>
      <c r="NHJ27" s="24" t="e">
        <v>#N/A</v>
      </c>
      <c r="NHK27" s="24" t="e">
        <v>#N/A</v>
      </c>
      <c r="NHL27" s="24" t="e">
        <v>#N/A</v>
      </c>
      <c r="NHM27" s="24" t="e">
        <v>#N/A</v>
      </c>
      <c r="NHN27" s="24" t="e">
        <v>#N/A</v>
      </c>
      <c r="NHO27" s="24" t="e">
        <v>#N/A</v>
      </c>
      <c r="NHP27" s="24" t="e">
        <v>#N/A</v>
      </c>
      <c r="NHQ27" s="24" t="e">
        <v>#N/A</v>
      </c>
      <c r="NHR27" s="24" t="e">
        <v>#N/A</v>
      </c>
      <c r="NHS27" s="24" t="e">
        <v>#N/A</v>
      </c>
      <c r="NHT27" s="24" t="e">
        <v>#N/A</v>
      </c>
      <c r="NHU27" s="24" t="e">
        <v>#N/A</v>
      </c>
      <c r="NHV27" s="24" t="e">
        <v>#N/A</v>
      </c>
      <c r="NHW27" s="24" t="e">
        <v>#N/A</v>
      </c>
      <c r="NHX27" s="24" t="e">
        <v>#N/A</v>
      </c>
      <c r="NHY27" s="24" t="e">
        <v>#N/A</v>
      </c>
      <c r="NHZ27" s="24" t="e">
        <v>#N/A</v>
      </c>
      <c r="NIA27" s="24" t="e">
        <v>#N/A</v>
      </c>
      <c r="NIB27" s="24" t="e">
        <v>#N/A</v>
      </c>
      <c r="NIC27" s="24" t="e">
        <v>#N/A</v>
      </c>
      <c r="NID27" s="24" t="e">
        <v>#N/A</v>
      </c>
      <c r="NIE27" s="24" t="e">
        <v>#N/A</v>
      </c>
      <c r="NIF27" s="24" t="e">
        <v>#N/A</v>
      </c>
      <c r="NIG27" s="24" t="e">
        <v>#N/A</v>
      </c>
      <c r="NIH27" s="24" t="e">
        <v>#N/A</v>
      </c>
      <c r="NII27" s="24" t="e">
        <v>#N/A</v>
      </c>
      <c r="NIJ27" s="24" t="e">
        <v>#N/A</v>
      </c>
      <c r="NIK27" s="24" t="e">
        <v>#N/A</v>
      </c>
      <c r="NIL27" s="24" t="e">
        <v>#N/A</v>
      </c>
      <c r="NIM27" s="24" t="e">
        <v>#N/A</v>
      </c>
      <c r="NIN27" s="24" t="e">
        <v>#N/A</v>
      </c>
      <c r="NIO27" s="24" t="e">
        <v>#N/A</v>
      </c>
      <c r="NIP27" s="24" t="e">
        <v>#N/A</v>
      </c>
      <c r="NIQ27" s="24" t="e">
        <v>#N/A</v>
      </c>
      <c r="NIR27" s="24" t="e">
        <v>#N/A</v>
      </c>
      <c r="NIS27" s="24" t="e">
        <v>#N/A</v>
      </c>
      <c r="NIT27" s="24" t="e">
        <v>#N/A</v>
      </c>
      <c r="NIU27" s="24" t="e">
        <v>#N/A</v>
      </c>
      <c r="NIV27" s="24" t="e">
        <v>#N/A</v>
      </c>
      <c r="NIW27" s="24" t="e">
        <v>#N/A</v>
      </c>
      <c r="NIX27" s="24" t="e">
        <v>#N/A</v>
      </c>
      <c r="NIY27" s="24" t="e">
        <v>#N/A</v>
      </c>
      <c r="NIZ27" s="24" t="e">
        <v>#N/A</v>
      </c>
      <c r="NJA27" s="24" t="e">
        <v>#N/A</v>
      </c>
      <c r="NJB27" s="24" t="e">
        <v>#N/A</v>
      </c>
      <c r="NJC27" s="24" t="e">
        <v>#N/A</v>
      </c>
      <c r="NJD27" s="24" t="e">
        <v>#N/A</v>
      </c>
      <c r="NJE27" s="24" t="e">
        <v>#N/A</v>
      </c>
      <c r="NJF27" s="24" t="e">
        <v>#N/A</v>
      </c>
      <c r="NJG27" s="24" t="e">
        <v>#N/A</v>
      </c>
      <c r="NJH27" s="24" t="e">
        <v>#N/A</v>
      </c>
      <c r="NJI27" s="24" t="e">
        <v>#N/A</v>
      </c>
      <c r="NJJ27" s="24" t="e">
        <v>#N/A</v>
      </c>
      <c r="NJK27" s="24" t="e">
        <v>#N/A</v>
      </c>
      <c r="NJL27" s="24" t="e">
        <v>#N/A</v>
      </c>
      <c r="NJM27" s="24" t="e">
        <v>#N/A</v>
      </c>
      <c r="NJN27" s="24" t="e">
        <v>#N/A</v>
      </c>
      <c r="NJO27" s="24" t="e">
        <v>#N/A</v>
      </c>
      <c r="NJP27" s="24" t="e">
        <v>#N/A</v>
      </c>
      <c r="NJQ27" s="24" t="e">
        <v>#N/A</v>
      </c>
      <c r="NJR27" s="24" t="e">
        <v>#N/A</v>
      </c>
      <c r="NJS27" s="24" t="e">
        <v>#N/A</v>
      </c>
      <c r="NJT27" s="24" t="e">
        <v>#N/A</v>
      </c>
      <c r="NJU27" s="24" t="e">
        <v>#N/A</v>
      </c>
      <c r="NJV27" s="24" t="e">
        <v>#N/A</v>
      </c>
      <c r="NJW27" s="24" t="e">
        <v>#N/A</v>
      </c>
      <c r="NJX27" s="24" t="e">
        <v>#N/A</v>
      </c>
      <c r="NJY27" s="24" t="e">
        <v>#N/A</v>
      </c>
      <c r="NJZ27" s="24" t="e">
        <v>#N/A</v>
      </c>
      <c r="NKA27" s="24" t="e">
        <v>#N/A</v>
      </c>
      <c r="NKB27" s="24" t="e">
        <v>#N/A</v>
      </c>
      <c r="NKC27" s="24" t="e">
        <v>#N/A</v>
      </c>
      <c r="NKD27" s="24" t="e">
        <v>#N/A</v>
      </c>
      <c r="NKE27" s="24" t="e">
        <v>#N/A</v>
      </c>
      <c r="NKF27" s="24" t="e">
        <v>#N/A</v>
      </c>
      <c r="NKG27" s="24" t="e">
        <v>#N/A</v>
      </c>
      <c r="NKH27" s="24" t="e">
        <v>#N/A</v>
      </c>
      <c r="NKI27" s="24" t="e">
        <v>#N/A</v>
      </c>
      <c r="NKJ27" s="24" t="e">
        <v>#N/A</v>
      </c>
      <c r="NKK27" s="24" t="e">
        <v>#N/A</v>
      </c>
      <c r="NKL27" s="24" t="e">
        <v>#N/A</v>
      </c>
      <c r="NKM27" s="24" t="e">
        <v>#N/A</v>
      </c>
      <c r="NKN27" s="24" t="e">
        <v>#N/A</v>
      </c>
      <c r="NKO27" s="24" t="e">
        <v>#N/A</v>
      </c>
      <c r="NKP27" s="24" t="e">
        <v>#N/A</v>
      </c>
      <c r="NKQ27" s="24" t="e">
        <v>#N/A</v>
      </c>
      <c r="NKR27" s="24" t="e">
        <v>#N/A</v>
      </c>
      <c r="NKS27" s="24" t="e">
        <v>#N/A</v>
      </c>
      <c r="NKT27" s="24" t="e">
        <v>#N/A</v>
      </c>
      <c r="NKU27" s="24" t="e">
        <v>#N/A</v>
      </c>
      <c r="NKV27" s="24" t="e">
        <v>#N/A</v>
      </c>
      <c r="NKW27" s="24" t="e">
        <v>#N/A</v>
      </c>
      <c r="NKX27" s="24" t="e">
        <v>#N/A</v>
      </c>
      <c r="NKY27" s="24" t="e">
        <v>#N/A</v>
      </c>
      <c r="NKZ27" s="24" t="e">
        <v>#N/A</v>
      </c>
      <c r="NLA27" s="24" t="e">
        <v>#N/A</v>
      </c>
      <c r="NLB27" s="24" t="e">
        <v>#N/A</v>
      </c>
      <c r="NLC27" s="24" t="e">
        <v>#N/A</v>
      </c>
      <c r="NLD27" s="24" t="e">
        <v>#N/A</v>
      </c>
      <c r="NLE27" s="24" t="e">
        <v>#N/A</v>
      </c>
      <c r="NLF27" s="24" t="e">
        <v>#N/A</v>
      </c>
      <c r="NLG27" s="24" t="e">
        <v>#N/A</v>
      </c>
      <c r="NLH27" s="24" t="e">
        <v>#N/A</v>
      </c>
      <c r="NLI27" s="24" t="e">
        <v>#N/A</v>
      </c>
      <c r="NLJ27" s="24" t="e">
        <v>#N/A</v>
      </c>
      <c r="NLK27" s="24" t="e">
        <v>#N/A</v>
      </c>
      <c r="NLL27" s="24" t="e">
        <v>#N/A</v>
      </c>
      <c r="NLM27" s="24" t="e">
        <v>#N/A</v>
      </c>
      <c r="NLN27" s="24" t="e">
        <v>#N/A</v>
      </c>
      <c r="NLO27" s="24" t="e">
        <v>#N/A</v>
      </c>
      <c r="NLP27" s="24" t="e">
        <v>#N/A</v>
      </c>
      <c r="NLQ27" s="24" t="e">
        <v>#N/A</v>
      </c>
      <c r="NLR27" s="24" t="e">
        <v>#N/A</v>
      </c>
      <c r="NLS27" s="24" t="e">
        <v>#N/A</v>
      </c>
      <c r="NLT27" s="24" t="e">
        <v>#N/A</v>
      </c>
      <c r="NLU27" s="24" t="e">
        <v>#N/A</v>
      </c>
      <c r="NLV27" s="24" t="e">
        <v>#N/A</v>
      </c>
      <c r="NLW27" s="24" t="e">
        <v>#N/A</v>
      </c>
      <c r="NLX27" s="24" t="e">
        <v>#N/A</v>
      </c>
      <c r="NLY27" s="24" t="e">
        <v>#N/A</v>
      </c>
      <c r="NLZ27" s="24" t="e">
        <v>#N/A</v>
      </c>
      <c r="NMA27" s="24" t="e">
        <v>#N/A</v>
      </c>
      <c r="NMB27" s="24" t="e">
        <v>#N/A</v>
      </c>
      <c r="NMC27" s="24" t="e">
        <v>#N/A</v>
      </c>
      <c r="NMD27" s="24" t="e">
        <v>#N/A</v>
      </c>
      <c r="NME27" s="24" t="e">
        <v>#N/A</v>
      </c>
      <c r="NMF27" s="24" t="e">
        <v>#N/A</v>
      </c>
      <c r="NMG27" s="24" t="e">
        <v>#N/A</v>
      </c>
      <c r="NMH27" s="24" t="e">
        <v>#N/A</v>
      </c>
      <c r="NMI27" s="24" t="e">
        <v>#N/A</v>
      </c>
      <c r="NMJ27" s="24" t="e">
        <v>#N/A</v>
      </c>
      <c r="NMK27" s="24" t="e">
        <v>#N/A</v>
      </c>
      <c r="NML27" s="24" t="e">
        <v>#N/A</v>
      </c>
      <c r="NMM27" s="24" t="e">
        <v>#N/A</v>
      </c>
      <c r="NMN27" s="24" t="e">
        <v>#N/A</v>
      </c>
      <c r="NMO27" s="24" t="e">
        <v>#N/A</v>
      </c>
      <c r="NMP27" s="24" t="e">
        <v>#N/A</v>
      </c>
      <c r="NMQ27" s="24" t="e">
        <v>#N/A</v>
      </c>
      <c r="NMR27" s="24" t="e">
        <v>#N/A</v>
      </c>
      <c r="NMS27" s="24" t="e">
        <v>#N/A</v>
      </c>
      <c r="NMT27" s="24" t="e">
        <v>#N/A</v>
      </c>
      <c r="NMU27" s="24" t="e">
        <v>#N/A</v>
      </c>
      <c r="NMV27" s="24" t="e">
        <v>#N/A</v>
      </c>
      <c r="NMW27" s="24" t="e">
        <v>#N/A</v>
      </c>
      <c r="NMX27" s="24" t="e">
        <v>#N/A</v>
      </c>
      <c r="NMY27" s="24" t="e">
        <v>#N/A</v>
      </c>
      <c r="NMZ27" s="24" t="e">
        <v>#N/A</v>
      </c>
      <c r="NNA27" s="24" t="e">
        <v>#N/A</v>
      </c>
      <c r="NNB27" s="24" t="e">
        <v>#N/A</v>
      </c>
      <c r="NNC27" s="24" t="e">
        <v>#N/A</v>
      </c>
      <c r="NND27" s="24" t="e">
        <v>#N/A</v>
      </c>
      <c r="NNE27" s="24" t="e">
        <v>#N/A</v>
      </c>
      <c r="NNF27" s="24" t="e">
        <v>#N/A</v>
      </c>
      <c r="NNG27" s="24" t="e">
        <v>#N/A</v>
      </c>
      <c r="NNH27" s="24" t="e">
        <v>#N/A</v>
      </c>
      <c r="NNI27" s="24" t="e">
        <v>#N/A</v>
      </c>
      <c r="NNJ27" s="24" t="e">
        <v>#N/A</v>
      </c>
      <c r="NNK27" s="24" t="e">
        <v>#N/A</v>
      </c>
      <c r="NNL27" s="24" t="e">
        <v>#N/A</v>
      </c>
      <c r="NNM27" s="24" t="e">
        <v>#N/A</v>
      </c>
      <c r="NNN27" s="24" t="e">
        <v>#N/A</v>
      </c>
      <c r="NNO27" s="24" t="e">
        <v>#N/A</v>
      </c>
      <c r="NNP27" s="24" t="e">
        <v>#N/A</v>
      </c>
      <c r="NNQ27" s="24" t="e">
        <v>#N/A</v>
      </c>
      <c r="NNR27" s="24" t="e">
        <v>#N/A</v>
      </c>
      <c r="NNS27" s="24" t="e">
        <v>#N/A</v>
      </c>
      <c r="NNT27" s="24" t="e">
        <v>#N/A</v>
      </c>
      <c r="NNU27" s="24" t="e">
        <v>#N/A</v>
      </c>
      <c r="NNV27" s="24" t="e">
        <v>#N/A</v>
      </c>
      <c r="NNW27" s="24" t="e">
        <v>#N/A</v>
      </c>
      <c r="NNX27" s="24" t="e">
        <v>#N/A</v>
      </c>
      <c r="NNY27" s="24" t="e">
        <v>#N/A</v>
      </c>
      <c r="NNZ27" s="24" t="e">
        <v>#N/A</v>
      </c>
      <c r="NOA27" s="24" t="e">
        <v>#N/A</v>
      </c>
      <c r="NOB27" s="24" t="e">
        <v>#N/A</v>
      </c>
      <c r="NOC27" s="24" t="e">
        <v>#N/A</v>
      </c>
      <c r="NOD27" s="24" t="e">
        <v>#N/A</v>
      </c>
      <c r="NOE27" s="24" t="e">
        <v>#N/A</v>
      </c>
      <c r="NOF27" s="24" t="e">
        <v>#N/A</v>
      </c>
      <c r="NOG27" s="24" t="e">
        <v>#N/A</v>
      </c>
      <c r="NOH27" s="24" t="e">
        <v>#N/A</v>
      </c>
      <c r="NOI27" s="24" t="e">
        <v>#N/A</v>
      </c>
      <c r="NOJ27" s="24" t="e">
        <v>#N/A</v>
      </c>
      <c r="NOK27" s="24" t="e">
        <v>#N/A</v>
      </c>
      <c r="NOL27" s="24" t="e">
        <v>#N/A</v>
      </c>
      <c r="NOM27" s="24" t="e">
        <v>#N/A</v>
      </c>
      <c r="NON27" s="24" t="e">
        <v>#N/A</v>
      </c>
      <c r="NOO27" s="24" t="e">
        <v>#N/A</v>
      </c>
      <c r="NOP27" s="24" t="e">
        <v>#N/A</v>
      </c>
      <c r="NOQ27" s="24" t="e">
        <v>#N/A</v>
      </c>
      <c r="NOR27" s="24" t="e">
        <v>#N/A</v>
      </c>
      <c r="NOS27" s="24" t="e">
        <v>#N/A</v>
      </c>
      <c r="NOT27" s="24" t="e">
        <v>#N/A</v>
      </c>
      <c r="NOU27" s="24" t="e">
        <v>#N/A</v>
      </c>
      <c r="NOV27" s="24" t="e">
        <v>#N/A</v>
      </c>
      <c r="NOW27" s="24" t="e">
        <v>#N/A</v>
      </c>
      <c r="NOX27" s="24" t="e">
        <v>#N/A</v>
      </c>
      <c r="NOY27" s="24" t="e">
        <v>#N/A</v>
      </c>
      <c r="NOZ27" s="24" t="e">
        <v>#N/A</v>
      </c>
      <c r="NPA27" s="24" t="e">
        <v>#N/A</v>
      </c>
      <c r="NPB27" s="24" t="e">
        <v>#N/A</v>
      </c>
      <c r="NPC27" s="24" t="e">
        <v>#N/A</v>
      </c>
      <c r="NPD27" s="24" t="e">
        <v>#N/A</v>
      </c>
      <c r="NPE27" s="24" t="e">
        <v>#N/A</v>
      </c>
      <c r="NPF27" s="24" t="e">
        <v>#N/A</v>
      </c>
      <c r="NPG27" s="24" t="e">
        <v>#N/A</v>
      </c>
      <c r="NPH27" s="24" t="e">
        <v>#N/A</v>
      </c>
      <c r="NPI27" s="24" t="e">
        <v>#N/A</v>
      </c>
      <c r="NPJ27" s="24" t="e">
        <v>#N/A</v>
      </c>
      <c r="NPK27" s="24" t="e">
        <v>#N/A</v>
      </c>
      <c r="NPL27" s="24" t="e">
        <v>#N/A</v>
      </c>
      <c r="NPM27" s="24" t="e">
        <v>#N/A</v>
      </c>
      <c r="NPN27" s="24" t="e">
        <v>#N/A</v>
      </c>
      <c r="NPO27" s="24" t="e">
        <v>#N/A</v>
      </c>
      <c r="NPP27" s="24" t="e">
        <v>#N/A</v>
      </c>
      <c r="NPQ27" s="24" t="e">
        <v>#N/A</v>
      </c>
      <c r="NPR27" s="24" t="e">
        <v>#N/A</v>
      </c>
      <c r="NPS27" s="24" t="e">
        <v>#N/A</v>
      </c>
      <c r="NPT27" s="24" t="e">
        <v>#N/A</v>
      </c>
      <c r="NPU27" s="24" t="e">
        <v>#N/A</v>
      </c>
      <c r="NPV27" s="24" t="e">
        <v>#N/A</v>
      </c>
      <c r="NPW27" s="24" t="e">
        <v>#N/A</v>
      </c>
      <c r="NPX27" s="24" t="e">
        <v>#N/A</v>
      </c>
      <c r="NPY27" s="24" t="e">
        <v>#N/A</v>
      </c>
      <c r="NPZ27" s="24" t="e">
        <v>#N/A</v>
      </c>
      <c r="NQA27" s="24" t="e">
        <v>#N/A</v>
      </c>
      <c r="NQB27" s="24" t="e">
        <v>#N/A</v>
      </c>
      <c r="NQC27" s="24" t="e">
        <v>#N/A</v>
      </c>
      <c r="NQD27" s="24" t="e">
        <v>#N/A</v>
      </c>
      <c r="NQE27" s="24" t="e">
        <v>#N/A</v>
      </c>
      <c r="NQF27" s="24" t="e">
        <v>#N/A</v>
      </c>
      <c r="NQG27" s="24" t="e">
        <v>#N/A</v>
      </c>
      <c r="NQH27" s="24" t="e">
        <v>#N/A</v>
      </c>
      <c r="NQI27" s="24" t="e">
        <v>#N/A</v>
      </c>
      <c r="NQJ27" s="24" t="e">
        <v>#N/A</v>
      </c>
      <c r="NQK27" s="24" t="e">
        <v>#N/A</v>
      </c>
      <c r="NQL27" s="24" t="e">
        <v>#N/A</v>
      </c>
      <c r="NQM27" s="24" t="e">
        <v>#N/A</v>
      </c>
      <c r="NQN27" s="24" t="e">
        <v>#N/A</v>
      </c>
      <c r="NQO27" s="24" t="e">
        <v>#N/A</v>
      </c>
      <c r="NQP27" s="24" t="e">
        <v>#N/A</v>
      </c>
      <c r="NQQ27" s="24" t="e">
        <v>#N/A</v>
      </c>
      <c r="NQR27" s="24" t="e">
        <v>#N/A</v>
      </c>
      <c r="NQS27" s="24" t="e">
        <v>#N/A</v>
      </c>
      <c r="NQT27" s="24" t="e">
        <v>#N/A</v>
      </c>
      <c r="NQU27" s="24" t="e">
        <v>#N/A</v>
      </c>
      <c r="NQV27" s="24" t="e">
        <v>#N/A</v>
      </c>
      <c r="NQW27" s="24" t="e">
        <v>#N/A</v>
      </c>
      <c r="NQX27" s="24" t="e">
        <v>#N/A</v>
      </c>
      <c r="NQY27" s="24" t="e">
        <v>#N/A</v>
      </c>
      <c r="NQZ27" s="24" t="e">
        <v>#N/A</v>
      </c>
      <c r="NRA27" s="24" t="e">
        <v>#N/A</v>
      </c>
      <c r="NRB27" s="24" t="e">
        <v>#N/A</v>
      </c>
      <c r="NRC27" s="24" t="e">
        <v>#N/A</v>
      </c>
      <c r="NRD27" s="24" t="e">
        <v>#N/A</v>
      </c>
      <c r="NRE27" s="24" t="e">
        <v>#N/A</v>
      </c>
      <c r="NRF27" s="24" t="e">
        <v>#N/A</v>
      </c>
      <c r="NRG27" s="24" t="e">
        <v>#N/A</v>
      </c>
      <c r="NRH27" s="24" t="e">
        <v>#N/A</v>
      </c>
      <c r="NRI27" s="24" t="e">
        <v>#N/A</v>
      </c>
      <c r="NRJ27" s="24" t="e">
        <v>#N/A</v>
      </c>
      <c r="NRK27" s="24" t="e">
        <v>#N/A</v>
      </c>
      <c r="NRL27" s="24" t="e">
        <v>#N/A</v>
      </c>
      <c r="NRM27" s="24" t="e">
        <v>#N/A</v>
      </c>
      <c r="NRN27" s="24" t="e">
        <v>#N/A</v>
      </c>
      <c r="NRO27" s="24" t="e">
        <v>#N/A</v>
      </c>
      <c r="NRP27" s="24" t="e">
        <v>#N/A</v>
      </c>
      <c r="NRQ27" s="24" t="e">
        <v>#N/A</v>
      </c>
      <c r="NRR27" s="24" t="e">
        <v>#N/A</v>
      </c>
      <c r="NRS27" s="24" t="e">
        <v>#N/A</v>
      </c>
      <c r="NRT27" s="24" t="e">
        <v>#N/A</v>
      </c>
      <c r="NRU27" s="24" t="e">
        <v>#N/A</v>
      </c>
      <c r="NRV27" s="24" t="e">
        <v>#N/A</v>
      </c>
      <c r="NRW27" s="24" t="e">
        <v>#N/A</v>
      </c>
      <c r="NRX27" s="24" t="e">
        <v>#N/A</v>
      </c>
      <c r="NRY27" s="24" t="e">
        <v>#N/A</v>
      </c>
      <c r="NRZ27" s="24" t="e">
        <v>#N/A</v>
      </c>
      <c r="NSA27" s="24" t="e">
        <v>#N/A</v>
      </c>
      <c r="NSB27" s="24" t="e">
        <v>#N/A</v>
      </c>
      <c r="NSC27" s="24" t="e">
        <v>#N/A</v>
      </c>
      <c r="NSD27" s="24" t="e">
        <v>#N/A</v>
      </c>
      <c r="NSE27" s="24" t="e">
        <v>#N/A</v>
      </c>
      <c r="NSF27" s="24" t="e">
        <v>#N/A</v>
      </c>
      <c r="NSG27" s="24" t="e">
        <v>#N/A</v>
      </c>
      <c r="NSH27" s="24" t="e">
        <v>#N/A</v>
      </c>
      <c r="NSI27" s="24" t="e">
        <v>#N/A</v>
      </c>
      <c r="NSJ27" s="24" t="e">
        <v>#N/A</v>
      </c>
      <c r="NSK27" s="24" t="e">
        <v>#N/A</v>
      </c>
      <c r="NSL27" s="24" t="e">
        <v>#N/A</v>
      </c>
      <c r="NSM27" s="24" t="e">
        <v>#N/A</v>
      </c>
      <c r="NSN27" s="24" t="e">
        <v>#N/A</v>
      </c>
      <c r="NSO27" s="24" t="e">
        <v>#N/A</v>
      </c>
      <c r="NSP27" s="24" t="e">
        <v>#N/A</v>
      </c>
      <c r="NSQ27" s="24" t="e">
        <v>#N/A</v>
      </c>
      <c r="NSR27" s="24" t="e">
        <v>#N/A</v>
      </c>
      <c r="NSS27" s="24" t="e">
        <v>#N/A</v>
      </c>
      <c r="NST27" s="24" t="e">
        <v>#N/A</v>
      </c>
      <c r="NSU27" s="24" t="e">
        <v>#N/A</v>
      </c>
      <c r="NSV27" s="24" t="e">
        <v>#N/A</v>
      </c>
      <c r="NSW27" s="24" t="e">
        <v>#N/A</v>
      </c>
      <c r="NSX27" s="24" t="e">
        <v>#N/A</v>
      </c>
      <c r="NSY27" s="24" t="e">
        <v>#N/A</v>
      </c>
      <c r="NSZ27" s="24" t="e">
        <v>#N/A</v>
      </c>
      <c r="NTA27" s="24" t="e">
        <v>#N/A</v>
      </c>
      <c r="NTB27" s="24" t="e">
        <v>#N/A</v>
      </c>
      <c r="NTC27" s="24" t="e">
        <v>#N/A</v>
      </c>
      <c r="NTD27" s="24" t="e">
        <v>#N/A</v>
      </c>
      <c r="NTE27" s="24" t="e">
        <v>#N/A</v>
      </c>
      <c r="NTF27" s="24" t="e">
        <v>#N/A</v>
      </c>
      <c r="NTG27" s="24" t="e">
        <v>#N/A</v>
      </c>
      <c r="NTH27" s="24" t="e">
        <v>#N/A</v>
      </c>
      <c r="NTI27" s="24" t="e">
        <v>#N/A</v>
      </c>
      <c r="NTJ27" s="24" t="e">
        <v>#N/A</v>
      </c>
      <c r="NTK27" s="24" t="e">
        <v>#N/A</v>
      </c>
      <c r="NTL27" s="24" t="e">
        <v>#N/A</v>
      </c>
      <c r="NTM27" s="24" t="e">
        <v>#N/A</v>
      </c>
      <c r="NTN27" s="24" t="e">
        <v>#N/A</v>
      </c>
      <c r="NTO27" s="24" t="e">
        <v>#N/A</v>
      </c>
      <c r="NTP27" s="24" t="e">
        <v>#N/A</v>
      </c>
      <c r="NTQ27" s="24" t="e">
        <v>#N/A</v>
      </c>
      <c r="NTR27" s="24" t="e">
        <v>#N/A</v>
      </c>
      <c r="NTS27" s="24" t="e">
        <v>#N/A</v>
      </c>
      <c r="NTT27" s="24" t="e">
        <v>#N/A</v>
      </c>
      <c r="NTU27" s="24" t="e">
        <v>#N/A</v>
      </c>
      <c r="NTV27" s="24" t="e">
        <v>#N/A</v>
      </c>
      <c r="NTW27" s="24" t="e">
        <v>#N/A</v>
      </c>
      <c r="NTX27" s="24" t="e">
        <v>#N/A</v>
      </c>
      <c r="NTY27" s="24" t="e">
        <v>#N/A</v>
      </c>
      <c r="NTZ27" s="24" t="e">
        <v>#N/A</v>
      </c>
      <c r="NUA27" s="24" t="e">
        <v>#N/A</v>
      </c>
      <c r="NUB27" s="24" t="e">
        <v>#N/A</v>
      </c>
      <c r="NUC27" s="24" t="e">
        <v>#N/A</v>
      </c>
      <c r="NUD27" s="24" t="e">
        <v>#N/A</v>
      </c>
      <c r="NUE27" s="24" t="e">
        <v>#N/A</v>
      </c>
      <c r="NUF27" s="24" t="e">
        <v>#N/A</v>
      </c>
      <c r="NUG27" s="24" t="e">
        <v>#N/A</v>
      </c>
      <c r="NUH27" s="24" t="e">
        <v>#N/A</v>
      </c>
      <c r="NUI27" s="24" t="e">
        <v>#N/A</v>
      </c>
      <c r="NUJ27" s="24" t="e">
        <v>#N/A</v>
      </c>
      <c r="NUK27" s="24" t="e">
        <v>#N/A</v>
      </c>
      <c r="NUL27" s="24" t="e">
        <v>#N/A</v>
      </c>
      <c r="NUM27" s="24" t="e">
        <v>#N/A</v>
      </c>
      <c r="NUN27" s="24" t="e">
        <v>#N/A</v>
      </c>
      <c r="NUO27" s="24" t="e">
        <v>#N/A</v>
      </c>
      <c r="NUP27" s="24" t="e">
        <v>#N/A</v>
      </c>
      <c r="NUQ27" s="24" t="e">
        <v>#N/A</v>
      </c>
      <c r="NUR27" s="24" t="e">
        <v>#N/A</v>
      </c>
      <c r="NUS27" s="24" t="e">
        <v>#N/A</v>
      </c>
      <c r="NUT27" s="24" t="e">
        <v>#N/A</v>
      </c>
      <c r="NUU27" s="24" t="e">
        <v>#N/A</v>
      </c>
      <c r="NUV27" s="24" t="e">
        <v>#N/A</v>
      </c>
      <c r="NUW27" s="24" t="e">
        <v>#N/A</v>
      </c>
      <c r="NUX27" s="24" t="e">
        <v>#N/A</v>
      </c>
      <c r="NUY27" s="24" t="e">
        <v>#N/A</v>
      </c>
      <c r="NUZ27" s="24" t="e">
        <v>#N/A</v>
      </c>
      <c r="NVA27" s="24" t="e">
        <v>#N/A</v>
      </c>
      <c r="NVB27" s="24" t="e">
        <v>#N/A</v>
      </c>
      <c r="NVC27" s="24" t="e">
        <v>#N/A</v>
      </c>
      <c r="NVD27" s="24" t="e">
        <v>#N/A</v>
      </c>
      <c r="NVE27" s="24" t="e">
        <v>#N/A</v>
      </c>
      <c r="NVF27" s="24" t="e">
        <v>#N/A</v>
      </c>
      <c r="NVG27" s="24" t="e">
        <v>#N/A</v>
      </c>
      <c r="NVH27" s="24" t="e">
        <v>#N/A</v>
      </c>
      <c r="NVI27" s="24" t="e">
        <v>#N/A</v>
      </c>
      <c r="NVJ27" s="24" t="e">
        <v>#N/A</v>
      </c>
      <c r="NVK27" s="24" t="e">
        <v>#N/A</v>
      </c>
      <c r="NVL27" s="24" t="e">
        <v>#N/A</v>
      </c>
      <c r="NVM27" s="24" t="e">
        <v>#N/A</v>
      </c>
      <c r="NVN27" s="24" t="e">
        <v>#N/A</v>
      </c>
      <c r="NVO27" s="24" t="e">
        <v>#N/A</v>
      </c>
      <c r="NVP27" s="24" t="e">
        <v>#N/A</v>
      </c>
      <c r="NVQ27" s="24" t="e">
        <v>#N/A</v>
      </c>
      <c r="NVR27" s="24" t="e">
        <v>#N/A</v>
      </c>
      <c r="NVS27" s="24" t="e">
        <v>#N/A</v>
      </c>
      <c r="NVT27" s="24" t="e">
        <v>#N/A</v>
      </c>
      <c r="NVU27" s="24" t="e">
        <v>#N/A</v>
      </c>
      <c r="NVV27" s="24" t="e">
        <v>#N/A</v>
      </c>
      <c r="NVW27" s="24" t="e">
        <v>#N/A</v>
      </c>
      <c r="NVX27" s="24" t="e">
        <v>#N/A</v>
      </c>
      <c r="NVY27" s="24" t="e">
        <v>#N/A</v>
      </c>
      <c r="NVZ27" s="24" t="e">
        <v>#N/A</v>
      </c>
      <c r="NWA27" s="24" t="e">
        <v>#N/A</v>
      </c>
      <c r="NWB27" s="24" t="e">
        <v>#N/A</v>
      </c>
      <c r="NWC27" s="24" t="e">
        <v>#N/A</v>
      </c>
      <c r="NWD27" s="24" t="e">
        <v>#N/A</v>
      </c>
      <c r="NWE27" s="24" t="e">
        <v>#N/A</v>
      </c>
      <c r="NWF27" s="24" t="e">
        <v>#N/A</v>
      </c>
      <c r="NWG27" s="24" t="e">
        <v>#N/A</v>
      </c>
      <c r="NWH27" s="24" t="e">
        <v>#N/A</v>
      </c>
      <c r="NWI27" s="24" t="e">
        <v>#N/A</v>
      </c>
      <c r="NWJ27" s="24" t="e">
        <v>#N/A</v>
      </c>
      <c r="NWK27" s="24" t="e">
        <v>#N/A</v>
      </c>
      <c r="NWL27" s="24" t="e">
        <v>#N/A</v>
      </c>
      <c r="NWM27" s="24" t="e">
        <v>#N/A</v>
      </c>
      <c r="NWN27" s="24" t="e">
        <v>#N/A</v>
      </c>
      <c r="NWO27" s="24" t="e">
        <v>#N/A</v>
      </c>
      <c r="NWP27" s="24" t="e">
        <v>#N/A</v>
      </c>
      <c r="NWQ27" s="24" t="e">
        <v>#N/A</v>
      </c>
      <c r="NWR27" s="24" t="e">
        <v>#N/A</v>
      </c>
      <c r="NWS27" s="24" t="e">
        <v>#N/A</v>
      </c>
      <c r="NWT27" s="24" t="e">
        <v>#N/A</v>
      </c>
      <c r="NWU27" s="24" t="e">
        <v>#N/A</v>
      </c>
      <c r="NWV27" s="24" t="e">
        <v>#N/A</v>
      </c>
      <c r="NWW27" s="24" t="e">
        <v>#N/A</v>
      </c>
      <c r="NWX27" s="24" t="e">
        <v>#N/A</v>
      </c>
      <c r="NWY27" s="24" t="e">
        <v>#N/A</v>
      </c>
      <c r="NWZ27" s="24" t="e">
        <v>#N/A</v>
      </c>
      <c r="NXA27" s="24" t="e">
        <v>#N/A</v>
      </c>
      <c r="NXB27" s="24" t="e">
        <v>#N/A</v>
      </c>
      <c r="NXC27" s="24" t="e">
        <v>#N/A</v>
      </c>
      <c r="NXD27" s="24" t="e">
        <v>#N/A</v>
      </c>
      <c r="NXE27" s="24" t="e">
        <v>#N/A</v>
      </c>
      <c r="NXF27" s="24" t="e">
        <v>#N/A</v>
      </c>
      <c r="NXG27" s="24" t="e">
        <v>#N/A</v>
      </c>
      <c r="NXH27" s="24" t="e">
        <v>#N/A</v>
      </c>
      <c r="NXI27" s="24" t="e">
        <v>#N/A</v>
      </c>
      <c r="NXJ27" s="24" t="e">
        <v>#N/A</v>
      </c>
      <c r="NXK27" s="24" t="e">
        <v>#N/A</v>
      </c>
      <c r="NXL27" s="24" t="e">
        <v>#N/A</v>
      </c>
      <c r="NXM27" s="24" t="e">
        <v>#N/A</v>
      </c>
      <c r="NXN27" s="24" t="e">
        <v>#N/A</v>
      </c>
      <c r="NXO27" s="24" t="e">
        <v>#N/A</v>
      </c>
      <c r="NXP27" s="24" t="e">
        <v>#N/A</v>
      </c>
      <c r="NXQ27" s="24" t="e">
        <v>#N/A</v>
      </c>
      <c r="NXR27" s="24" t="e">
        <v>#N/A</v>
      </c>
      <c r="NXS27" s="24" t="e">
        <v>#N/A</v>
      </c>
      <c r="NXT27" s="24" t="e">
        <v>#N/A</v>
      </c>
      <c r="NXU27" s="24" t="e">
        <v>#N/A</v>
      </c>
      <c r="NXV27" s="24" t="e">
        <v>#N/A</v>
      </c>
      <c r="NXW27" s="24" t="e">
        <v>#N/A</v>
      </c>
      <c r="NXX27" s="24" t="e">
        <v>#N/A</v>
      </c>
      <c r="NXY27" s="24" t="e">
        <v>#N/A</v>
      </c>
      <c r="NXZ27" s="24" t="e">
        <v>#N/A</v>
      </c>
      <c r="NYA27" s="24" t="e">
        <v>#N/A</v>
      </c>
      <c r="NYB27" s="24" t="e">
        <v>#N/A</v>
      </c>
      <c r="NYC27" s="24" t="e">
        <v>#N/A</v>
      </c>
      <c r="NYD27" s="24" t="e">
        <v>#N/A</v>
      </c>
      <c r="NYE27" s="24" t="e">
        <v>#N/A</v>
      </c>
      <c r="NYF27" s="24" t="e">
        <v>#N/A</v>
      </c>
      <c r="NYG27" s="24" t="e">
        <v>#N/A</v>
      </c>
      <c r="NYH27" s="24" t="e">
        <v>#N/A</v>
      </c>
      <c r="NYI27" s="24" t="e">
        <v>#N/A</v>
      </c>
      <c r="NYJ27" s="24" t="e">
        <v>#N/A</v>
      </c>
      <c r="NYK27" s="24" t="e">
        <v>#N/A</v>
      </c>
      <c r="NYL27" s="24" t="e">
        <v>#N/A</v>
      </c>
      <c r="NYM27" s="24" t="e">
        <v>#N/A</v>
      </c>
      <c r="NYN27" s="24" t="e">
        <v>#N/A</v>
      </c>
      <c r="NYO27" s="24" t="e">
        <v>#N/A</v>
      </c>
      <c r="NYP27" s="24" t="e">
        <v>#N/A</v>
      </c>
      <c r="NYQ27" s="24" t="e">
        <v>#N/A</v>
      </c>
      <c r="NYR27" s="24" t="e">
        <v>#N/A</v>
      </c>
      <c r="NYS27" s="24" t="e">
        <v>#N/A</v>
      </c>
      <c r="NYT27" s="24" t="e">
        <v>#N/A</v>
      </c>
      <c r="NYU27" s="24" t="e">
        <v>#N/A</v>
      </c>
      <c r="NYV27" s="24" t="e">
        <v>#N/A</v>
      </c>
      <c r="NYW27" s="24" t="e">
        <v>#N/A</v>
      </c>
      <c r="NYX27" s="24" t="e">
        <v>#N/A</v>
      </c>
      <c r="NYY27" s="24" t="e">
        <v>#N/A</v>
      </c>
      <c r="NYZ27" s="24" t="e">
        <v>#N/A</v>
      </c>
      <c r="NZA27" s="24" t="e">
        <v>#N/A</v>
      </c>
      <c r="NZB27" s="24" t="e">
        <v>#N/A</v>
      </c>
      <c r="NZC27" s="24" t="e">
        <v>#N/A</v>
      </c>
      <c r="NZD27" s="24" t="e">
        <v>#N/A</v>
      </c>
      <c r="NZE27" s="24" t="e">
        <v>#N/A</v>
      </c>
      <c r="NZF27" s="24" t="e">
        <v>#N/A</v>
      </c>
      <c r="NZG27" s="24" t="e">
        <v>#N/A</v>
      </c>
      <c r="NZH27" s="24" t="e">
        <v>#N/A</v>
      </c>
      <c r="NZI27" s="24" t="e">
        <v>#N/A</v>
      </c>
      <c r="NZJ27" s="24" t="e">
        <v>#N/A</v>
      </c>
      <c r="NZK27" s="24" t="e">
        <v>#N/A</v>
      </c>
      <c r="NZL27" s="24" t="e">
        <v>#N/A</v>
      </c>
      <c r="NZM27" s="24" t="e">
        <v>#N/A</v>
      </c>
      <c r="NZN27" s="24" t="e">
        <v>#N/A</v>
      </c>
      <c r="NZO27" s="24" t="e">
        <v>#N/A</v>
      </c>
      <c r="NZP27" s="24" t="e">
        <v>#N/A</v>
      </c>
      <c r="NZQ27" s="24" t="e">
        <v>#N/A</v>
      </c>
      <c r="NZR27" s="24" t="e">
        <v>#N/A</v>
      </c>
      <c r="NZS27" s="24" t="e">
        <v>#N/A</v>
      </c>
      <c r="NZT27" s="24" t="e">
        <v>#N/A</v>
      </c>
      <c r="NZU27" s="24" t="e">
        <v>#N/A</v>
      </c>
      <c r="NZV27" s="24" t="e">
        <v>#N/A</v>
      </c>
      <c r="NZW27" s="24" t="e">
        <v>#N/A</v>
      </c>
      <c r="NZX27" s="24" t="e">
        <v>#N/A</v>
      </c>
      <c r="NZY27" s="24" t="e">
        <v>#N/A</v>
      </c>
      <c r="NZZ27" s="24" t="e">
        <v>#N/A</v>
      </c>
      <c r="OAA27" s="24" t="e">
        <v>#N/A</v>
      </c>
      <c r="OAB27" s="24" t="e">
        <v>#N/A</v>
      </c>
      <c r="OAC27" s="24" t="e">
        <v>#N/A</v>
      </c>
      <c r="OAD27" s="24" t="e">
        <v>#N/A</v>
      </c>
      <c r="OAE27" s="24" t="e">
        <v>#N/A</v>
      </c>
      <c r="OAF27" s="24" t="e">
        <v>#N/A</v>
      </c>
      <c r="OAG27" s="24" t="e">
        <v>#N/A</v>
      </c>
      <c r="OAH27" s="24" t="e">
        <v>#N/A</v>
      </c>
      <c r="OAI27" s="24" t="e">
        <v>#N/A</v>
      </c>
      <c r="OAJ27" s="24" t="e">
        <v>#N/A</v>
      </c>
      <c r="OAK27" s="24" t="e">
        <v>#N/A</v>
      </c>
      <c r="OAL27" s="24" t="e">
        <v>#N/A</v>
      </c>
      <c r="OAM27" s="24" t="e">
        <v>#N/A</v>
      </c>
      <c r="OAN27" s="24" t="e">
        <v>#N/A</v>
      </c>
      <c r="OAO27" s="24" t="e">
        <v>#N/A</v>
      </c>
      <c r="OAP27" s="24" t="e">
        <v>#N/A</v>
      </c>
      <c r="OAQ27" s="24" t="e">
        <v>#N/A</v>
      </c>
      <c r="OAR27" s="24" t="e">
        <v>#N/A</v>
      </c>
      <c r="OAS27" s="24" t="e">
        <v>#N/A</v>
      </c>
      <c r="OAT27" s="24" t="e">
        <v>#N/A</v>
      </c>
      <c r="OAU27" s="24" t="e">
        <v>#N/A</v>
      </c>
      <c r="OAV27" s="24" t="e">
        <v>#N/A</v>
      </c>
      <c r="OAW27" s="24" t="e">
        <v>#N/A</v>
      </c>
      <c r="OAX27" s="24" t="e">
        <v>#N/A</v>
      </c>
      <c r="OAY27" s="24" t="e">
        <v>#N/A</v>
      </c>
      <c r="OAZ27" s="24" t="e">
        <v>#N/A</v>
      </c>
      <c r="OBA27" s="24" t="e">
        <v>#N/A</v>
      </c>
      <c r="OBB27" s="24" t="e">
        <v>#N/A</v>
      </c>
      <c r="OBC27" s="24" t="e">
        <v>#N/A</v>
      </c>
      <c r="OBD27" s="24" t="e">
        <v>#N/A</v>
      </c>
      <c r="OBE27" s="24" t="e">
        <v>#N/A</v>
      </c>
      <c r="OBF27" s="24" t="e">
        <v>#N/A</v>
      </c>
      <c r="OBG27" s="24" t="e">
        <v>#N/A</v>
      </c>
      <c r="OBH27" s="24" t="e">
        <v>#N/A</v>
      </c>
      <c r="OBI27" s="24" t="e">
        <v>#N/A</v>
      </c>
      <c r="OBJ27" s="24" t="e">
        <v>#N/A</v>
      </c>
      <c r="OBK27" s="24" t="e">
        <v>#N/A</v>
      </c>
      <c r="OBL27" s="24" t="e">
        <v>#N/A</v>
      </c>
      <c r="OBM27" s="24" t="e">
        <v>#N/A</v>
      </c>
      <c r="OBN27" s="24" t="e">
        <v>#N/A</v>
      </c>
      <c r="OBO27" s="24" t="e">
        <v>#N/A</v>
      </c>
      <c r="OBP27" s="24" t="e">
        <v>#N/A</v>
      </c>
      <c r="OBQ27" s="24" t="e">
        <v>#N/A</v>
      </c>
      <c r="OBR27" s="24" t="e">
        <v>#N/A</v>
      </c>
      <c r="OBS27" s="24" t="e">
        <v>#N/A</v>
      </c>
      <c r="OBT27" s="24" t="e">
        <v>#N/A</v>
      </c>
      <c r="OBU27" s="24" t="e">
        <v>#N/A</v>
      </c>
      <c r="OBV27" s="24" t="e">
        <v>#N/A</v>
      </c>
      <c r="OBW27" s="24" t="e">
        <v>#N/A</v>
      </c>
      <c r="OBX27" s="24" t="e">
        <v>#N/A</v>
      </c>
      <c r="OBY27" s="24" t="e">
        <v>#N/A</v>
      </c>
      <c r="OBZ27" s="24" t="e">
        <v>#N/A</v>
      </c>
      <c r="OCA27" s="24" t="e">
        <v>#N/A</v>
      </c>
      <c r="OCB27" s="24" t="e">
        <v>#N/A</v>
      </c>
      <c r="OCC27" s="24" t="e">
        <v>#N/A</v>
      </c>
      <c r="OCD27" s="24" t="e">
        <v>#N/A</v>
      </c>
      <c r="OCE27" s="24" t="e">
        <v>#N/A</v>
      </c>
      <c r="OCF27" s="24" t="e">
        <v>#N/A</v>
      </c>
      <c r="OCG27" s="24" t="e">
        <v>#N/A</v>
      </c>
      <c r="OCH27" s="24" t="e">
        <v>#N/A</v>
      </c>
      <c r="OCI27" s="24" t="e">
        <v>#N/A</v>
      </c>
      <c r="OCJ27" s="24" t="e">
        <v>#N/A</v>
      </c>
      <c r="OCK27" s="24" t="e">
        <v>#N/A</v>
      </c>
      <c r="OCL27" s="24" t="e">
        <v>#N/A</v>
      </c>
      <c r="OCM27" s="24" t="e">
        <v>#N/A</v>
      </c>
      <c r="OCN27" s="24" t="e">
        <v>#N/A</v>
      </c>
      <c r="OCO27" s="24" t="e">
        <v>#N/A</v>
      </c>
      <c r="OCP27" s="24" t="e">
        <v>#N/A</v>
      </c>
      <c r="OCQ27" s="24" t="e">
        <v>#N/A</v>
      </c>
      <c r="OCR27" s="24" t="e">
        <v>#N/A</v>
      </c>
      <c r="OCS27" s="24" t="e">
        <v>#N/A</v>
      </c>
      <c r="OCT27" s="24" t="e">
        <v>#N/A</v>
      </c>
      <c r="OCU27" s="24" t="e">
        <v>#N/A</v>
      </c>
      <c r="OCV27" s="24" t="e">
        <v>#N/A</v>
      </c>
      <c r="OCW27" s="24" t="e">
        <v>#N/A</v>
      </c>
      <c r="OCX27" s="24" t="e">
        <v>#N/A</v>
      </c>
      <c r="OCY27" s="24" t="e">
        <v>#N/A</v>
      </c>
      <c r="OCZ27" s="24" t="e">
        <v>#N/A</v>
      </c>
      <c r="ODA27" s="24" t="e">
        <v>#N/A</v>
      </c>
      <c r="ODB27" s="24" t="e">
        <v>#N/A</v>
      </c>
      <c r="ODC27" s="24" t="e">
        <v>#N/A</v>
      </c>
      <c r="ODD27" s="24" t="e">
        <v>#N/A</v>
      </c>
      <c r="ODE27" s="24" t="e">
        <v>#N/A</v>
      </c>
      <c r="ODF27" s="24" t="e">
        <v>#N/A</v>
      </c>
      <c r="ODG27" s="24" t="e">
        <v>#N/A</v>
      </c>
      <c r="ODH27" s="24" t="e">
        <v>#N/A</v>
      </c>
      <c r="ODI27" s="24" t="e">
        <v>#N/A</v>
      </c>
      <c r="ODJ27" s="24" t="e">
        <v>#N/A</v>
      </c>
      <c r="ODK27" s="24" t="e">
        <v>#N/A</v>
      </c>
      <c r="ODL27" s="24" t="e">
        <v>#N/A</v>
      </c>
      <c r="ODM27" s="24" t="e">
        <v>#N/A</v>
      </c>
      <c r="ODN27" s="24" t="e">
        <v>#N/A</v>
      </c>
      <c r="ODO27" s="24" t="e">
        <v>#N/A</v>
      </c>
      <c r="ODP27" s="24" t="e">
        <v>#N/A</v>
      </c>
      <c r="ODQ27" s="24" t="e">
        <v>#N/A</v>
      </c>
      <c r="ODR27" s="24" t="e">
        <v>#N/A</v>
      </c>
      <c r="ODS27" s="24" t="e">
        <v>#N/A</v>
      </c>
      <c r="ODT27" s="24" t="e">
        <v>#N/A</v>
      </c>
      <c r="ODU27" s="24" t="e">
        <v>#N/A</v>
      </c>
      <c r="ODV27" s="24" t="e">
        <v>#N/A</v>
      </c>
      <c r="ODW27" s="24" t="e">
        <v>#N/A</v>
      </c>
      <c r="ODX27" s="24" t="e">
        <v>#N/A</v>
      </c>
      <c r="ODY27" s="24" t="e">
        <v>#N/A</v>
      </c>
      <c r="ODZ27" s="24" t="e">
        <v>#N/A</v>
      </c>
      <c r="OEA27" s="24" t="e">
        <v>#N/A</v>
      </c>
      <c r="OEB27" s="24" t="e">
        <v>#N/A</v>
      </c>
      <c r="OEC27" s="24" t="e">
        <v>#N/A</v>
      </c>
      <c r="OED27" s="24" t="e">
        <v>#N/A</v>
      </c>
      <c r="OEE27" s="24" t="e">
        <v>#N/A</v>
      </c>
      <c r="OEF27" s="24" t="e">
        <v>#N/A</v>
      </c>
      <c r="OEG27" s="24" t="e">
        <v>#N/A</v>
      </c>
      <c r="OEH27" s="24" t="e">
        <v>#N/A</v>
      </c>
      <c r="OEI27" s="24" t="e">
        <v>#N/A</v>
      </c>
      <c r="OEJ27" s="24" t="e">
        <v>#N/A</v>
      </c>
      <c r="OEK27" s="24" t="e">
        <v>#N/A</v>
      </c>
      <c r="OEL27" s="24" t="e">
        <v>#N/A</v>
      </c>
      <c r="OEM27" s="24" t="e">
        <v>#N/A</v>
      </c>
      <c r="OEN27" s="24" t="e">
        <v>#N/A</v>
      </c>
      <c r="OEO27" s="24" t="e">
        <v>#N/A</v>
      </c>
      <c r="OEP27" s="24" t="e">
        <v>#N/A</v>
      </c>
      <c r="OEQ27" s="24" t="e">
        <v>#N/A</v>
      </c>
      <c r="OER27" s="24" t="e">
        <v>#N/A</v>
      </c>
      <c r="OES27" s="24" t="e">
        <v>#N/A</v>
      </c>
      <c r="OET27" s="24" t="e">
        <v>#N/A</v>
      </c>
      <c r="OEU27" s="24" t="e">
        <v>#N/A</v>
      </c>
      <c r="OEV27" s="24" t="e">
        <v>#N/A</v>
      </c>
      <c r="OEW27" s="24" t="e">
        <v>#N/A</v>
      </c>
      <c r="OEX27" s="24" t="e">
        <v>#N/A</v>
      </c>
      <c r="OEY27" s="24" t="e">
        <v>#N/A</v>
      </c>
      <c r="OEZ27" s="24" t="e">
        <v>#N/A</v>
      </c>
      <c r="OFA27" s="24" t="e">
        <v>#N/A</v>
      </c>
      <c r="OFB27" s="24" t="e">
        <v>#N/A</v>
      </c>
      <c r="OFC27" s="24" t="e">
        <v>#N/A</v>
      </c>
      <c r="OFD27" s="24" t="e">
        <v>#N/A</v>
      </c>
      <c r="OFE27" s="24" t="e">
        <v>#N/A</v>
      </c>
      <c r="OFF27" s="24" t="e">
        <v>#N/A</v>
      </c>
      <c r="OFG27" s="24" t="e">
        <v>#N/A</v>
      </c>
      <c r="OFH27" s="24" t="e">
        <v>#N/A</v>
      </c>
      <c r="OFI27" s="24" t="e">
        <v>#N/A</v>
      </c>
      <c r="OFJ27" s="24" t="e">
        <v>#N/A</v>
      </c>
      <c r="OFK27" s="24" t="e">
        <v>#N/A</v>
      </c>
      <c r="OFL27" s="24" t="e">
        <v>#N/A</v>
      </c>
      <c r="OFM27" s="24" t="e">
        <v>#N/A</v>
      </c>
      <c r="OFN27" s="24" t="e">
        <v>#N/A</v>
      </c>
      <c r="OFO27" s="24" t="e">
        <v>#N/A</v>
      </c>
      <c r="OFP27" s="24" t="e">
        <v>#N/A</v>
      </c>
      <c r="OFQ27" s="24" t="e">
        <v>#N/A</v>
      </c>
      <c r="OFR27" s="24" t="e">
        <v>#N/A</v>
      </c>
      <c r="OFS27" s="24" t="e">
        <v>#N/A</v>
      </c>
      <c r="OFT27" s="24" t="e">
        <v>#N/A</v>
      </c>
      <c r="OFU27" s="24" t="e">
        <v>#N/A</v>
      </c>
      <c r="OFV27" s="24" t="e">
        <v>#N/A</v>
      </c>
      <c r="OFW27" s="24" t="e">
        <v>#N/A</v>
      </c>
      <c r="OFX27" s="24" t="e">
        <v>#N/A</v>
      </c>
      <c r="OFY27" s="24" t="e">
        <v>#N/A</v>
      </c>
      <c r="OFZ27" s="24" t="e">
        <v>#N/A</v>
      </c>
      <c r="OGA27" s="24" t="e">
        <v>#N/A</v>
      </c>
      <c r="OGB27" s="24" t="e">
        <v>#N/A</v>
      </c>
      <c r="OGC27" s="24" t="e">
        <v>#N/A</v>
      </c>
      <c r="OGD27" s="24" t="e">
        <v>#N/A</v>
      </c>
      <c r="OGE27" s="24" t="e">
        <v>#N/A</v>
      </c>
      <c r="OGF27" s="24" t="e">
        <v>#N/A</v>
      </c>
      <c r="OGG27" s="24" t="e">
        <v>#N/A</v>
      </c>
      <c r="OGH27" s="24" t="e">
        <v>#N/A</v>
      </c>
      <c r="OGI27" s="24" t="e">
        <v>#N/A</v>
      </c>
      <c r="OGJ27" s="24" t="e">
        <v>#N/A</v>
      </c>
      <c r="OGK27" s="24" t="e">
        <v>#N/A</v>
      </c>
      <c r="OGL27" s="24" t="e">
        <v>#N/A</v>
      </c>
      <c r="OGM27" s="24" t="e">
        <v>#N/A</v>
      </c>
      <c r="OGN27" s="24" t="e">
        <v>#N/A</v>
      </c>
      <c r="OGO27" s="24" t="e">
        <v>#N/A</v>
      </c>
      <c r="OGP27" s="24" t="e">
        <v>#N/A</v>
      </c>
      <c r="OGQ27" s="24" t="e">
        <v>#N/A</v>
      </c>
      <c r="OGR27" s="24" t="e">
        <v>#N/A</v>
      </c>
      <c r="OGS27" s="24" t="e">
        <v>#N/A</v>
      </c>
      <c r="OGT27" s="24" t="e">
        <v>#N/A</v>
      </c>
      <c r="OGU27" s="24" t="e">
        <v>#N/A</v>
      </c>
      <c r="OGV27" s="24" t="e">
        <v>#N/A</v>
      </c>
      <c r="OGW27" s="24" t="e">
        <v>#N/A</v>
      </c>
      <c r="OGX27" s="24" t="e">
        <v>#N/A</v>
      </c>
      <c r="OGY27" s="24" t="e">
        <v>#N/A</v>
      </c>
      <c r="OGZ27" s="24" t="e">
        <v>#N/A</v>
      </c>
      <c r="OHA27" s="24" t="e">
        <v>#N/A</v>
      </c>
      <c r="OHB27" s="24" t="e">
        <v>#N/A</v>
      </c>
      <c r="OHC27" s="24" t="e">
        <v>#N/A</v>
      </c>
      <c r="OHD27" s="24" t="e">
        <v>#N/A</v>
      </c>
      <c r="OHE27" s="24" t="e">
        <v>#N/A</v>
      </c>
      <c r="OHF27" s="24" t="e">
        <v>#N/A</v>
      </c>
      <c r="OHG27" s="24" t="e">
        <v>#N/A</v>
      </c>
      <c r="OHH27" s="24" t="e">
        <v>#N/A</v>
      </c>
      <c r="OHI27" s="24" t="e">
        <v>#N/A</v>
      </c>
      <c r="OHJ27" s="24" t="e">
        <v>#N/A</v>
      </c>
      <c r="OHK27" s="24" t="e">
        <v>#N/A</v>
      </c>
      <c r="OHL27" s="24" t="e">
        <v>#N/A</v>
      </c>
      <c r="OHM27" s="24" t="e">
        <v>#N/A</v>
      </c>
      <c r="OHN27" s="24" t="e">
        <v>#N/A</v>
      </c>
      <c r="OHO27" s="24" t="e">
        <v>#N/A</v>
      </c>
      <c r="OHP27" s="24" t="e">
        <v>#N/A</v>
      </c>
      <c r="OHQ27" s="24" t="e">
        <v>#N/A</v>
      </c>
      <c r="OHR27" s="24" t="e">
        <v>#N/A</v>
      </c>
      <c r="OHS27" s="24" t="e">
        <v>#N/A</v>
      </c>
      <c r="OHT27" s="24" t="e">
        <v>#N/A</v>
      </c>
      <c r="OHU27" s="24" t="e">
        <v>#N/A</v>
      </c>
      <c r="OHV27" s="24" t="e">
        <v>#N/A</v>
      </c>
      <c r="OHW27" s="24" t="e">
        <v>#N/A</v>
      </c>
      <c r="OHX27" s="24" t="e">
        <v>#N/A</v>
      </c>
      <c r="OHY27" s="24" t="e">
        <v>#N/A</v>
      </c>
      <c r="OHZ27" s="24" t="e">
        <v>#N/A</v>
      </c>
      <c r="OIA27" s="24" t="e">
        <v>#N/A</v>
      </c>
      <c r="OIB27" s="24" t="e">
        <v>#N/A</v>
      </c>
      <c r="OIC27" s="24" t="e">
        <v>#N/A</v>
      </c>
      <c r="OID27" s="24" t="e">
        <v>#N/A</v>
      </c>
      <c r="OIE27" s="24" t="e">
        <v>#N/A</v>
      </c>
      <c r="OIF27" s="24" t="e">
        <v>#N/A</v>
      </c>
      <c r="OIG27" s="24" t="e">
        <v>#N/A</v>
      </c>
      <c r="OIH27" s="24" t="e">
        <v>#N/A</v>
      </c>
      <c r="OII27" s="24" t="e">
        <v>#N/A</v>
      </c>
      <c r="OIJ27" s="24" t="e">
        <v>#N/A</v>
      </c>
      <c r="OIK27" s="24" t="e">
        <v>#N/A</v>
      </c>
      <c r="OIL27" s="24" t="e">
        <v>#N/A</v>
      </c>
      <c r="OIM27" s="24" t="e">
        <v>#N/A</v>
      </c>
      <c r="OIN27" s="24" t="e">
        <v>#N/A</v>
      </c>
      <c r="OIO27" s="24" t="e">
        <v>#N/A</v>
      </c>
      <c r="OIP27" s="24" t="e">
        <v>#N/A</v>
      </c>
      <c r="OIQ27" s="24" t="e">
        <v>#N/A</v>
      </c>
      <c r="OIR27" s="24" t="e">
        <v>#N/A</v>
      </c>
      <c r="OIS27" s="24" t="e">
        <v>#N/A</v>
      </c>
      <c r="OIT27" s="24" t="e">
        <v>#N/A</v>
      </c>
      <c r="OIU27" s="24" t="e">
        <v>#N/A</v>
      </c>
      <c r="OIV27" s="24" t="e">
        <v>#N/A</v>
      </c>
      <c r="OIW27" s="24" t="e">
        <v>#N/A</v>
      </c>
      <c r="OIX27" s="24" t="e">
        <v>#N/A</v>
      </c>
      <c r="OIY27" s="24" t="e">
        <v>#N/A</v>
      </c>
      <c r="OIZ27" s="24" t="e">
        <v>#N/A</v>
      </c>
      <c r="OJA27" s="24" t="e">
        <v>#N/A</v>
      </c>
      <c r="OJB27" s="24" t="e">
        <v>#N/A</v>
      </c>
      <c r="OJC27" s="24" t="e">
        <v>#N/A</v>
      </c>
      <c r="OJD27" s="24" t="e">
        <v>#N/A</v>
      </c>
      <c r="OJE27" s="24" t="e">
        <v>#N/A</v>
      </c>
      <c r="OJF27" s="24" t="e">
        <v>#N/A</v>
      </c>
      <c r="OJG27" s="24" t="e">
        <v>#N/A</v>
      </c>
      <c r="OJH27" s="24" t="e">
        <v>#N/A</v>
      </c>
      <c r="OJI27" s="24" t="e">
        <v>#N/A</v>
      </c>
      <c r="OJJ27" s="24" t="e">
        <v>#N/A</v>
      </c>
      <c r="OJK27" s="24" t="e">
        <v>#N/A</v>
      </c>
      <c r="OJL27" s="24" t="e">
        <v>#N/A</v>
      </c>
      <c r="OJM27" s="24" t="e">
        <v>#N/A</v>
      </c>
      <c r="OJN27" s="24" t="e">
        <v>#N/A</v>
      </c>
      <c r="OJO27" s="24" t="e">
        <v>#N/A</v>
      </c>
      <c r="OJP27" s="24" t="e">
        <v>#N/A</v>
      </c>
      <c r="OJQ27" s="24" t="e">
        <v>#N/A</v>
      </c>
      <c r="OJR27" s="24" t="e">
        <v>#N/A</v>
      </c>
      <c r="OJS27" s="24" t="e">
        <v>#N/A</v>
      </c>
      <c r="OJT27" s="24" t="e">
        <v>#N/A</v>
      </c>
      <c r="OJU27" s="24" t="e">
        <v>#N/A</v>
      </c>
      <c r="OJV27" s="24" t="e">
        <v>#N/A</v>
      </c>
      <c r="OJW27" s="24" t="e">
        <v>#N/A</v>
      </c>
      <c r="OJX27" s="24" t="e">
        <v>#N/A</v>
      </c>
      <c r="OJY27" s="24" t="e">
        <v>#N/A</v>
      </c>
      <c r="OJZ27" s="24" t="e">
        <v>#N/A</v>
      </c>
      <c r="OKA27" s="24" t="e">
        <v>#N/A</v>
      </c>
      <c r="OKB27" s="24" t="e">
        <v>#N/A</v>
      </c>
      <c r="OKC27" s="24" t="e">
        <v>#N/A</v>
      </c>
      <c r="OKD27" s="24" t="e">
        <v>#N/A</v>
      </c>
      <c r="OKE27" s="24" t="e">
        <v>#N/A</v>
      </c>
      <c r="OKF27" s="24" t="e">
        <v>#N/A</v>
      </c>
      <c r="OKG27" s="24" t="e">
        <v>#N/A</v>
      </c>
      <c r="OKH27" s="24" t="e">
        <v>#N/A</v>
      </c>
      <c r="OKI27" s="24" t="e">
        <v>#N/A</v>
      </c>
      <c r="OKJ27" s="24" t="e">
        <v>#N/A</v>
      </c>
      <c r="OKK27" s="24" t="e">
        <v>#N/A</v>
      </c>
      <c r="OKL27" s="24" t="e">
        <v>#N/A</v>
      </c>
      <c r="OKM27" s="24" t="e">
        <v>#N/A</v>
      </c>
      <c r="OKN27" s="24" t="e">
        <v>#N/A</v>
      </c>
      <c r="OKO27" s="24" t="e">
        <v>#N/A</v>
      </c>
      <c r="OKP27" s="24" t="e">
        <v>#N/A</v>
      </c>
      <c r="OKQ27" s="24" t="e">
        <v>#N/A</v>
      </c>
      <c r="OKR27" s="24" t="e">
        <v>#N/A</v>
      </c>
      <c r="OKS27" s="24" t="e">
        <v>#N/A</v>
      </c>
      <c r="OKT27" s="24" t="e">
        <v>#N/A</v>
      </c>
      <c r="OKU27" s="24" t="e">
        <v>#N/A</v>
      </c>
      <c r="OKV27" s="24" t="e">
        <v>#N/A</v>
      </c>
      <c r="OKW27" s="24" t="e">
        <v>#N/A</v>
      </c>
      <c r="OKX27" s="24" t="e">
        <v>#N/A</v>
      </c>
      <c r="OKY27" s="24" t="e">
        <v>#N/A</v>
      </c>
      <c r="OKZ27" s="24" t="e">
        <v>#N/A</v>
      </c>
      <c r="OLA27" s="24" t="e">
        <v>#N/A</v>
      </c>
      <c r="OLB27" s="24" t="e">
        <v>#N/A</v>
      </c>
      <c r="OLC27" s="24" t="e">
        <v>#N/A</v>
      </c>
      <c r="OLD27" s="24" t="e">
        <v>#N/A</v>
      </c>
      <c r="OLE27" s="24" t="e">
        <v>#N/A</v>
      </c>
      <c r="OLF27" s="24" t="e">
        <v>#N/A</v>
      </c>
      <c r="OLG27" s="24" t="e">
        <v>#N/A</v>
      </c>
      <c r="OLH27" s="24" t="e">
        <v>#N/A</v>
      </c>
      <c r="OLI27" s="24" t="e">
        <v>#N/A</v>
      </c>
      <c r="OLJ27" s="24" t="e">
        <v>#N/A</v>
      </c>
      <c r="OLK27" s="24" t="e">
        <v>#N/A</v>
      </c>
      <c r="OLL27" s="24" t="e">
        <v>#N/A</v>
      </c>
      <c r="OLM27" s="24" t="e">
        <v>#N/A</v>
      </c>
      <c r="OLN27" s="24" t="e">
        <v>#N/A</v>
      </c>
      <c r="OLO27" s="24" t="e">
        <v>#N/A</v>
      </c>
      <c r="OLP27" s="24" t="e">
        <v>#N/A</v>
      </c>
      <c r="OLQ27" s="24" t="e">
        <v>#N/A</v>
      </c>
      <c r="OLR27" s="24" t="e">
        <v>#N/A</v>
      </c>
      <c r="OLS27" s="24" t="e">
        <v>#N/A</v>
      </c>
      <c r="OLT27" s="24" t="e">
        <v>#N/A</v>
      </c>
      <c r="OLU27" s="24" t="e">
        <v>#N/A</v>
      </c>
      <c r="OLV27" s="24" t="e">
        <v>#N/A</v>
      </c>
      <c r="OLW27" s="24" t="e">
        <v>#N/A</v>
      </c>
      <c r="OLX27" s="24" t="e">
        <v>#N/A</v>
      </c>
      <c r="OLY27" s="24" t="e">
        <v>#N/A</v>
      </c>
      <c r="OLZ27" s="24" t="e">
        <v>#N/A</v>
      </c>
      <c r="OMA27" s="24" t="e">
        <v>#N/A</v>
      </c>
      <c r="OMB27" s="24" t="e">
        <v>#N/A</v>
      </c>
      <c r="OMC27" s="24" t="e">
        <v>#N/A</v>
      </c>
      <c r="OMD27" s="24" t="e">
        <v>#N/A</v>
      </c>
      <c r="OME27" s="24" t="e">
        <v>#N/A</v>
      </c>
      <c r="OMF27" s="24" t="e">
        <v>#N/A</v>
      </c>
      <c r="OMG27" s="24" t="e">
        <v>#N/A</v>
      </c>
      <c r="OMH27" s="24" t="e">
        <v>#N/A</v>
      </c>
      <c r="OMI27" s="24" t="e">
        <v>#N/A</v>
      </c>
      <c r="OMJ27" s="24" t="e">
        <v>#N/A</v>
      </c>
      <c r="OMK27" s="24" t="e">
        <v>#N/A</v>
      </c>
      <c r="OML27" s="24" t="e">
        <v>#N/A</v>
      </c>
      <c r="OMM27" s="24" t="e">
        <v>#N/A</v>
      </c>
      <c r="OMN27" s="24" t="e">
        <v>#N/A</v>
      </c>
      <c r="OMO27" s="24" t="e">
        <v>#N/A</v>
      </c>
      <c r="OMP27" s="24" t="e">
        <v>#N/A</v>
      </c>
      <c r="OMQ27" s="24" t="e">
        <v>#N/A</v>
      </c>
      <c r="OMR27" s="24" t="e">
        <v>#N/A</v>
      </c>
      <c r="OMS27" s="24" t="e">
        <v>#N/A</v>
      </c>
      <c r="OMT27" s="24" t="e">
        <v>#N/A</v>
      </c>
      <c r="OMU27" s="24" t="e">
        <v>#N/A</v>
      </c>
      <c r="OMV27" s="24" t="e">
        <v>#N/A</v>
      </c>
      <c r="OMW27" s="24" t="e">
        <v>#N/A</v>
      </c>
      <c r="OMX27" s="24" t="e">
        <v>#N/A</v>
      </c>
      <c r="OMY27" s="24" t="e">
        <v>#N/A</v>
      </c>
      <c r="OMZ27" s="24" t="e">
        <v>#N/A</v>
      </c>
      <c r="ONA27" s="24" t="e">
        <v>#N/A</v>
      </c>
      <c r="ONB27" s="24" t="e">
        <v>#N/A</v>
      </c>
      <c r="ONC27" s="24" t="e">
        <v>#N/A</v>
      </c>
      <c r="OND27" s="24" t="e">
        <v>#N/A</v>
      </c>
      <c r="ONE27" s="24" t="e">
        <v>#N/A</v>
      </c>
      <c r="ONF27" s="24" t="e">
        <v>#N/A</v>
      </c>
      <c r="ONG27" s="24" t="e">
        <v>#N/A</v>
      </c>
      <c r="ONH27" s="24" t="e">
        <v>#N/A</v>
      </c>
      <c r="ONI27" s="24" t="e">
        <v>#N/A</v>
      </c>
      <c r="ONJ27" s="24" t="e">
        <v>#N/A</v>
      </c>
      <c r="ONK27" s="24" t="e">
        <v>#N/A</v>
      </c>
      <c r="ONL27" s="24" t="e">
        <v>#N/A</v>
      </c>
      <c r="ONM27" s="24" t="e">
        <v>#N/A</v>
      </c>
      <c r="ONN27" s="24" t="e">
        <v>#N/A</v>
      </c>
      <c r="ONO27" s="24" t="e">
        <v>#N/A</v>
      </c>
      <c r="ONP27" s="24" t="e">
        <v>#N/A</v>
      </c>
      <c r="ONQ27" s="24" t="e">
        <v>#N/A</v>
      </c>
      <c r="ONR27" s="24" t="e">
        <v>#N/A</v>
      </c>
      <c r="ONS27" s="24" t="e">
        <v>#N/A</v>
      </c>
      <c r="ONT27" s="24" t="e">
        <v>#N/A</v>
      </c>
      <c r="ONU27" s="24" t="e">
        <v>#N/A</v>
      </c>
      <c r="ONV27" s="24" t="e">
        <v>#N/A</v>
      </c>
      <c r="ONW27" s="24" t="e">
        <v>#N/A</v>
      </c>
      <c r="ONX27" s="24" t="e">
        <v>#N/A</v>
      </c>
      <c r="ONY27" s="24" t="e">
        <v>#N/A</v>
      </c>
      <c r="ONZ27" s="24" t="e">
        <v>#N/A</v>
      </c>
      <c r="OOA27" s="24" t="e">
        <v>#N/A</v>
      </c>
      <c r="OOB27" s="24" t="e">
        <v>#N/A</v>
      </c>
      <c r="OOC27" s="24" t="e">
        <v>#N/A</v>
      </c>
      <c r="OOD27" s="24" t="e">
        <v>#N/A</v>
      </c>
      <c r="OOE27" s="24" t="e">
        <v>#N/A</v>
      </c>
      <c r="OOF27" s="24" t="e">
        <v>#N/A</v>
      </c>
      <c r="OOG27" s="24" t="e">
        <v>#N/A</v>
      </c>
      <c r="OOH27" s="24" t="e">
        <v>#N/A</v>
      </c>
      <c r="OOI27" s="24" t="e">
        <v>#N/A</v>
      </c>
      <c r="OOJ27" s="24" t="e">
        <v>#N/A</v>
      </c>
      <c r="OOK27" s="24" t="e">
        <v>#N/A</v>
      </c>
      <c r="OOL27" s="24" t="e">
        <v>#N/A</v>
      </c>
      <c r="OOM27" s="24" t="e">
        <v>#N/A</v>
      </c>
      <c r="OON27" s="24" t="e">
        <v>#N/A</v>
      </c>
      <c r="OOO27" s="24" t="e">
        <v>#N/A</v>
      </c>
      <c r="OOP27" s="24" t="e">
        <v>#N/A</v>
      </c>
      <c r="OOQ27" s="24" t="e">
        <v>#N/A</v>
      </c>
      <c r="OOR27" s="24" t="e">
        <v>#N/A</v>
      </c>
      <c r="OOS27" s="24" t="e">
        <v>#N/A</v>
      </c>
      <c r="OOT27" s="24" t="e">
        <v>#N/A</v>
      </c>
      <c r="OOU27" s="24" t="e">
        <v>#N/A</v>
      </c>
      <c r="OOV27" s="24" t="e">
        <v>#N/A</v>
      </c>
      <c r="OOW27" s="24" t="e">
        <v>#N/A</v>
      </c>
      <c r="OOX27" s="24" t="e">
        <v>#N/A</v>
      </c>
      <c r="OOY27" s="24" t="e">
        <v>#N/A</v>
      </c>
      <c r="OOZ27" s="24" t="e">
        <v>#N/A</v>
      </c>
      <c r="OPA27" s="24" t="e">
        <v>#N/A</v>
      </c>
      <c r="OPB27" s="24" t="e">
        <v>#N/A</v>
      </c>
      <c r="OPC27" s="24" t="e">
        <v>#N/A</v>
      </c>
      <c r="OPD27" s="24" t="e">
        <v>#N/A</v>
      </c>
      <c r="OPE27" s="24" t="e">
        <v>#N/A</v>
      </c>
      <c r="OPF27" s="24" t="e">
        <v>#N/A</v>
      </c>
      <c r="OPG27" s="24" t="e">
        <v>#N/A</v>
      </c>
      <c r="OPH27" s="24" t="e">
        <v>#N/A</v>
      </c>
      <c r="OPI27" s="24" t="e">
        <v>#N/A</v>
      </c>
      <c r="OPJ27" s="24" t="e">
        <v>#N/A</v>
      </c>
      <c r="OPK27" s="24" t="e">
        <v>#N/A</v>
      </c>
      <c r="OPL27" s="24" t="e">
        <v>#N/A</v>
      </c>
      <c r="OPM27" s="24" t="e">
        <v>#N/A</v>
      </c>
      <c r="OPN27" s="24" t="e">
        <v>#N/A</v>
      </c>
      <c r="OPO27" s="24" t="e">
        <v>#N/A</v>
      </c>
      <c r="OPP27" s="24" t="e">
        <v>#N/A</v>
      </c>
      <c r="OPQ27" s="24" t="e">
        <v>#N/A</v>
      </c>
      <c r="OPR27" s="24" t="e">
        <v>#N/A</v>
      </c>
      <c r="OPS27" s="24" t="e">
        <v>#N/A</v>
      </c>
      <c r="OPT27" s="24" t="e">
        <v>#N/A</v>
      </c>
      <c r="OPU27" s="24" t="e">
        <v>#N/A</v>
      </c>
      <c r="OPV27" s="24" t="e">
        <v>#N/A</v>
      </c>
      <c r="OPW27" s="24" t="e">
        <v>#N/A</v>
      </c>
      <c r="OPX27" s="24" t="e">
        <v>#N/A</v>
      </c>
      <c r="OPY27" s="24" t="e">
        <v>#N/A</v>
      </c>
      <c r="OPZ27" s="24" t="e">
        <v>#N/A</v>
      </c>
      <c r="OQA27" s="24" t="e">
        <v>#N/A</v>
      </c>
      <c r="OQB27" s="24" t="e">
        <v>#N/A</v>
      </c>
      <c r="OQC27" s="24" t="e">
        <v>#N/A</v>
      </c>
      <c r="OQD27" s="24" t="e">
        <v>#N/A</v>
      </c>
      <c r="OQE27" s="24" t="e">
        <v>#N/A</v>
      </c>
      <c r="OQF27" s="24" t="e">
        <v>#N/A</v>
      </c>
      <c r="OQG27" s="24" t="e">
        <v>#N/A</v>
      </c>
      <c r="OQH27" s="24" t="e">
        <v>#N/A</v>
      </c>
      <c r="OQI27" s="24" t="e">
        <v>#N/A</v>
      </c>
      <c r="OQJ27" s="24" t="e">
        <v>#N/A</v>
      </c>
      <c r="OQK27" s="24" t="e">
        <v>#N/A</v>
      </c>
      <c r="OQL27" s="24" t="e">
        <v>#N/A</v>
      </c>
      <c r="OQM27" s="24" t="e">
        <v>#N/A</v>
      </c>
      <c r="OQN27" s="24" t="e">
        <v>#N/A</v>
      </c>
      <c r="OQO27" s="24" t="e">
        <v>#N/A</v>
      </c>
      <c r="OQP27" s="24" t="e">
        <v>#N/A</v>
      </c>
      <c r="OQQ27" s="24" t="e">
        <v>#N/A</v>
      </c>
      <c r="OQR27" s="24" t="e">
        <v>#N/A</v>
      </c>
      <c r="OQS27" s="24" t="e">
        <v>#N/A</v>
      </c>
      <c r="OQT27" s="24" t="e">
        <v>#N/A</v>
      </c>
      <c r="OQU27" s="24" t="e">
        <v>#N/A</v>
      </c>
      <c r="OQV27" s="24" t="e">
        <v>#N/A</v>
      </c>
      <c r="OQW27" s="24" t="e">
        <v>#N/A</v>
      </c>
      <c r="OQX27" s="24" t="e">
        <v>#N/A</v>
      </c>
      <c r="OQY27" s="24" t="e">
        <v>#N/A</v>
      </c>
      <c r="OQZ27" s="24" t="e">
        <v>#N/A</v>
      </c>
      <c r="ORA27" s="24" t="e">
        <v>#N/A</v>
      </c>
      <c r="ORB27" s="24" t="e">
        <v>#N/A</v>
      </c>
      <c r="ORC27" s="24" t="e">
        <v>#N/A</v>
      </c>
      <c r="ORD27" s="24" t="e">
        <v>#N/A</v>
      </c>
      <c r="ORE27" s="24" t="e">
        <v>#N/A</v>
      </c>
      <c r="ORF27" s="24" t="e">
        <v>#N/A</v>
      </c>
      <c r="ORG27" s="24" t="e">
        <v>#N/A</v>
      </c>
      <c r="ORH27" s="24" t="e">
        <v>#N/A</v>
      </c>
      <c r="ORI27" s="24" t="e">
        <v>#N/A</v>
      </c>
      <c r="ORJ27" s="24" t="e">
        <v>#N/A</v>
      </c>
      <c r="ORK27" s="24" t="e">
        <v>#N/A</v>
      </c>
      <c r="ORL27" s="24" t="e">
        <v>#N/A</v>
      </c>
      <c r="ORM27" s="24" t="e">
        <v>#N/A</v>
      </c>
      <c r="ORN27" s="24" t="e">
        <v>#N/A</v>
      </c>
      <c r="ORO27" s="24" t="e">
        <v>#N/A</v>
      </c>
      <c r="ORP27" s="24" t="e">
        <v>#N/A</v>
      </c>
      <c r="ORQ27" s="24" t="e">
        <v>#N/A</v>
      </c>
      <c r="ORR27" s="24" t="e">
        <v>#N/A</v>
      </c>
      <c r="ORS27" s="24" t="e">
        <v>#N/A</v>
      </c>
      <c r="ORT27" s="24" t="e">
        <v>#N/A</v>
      </c>
      <c r="ORU27" s="24" t="e">
        <v>#N/A</v>
      </c>
      <c r="ORV27" s="24" t="e">
        <v>#N/A</v>
      </c>
      <c r="ORW27" s="24" t="e">
        <v>#N/A</v>
      </c>
      <c r="ORX27" s="24" t="e">
        <v>#N/A</v>
      </c>
      <c r="ORY27" s="24" t="e">
        <v>#N/A</v>
      </c>
      <c r="ORZ27" s="24" t="e">
        <v>#N/A</v>
      </c>
      <c r="OSA27" s="24" t="e">
        <v>#N/A</v>
      </c>
      <c r="OSB27" s="24" t="e">
        <v>#N/A</v>
      </c>
      <c r="OSC27" s="24" t="e">
        <v>#N/A</v>
      </c>
      <c r="OSD27" s="24" t="e">
        <v>#N/A</v>
      </c>
      <c r="OSE27" s="24" t="e">
        <v>#N/A</v>
      </c>
      <c r="OSF27" s="24" t="e">
        <v>#N/A</v>
      </c>
      <c r="OSG27" s="24" t="e">
        <v>#N/A</v>
      </c>
      <c r="OSH27" s="24" t="e">
        <v>#N/A</v>
      </c>
      <c r="OSI27" s="24" t="e">
        <v>#N/A</v>
      </c>
      <c r="OSJ27" s="24" t="e">
        <v>#N/A</v>
      </c>
      <c r="OSK27" s="24" t="e">
        <v>#N/A</v>
      </c>
      <c r="OSL27" s="24" t="e">
        <v>#N/A</v>
      </c>
      <c r="OSM27" s="24" t="e">
        <v>#N/A</v>
      </c>
      <c r="OSN27" s="24" t="e">
        <v>#N/A</v>
      </c>
      <c r="OSO27" s="24" t="e">
        <v>#N/A</v>
      </c>
      <c r="OSP27" s="24" t="e">
        <v>#N/A</v>
      </c>
      <c r="OSQ27" s="24" t="e">
        <v>#N/A</v>
      </c>
      <c r="OSR27" s="24" t="e">
        <v>#N/A</v>
      </c>
      <c r="OSS27" s="24" t="e">
        <v>#N/A</v>
      </c>
      <c r="OST27" s="24" t="e">
        <v>#N/A</v>
      </c>
      <c r="OSU27" s="24" t="e">
        <v>#N/A</v>
      </c>
      <c r="OSV27" s="24" t="e">
        <v>#N/A</v>
      </c>
      <c r="OSW27" s="24" t="e">
        <v>#N/A</v>
      </c>
      <c r="OSX27" s="24" t="e">
        <v>#N/A</v>
      </c>
      <c r="OSY27" s="24" t="e">
        <v>#N/A</v>
      </c>
      <c r="OSZ27" s="24" t="e">
        <v>#N/A</v>
      </c>
      <c r="OTA27" s="24" t="e">
        <v>#N/A</v>
      </c>
      <c r="OTB27" s="24" t="e">
        <v>#N/A</v>
      </c>
      <c r="OTC27" s="24" t="e">
        <v>#N/A</v>
      </c>
      <c r="OTD27" s="24" t="e">
        <v>#N/A</v>
      </c>
      <c r="OTE27" s="24" t="e">
        <v>#N/A</v>
      </c>
      <c r="OTF27" s="24" t="e">
        <v>#N/A</v>
      </c>
      <c r="OTG27" s="24" t="e">
        <v>#N/A</v>
      </c>
      <c r="OTH27" s="24" t="e">
        <v>#N/A</v>
      </c>
      <c r="OTI27" s="24" t="e">
        <v>#N/A</v>
      </c>
      <c r="OTJ27" s="24" t="e">
        <v>#N/A</v>
      </c>
      <c r="OTK27" s="24" t="e">
        <v>#N/A</v>
      </c>
      <c r="OTL27" s="24" t="e">
        <v>#N/A</v>
      </c>
      <c r="OTM27" s="24" t="e">
        <v>#N/A</v>
      </c>
      <c r="OTN27" s="24" t="e">
        <v>#N/A</v>
      </c>
      <c r="OTO27" s="24" t="e">
        <v>#N/A</v>
      </c>
      <c r="OTP27" s="24" t="e">
        <v>#N/A</v>
      </c>
      <c r="OTQ27" s="24" t="e">
        <v>#N/A</v>
      </c>
      <c r="OTR27" s="24" t="e">
        <v>#N/A</v>
      </c>
      <c r="OTS27" s="24" t="e">
        <v>#N/A</v>
      </c>
      <c r="OTT27" s="24" t="e">
        <v>#N/A</v>
      </c>
      <c r="OTU27" s="24" t="e">
        <v>#N/A</v>
      </c>
      <c r="OTV27" s="24" t="e">
        <v>#N/A</v>
      </c>
      <c r="OTW27" s="24" t="e">
        <v>#N/A</v>
      </c>
      <c r="OTX27" s="24" t="e">
        <v>#N/A</v>
      </c>
      <c r="OTY27" s="24" t="e">
        <v>#N/A</v>
      </c>
      <c r="OTZ27" s="24" t="e">
        <v>#N/A</v>
      </c>
      <c r="OUA27" s="24" t="e">
        <v>#N/A</v>
      </c>
      <c r="OUB27" s="24" t="e">
        <v>#N/A</v>
      </c>
      <c r="OUC27" s="24" t="e">
        <v>#N/A</v>
      </c>
      <c r="OUD27" s="24" t="e">
        <v>#N/A</v>
      </c>
      <c r="OUE27" s="24" t="e">
        <v>#N/A</v>
      </c>
      <c r="OUF27" s="24" t="e">
        <v>#N/A</v>
      </c>
      <c r="OUG27" s="24" t="e">
        <v>#N/A</v>
      </c>
      <c r="OUH27" s="24" t="e">
        <v>#N/A</v>
      </c>
      <c r="OUI27" s="24" t="e">
        <v>#N/A</v>
      </c>
      <c r="OUJ27" s="24" t="e">
        <v>#N/A</v>
      </c>
      <c r="OUK27" s="24" t="e">
        <v>#N/A</v>
      </c>
      <c r="OUL27" s="24" t="e">
        <v>#N/A</v>
      </c>
      <c r="OUM27" s="24" t="e">
        <v>#N/A</v>
      </c>
      <c r="OUN27" s="24" t="e">
        <v>#N/A</v>
      </c>
      <c r="OUO27" s="24" t="e">
        <v>#N/A</v>
      </c>
      <c r="OUP27" s="24" t="e">
        <v>#N/A</v>
      </c>
      <c r="OUQ27" s="24" t="e">
        <v>#N/A</v>
      </c>
      <c r="OUR27" s="24" t="e">
        <v>#N/A</v>
      </c>
      <c r="OUS27" s="24" t="e">
        <v>#N/A</v>
      </c>
      <c r="OUT27" s="24" t="e">
        <v>#N/A</v>
      </c>
      <c r="OUU27" s="24" t="e">
        <v>#N/A</v>
      </c>
      <c r="OUV27" s="24" t="e">
        <v>#N/A</v>
      </c>
      <c r="OUW27" s="24" t="e">
        <v>#N/A</v>
      </c>
      <c r="OUX27" s="24" t="e">
        <v>#N/A</v>
      </c>
      <c r="OUY27" s="24" t="e">
        <v>#N/A</v>
      </c>
      <c r="OUZ27" s="24" t="e">
        <v>#N/A</v>
      </c>
      <c r="OVA27" s="24" t="e">
        <v>#N/A</v>
      </c>
      <c r="OVB27" s="24" t="e">
        <v>#N/A</v>
      </c>
      <c r="OVC27" s="24" t="e">
        <v>#N/A</v>
      </c>
      <c r="OVD27" s="24" t="e">
        <v>#N/A</v>
      </c>
      <c r="OVE27" s="24" t="e">
        <v>#N/A</v>
      </c>
      <c r="OVF27" s="24" t="e">
        <v>#N/A</v>
      </c>
      <c r="OVG27" s="24" t="e">
        <v>#N/A</v>
      </c>
      <c r="OVH27" s="24" t="e">
        <v>#N/A</v>
      </c>
      <c r="OVI27" s="24" t="e">
        <v>#N/A</v>
      </c>
      <c r="OVJ27" s="24" t="e">
        <v>#N/A</v>
      </c>
      <c r="OVK27" s="24" t="e">
        <v>#N/A</v>
      </c>
      <c r="OVL27" s="24" t="e">
        <v>#N/A</v>
      </c>
      <c r="OVM27" s="24" t="e">
        <v>#N/A</v>
      </c>
      <c r="OVN27" s="24" t="e">
        <v>#N/A</v>
      </c>
      <c r="OVO27" s="24" t="e">
        <v>#N/A</v>
      </c>
      <c r="OVP27" s="24" t="e">
        <v>#N/A</v>
      </c>
      <c r="OVQ27" s="24" t="e">
        <v>#N/A</v>
      </c>
      <c r="OVR27" s="24" t="e">
        <v>#N/A</v>
      </c>
      <c r="OVS27" s="24" t="e">
        <v>#N/A</v>
      </c>
      <c r="OVT27" s="24" t="e">
        <v>#N/A</v>
      </c>
      <c r="OVU27" s="24" t="e">
        <v>#N/A</v>
      </c>
      <c r="OVV27" s="24" t="e">
        <v>#N/A</v>
      </c>
      <c r="OVW27" s="24" t="e">
        <v>#N/A</v>
      </c>
      <c r="OVX27" s="24" t="e">
        <v>#N/A</v>
      </c>
      <c r="OVY27" s="24" t="e">
        <v>#N/A</v>
      </c>
      <c r="OVZ27" s="24" t="e">
        <v>#N/A</v>
      </c>
      <c r="OWA27" s="24" t="e">
        <v>#N/A</v>
      </c>
      <c r="OWB27" s="24" t="e">
        <v>#N/A</v>
      </c>
      <c r="OWC27" s="24" t="e">
        <v>#N/A</v>
      </c>
      <c r="OWD27" s="24" t="e">
        <v>#N/A</v>
      </c>
      <c r="OWE27" s="24" t="e">
        <v>#N/A</v>
      </c>
      <c r="OWF27" s="24" t="e">
        <v>#N/A</v>
      </c>
      <c r="OWG27" s="24" t="e">
        <v>#N/A</v>
      </c>
      <c r="OWH27" s="24" t="e">
        <v>#N/A</v>
      </c>
      <c r="OWI27" s="24" t="e">
        <v>#N/A</v>
      </c>
      <c r="OWJ27" s="24" t="e">
        <v>#N/A</v>
      </c>
      <c r="OWK27" s="24" t="e">
        <v>#N/A</v>
      </c>
      <c r="OWL27" s="24" t="e">
        <v>#N/A</v>
      </c>
      <c r="OWM27" s="24" t="e">
        <v>#N/A</v>
      </c>
      <c r="OWN27" s="24" t="e">
        <v>#N/A</v>
      </c>
      <c r="OWO27" s="24" t="e">
        <v>#N/A</v>
      </c>
      <c r="OWP27" s="24" t="e">
        <v>#N/A</v>
      </c>
      <c r="OWQ27" s="24" t="e">
        <v>#N/A</v>
      </c>
      <c r="OWR27" s="24" t="e">
        <v>#N/A</v>
      </c>
      <c r="OWS27" s="24" t="e">
        <v>#N/A</v>
      </c>
      <c r="OWT27" s="24" t="e">
        <v>#N/A</v>
      </c>
      <c r="OWU27" s="24" t="e">
        <v>#N/A</v>
      </c>
      <c r="OWV27" s="24" t="e">
        <v>#N/A</v>
      </c>
      <c r="OWW27" s="24" t="e">
        <v>#N/A</v>
      </c>
      <c r="OWX27" s="24" t="e">
        <v>#N/A</v>
      </c>
      <c r="OWY27" s="24" t="e">
        <v>#N/A</v>
      </c>
      <c r="OWZ27" s="24" t="e">
        <v>#N/A</v>
      </c>
      <c r="OXA27" s="24" t="e">
        <v>#N/A</v>
      </c>
      <c r="OXB27" s="24" t="e">
        <v>#N/A</v>
      </c>
      <c r="OXC27" s="24" t="e">
        <v>#N/A</v>
      </c>
      <c r="OXD27" s="24" t="e">
        <v>#N/A</v>
      </c>
      <c r="OXE27" s="24" t="e">
        <v>#N/A</v>
      </c>
      <c r="OXF27" s="24" t="e">
        <v>#N/A</v>
      </c>
      <c r="OXG27" s="24" t="e">
        <v>#N/A</v>
      </c>
      <c r="OXH27" s="24" t="e">
        <v>#N/A</v>
      </c>
      <c r="OXI27" s="24" t="e">
        <v>#N/A</v>
      </c>
      <c r="OXJ27" s="24" t="e">
        <v>#N/A</v>
      </c>
      <c r="OXK27" s="24" t="e">
        <v>#N/A</v>
      </c>
      <c r="OXL27" s="24" t="e">
        <v>#N/A</v>
      </c>
      <c r="OXM27" s="24" t="e">
        <v>#N/A</v>
      </c>
      <c r="OXN27" s="24" t="e">
        <v>#N/A</v>
      </c>
      <c r="OXO27" s="24" t="e">
        <v>#N/A</v>
      </c>
      <c r="OXP27" s="24" t="e">
        <v>#N/A</v>
      </c>
      <c r="OXQ27" s="24" t="e">
        <v>#N/A</v>
      </c>
      <c r="OXR27" s="24" t="e">
        <v>#N/A</v>
      </c>
      <c r="OXS27" s="24" t="e">
        <v>#N/A</v>
      </c>
      <c r="OXT27" s="24" t="e">
        <v>#N/A</v>
      </c>
      <c r="OXU27" s="24" t="e">
        <v>#N/A</v>
      </c>
      <c r="OXV27" s="24" t="e">
        <v>#N/A</v>
      </c>
      <c r="OXW27" s="24" t="e">
        <v>#N/A</v>
      </c>
      <c r="OXX27" s="24" t="e">
        <v>#N/A</v>
      </c>
      <c r="OXY27" s="24" t="e">
        <v>#N/A</v>
      </c>
      <c r="OXZ27" s="24" t="e">
        <v>#N/A</v>
      </c>
      <c r="OYA27" s="24" t="e">
        <v>#N/A</v>
      </c>
      <c r="OYB27" s="24" t="e">
        <v>#N/A</v>
      </c>
      <c r="OYC27" s="24" t="e">
        <v>#N/A</v>
      </c>
      <c r="OYD27" s="24" t="e">
        <v>#N/A</v>
      </c>
      <c r="OYE27" s="24" t="e">
        <v>#N/A</v>
      </c>
      <c r="OYF27" s="24" t="e">
        <v>#N/A</v>
      </c>
      <c r="OYG27" s="24" t="e">
        <v>#N/A</v>
      </c>
      <c r="OYH27" s="24" t="e">
        <v>#N/A</v>
      </c>
      <c r="OYI27" s="24" t="e">
        <v>#N/A</v>
      </c>
      <c r="OYJ27" s="24" t="e">
        <v>#N/A</v>
      </c>
      <c r="OYK27" s="24" t="e">
        <v>#N/A</v>
      </c>
      <c r="OYL27" s="24" t="e">
        <v>#N/A</v>
      </c>
      <c r="OYM27" s="24" t="e">
        <v>#N/A</v>
      </c>
      <c r="OYN27" s="24" t="e">
        <v>#N/A</v>
      </c>
      <c r="OYO27" s="24" t="e">
        <v>#N/A</v>
      </c>
      <c r="OYP27" s="24" t="e">
        <v>#N/A</v>
      </c>
      <c r="OYQ27" s="24" t="e">
        <v>#N/A</v>
      </c>
      <c r="OYR27" s="24" t="e">
        <v>#N/A</v>
      </c>
      <c r="OYS27" s="24" t="e">
        <v>#N/A</v>
      </c>
      <c r="OYT27" s="24" t="e">
        <v>#N/A</v>
      </c>
      <c r="OYU27" s="24" t="e">
        <v>#N/A</v>
      </c>
      <c r="OYV27" s="24" t="e">
        <v>#N/A</v>
      </c>
      <c r="OYW27" s="24" t="e">
        <v>#N/A</v>
      </c>
      <c r="OYX27" s="24" t="e">
        <v>#N/A</v>
      </c>
      <c r="OYY27" s="24" t="e">
        <v>#N/A</v>
      </c>
      <c r="OYZ27" s="24" t="e">
        <v>#N/A</v>
      </c>
      <c r="OZA27" s="24" t="e">
        <v>#N/A</v>
      </c>
      <c r="OZB27" s="24" t="e">
        <v>#N/A</v>
      </c>
      <c r="OZC27" s="24" t="e">
        <v>#N/A</v>
      </c>
      <c r="OZD27" s="24" t="e">
        <v>#N/A</v>
      </c>
      <c r="OZE27" s="24" t="e">
        <v>#N/A</v>
      </c>
      <c r="OZF27" s="24" t="e">
        <v>#N/A</v>
      </c>
      <c r="OZG27" s="24" t="e">
        <v>#N/A</v>
      </c>
      <c r="OZH27" s="24" t="e">
        <v>#N/A</v>
      </c>
      <c r="OZI27" s="24" t="e">
        <v>#N/A</v>
      </c>
      <c r="OZJ27" s="24" t="e">
        <v>#N/A</v>
      </c>
      <c r="OZK27" s="24" t="e">
        <v>#N/A</v>
      </c>
      <c r="OZL27" s="24" t="e">
        <v>#N/A</v>
      </c>
      <c r="OZM27" s="24" t="e">
        <v>#N/A</v>
      </c>
      <c r="OZN27" s="24" t="e">
        <v>#N/A</v>
      </c>
      <c r="OZO27" s="24" t="e">
        <v>#N/A</v>
      </c>
      <c r="OZP27" s="24" t="e">
        <v>#N/A</v>
      </c>
      <c r="OZQ27" s="24" t="e">
        <v>#N/A</v>
      </c>
      <c r="OZR27" s="24" t="e">
        <v>#N/A</v>
      </c>
      <c r="OZS27" s="24" t="e">
        <v>#N/A</v>
      </c>
      <c r="OZT27" s="24" t="e">
        <v>#N/A</v>
      </c>
      <c r="OZU27" s="24" t="e">
        <v>#N/A</v>
      </c>
      <c r="OZV27" s="24" t="e">
        <v>#N/A</v>
      </c>
      <c r="OZW27" s="24" t="e">
        <v>#N/A</v>
      </c>
      <c r="OZX27" s="24" t="e">
        <v>#N/A</v>
      </c>
      <c r="OZY27" s="24" t="e">
        <v>#N/A</v>
      </c>
      <c r="OZZ27" s="24" t="e">
        <v>#N/A</v>
      </c>
      <c r="PAA27" s="24" t="e">
        <v>#N/A</v>
      </c>
      <c r="PAB27" s="24" t="e">
        <v>#N/A</v>
      </c>
      <c r="PAC27" s="24" t="e">
        <v>#N/A</v>
      </c>
      <c r="PAD27" s="24" t="e">
        <v>#N/A</v>
      </c>
      <c r="PAE27" s="24" t="e">
        <v>#N/A</v>
      </c>
      <c r="PAF27" s="24" t="e">
        <v>#N/A</v>
      </c>
      <c r="PAG27" s="24" t="e">
        <v>#N/A</v>
      </c>
      <c r="PAH27" s="24" t="e">
        <v>#N/A</v>
      </c>
      <c r="PAI27" s="24" t="e">
        <v>#N/A</v>
      </c>
      <c r="PAJ27" s="24" t="e">
        <v>#N/A</v>
      </c>
      <c r="PAK27" s="24" t="e">
        <v>#N/A</v>
      </c>
      <c r="PAL27" s="24" t="e">
        <v>#N/A</v>
      </c>
      <c r="PAM27" s="24" t="e">
        <v>#N/A</v>
      </c>
      <c r="PAN27" s="24" t="e">
        <v>#N/A</v>
      </c>
      <c r="PAO27" s="24" t="e">
        <v>#N/A</v>
      </c>
      <c r="PAP27" s="24" t="e">
        <v>#N/A</v>
      </c>
      <c r="PAQ27" s="24" t="e">
        <v>#N/A</v>
      </c>
      <c r="PAR27" s="24" t="e">
        <v>#N/A</v>
      </c>
      <c r="PAS27" s="24" t="e">
        <v>#N/A</v>
      </c>
      <c r="PAT27" s="24" t="e">
        <v>#N/A</v>
      </c>
      <c r="PAU27" s="24" t="e">
        <v>#N/A</v>
      </c>
      <c r="PAV27" s="24" t="e">
        <v>#N/A</v>
      </c>
      <c r="PAW27" s="24" t="e">
        <v>#N/A</v>
      </c>
      <c r="PAX27" s="24" t="e">
        <v>#N/A</v>
      </c>
      <c r="PAY27" s="24" t="e">
        <v>#N/A</v>
      </c>
      <c r="PAZ27" s="24" t="e">
        <v>#N/A</v>
      </c>
      <c r="PBA27" s="24" t="e">
        <v>#N/A</v>
      </c>
      <c r="PBB27" s="24" t="e">
        <v>#N/A</v>
      </c>
      <c r="PBC27" s="24" t="e">
        <v>#N/A</v>
      </c>
      <c r="PBD27" s="24" t="e">
        <v>#N/A</v>
      </c>
      <c r="PBE27" s="24" t="e">
        <v>#N/A</v>
      </c>
      <c r="PBF27" s="24" t="e">
        <v>#N/A</v>
      </c>
      <c r="PBG27" s="24" t="e">
        <v>#N/A</v>
      </c>
      <c r="PBH27" s="24" t="e">
        <v>#N/A</v>
      </c>
      <c r="PBI27" s="24" t="e">
        <v>#N/A</v>
      </c>
      <c r="PBJ27" s="24" t="e">
        <v>#N/A</v>
      </c>
      <c r="PBK27" s="24" t="e">
        <v>#N/A</v>
      </c>
      <c r="PBL27" s="24" t="e">
        <v>#N/A</v>
      </c>
      <c r="PBM27" s="24" t="e">
        <v>#N/A</v>
      </c>
      <c r="PBN27" s="24" t="e">
        <v>#N/A</v>
      </c>
      <c r="PBO27" s="24" t="e">
        <v>#N/A</v>
      </c>
      <c r="PBP27" s="24" t="e">
        <v>#N/A</v>
      </c>
      <c r="PBQ27" s="24" t="e">
        <v>#N/A</v>
      </c>
      <c r="PBR27" s="24" t="e">
        <v>#N/A</v>
      </c>
      <c r="PBS27" s="24" t="e">
        <v>#N/A</v>
      </c>
      <c r="PBT27" s="24" t="e">
        <v>#N/A</v>
      </c>
      <c r="PBU27" s="24" t="e">
        <v>#N/A</v>
      </c>
      <c r="PBV27" s="24" t="e">
        <v>#N/A</v>
      </c>
      <c r="PBW27" s="24" t="e">
        <v>#N/A</v>
      </c>
      <c r="PBX27" s="24" t="e">
        <v>#N/A</v>
      </c>
      <c r="PBY27" s="24" t="e">
        <v>#N/A</v>
      </c>
      <c r="PBZ27" s="24" t="e">
        <v>#N/A</v>
      </c>
      <c r="PCA27" s="24" t="e">
        <v>#N/A</v>
      </c>
      <c r="PCB27" s="24" t="e">
        <v>#N/A</v>
      </c>
      <c r="PCC27" s="24" t="e">
        <v>#N/A</v>
      </c>
      <c r="PCD27" s="24" t="e">
        <v>#N/A</v>
      </c>
      <c r="PCE27" s="24" t="e">
        <v>#N/A</v>
      </c>
      <c r="PCF27" s="24" t="e">
        <v>#N/A</v>
      </c>
      <c r="PCG27" s="24" t="e">
        <v>#N/A</v>
      </c>
      <c r="PCH27" s="24" t="e">
        <v>#N/A</v>
      </c>
      <c r="PCI27" s="24" t="e">
        <v>#N/A</v>
      </c>
      <c r="PCJ27" s="24" t="e">
        <v>#N/A</v>
      </c>
      <c r="PCK27" s="24" t="e">
        <v>#N/A</v>
      </c>
      <c r="PCL27" s="24" t="e">
        <v>#N/A</v>
      </c>
      <c r="PCM27" s="24" t="e">
        <v>#N/A</v>
      </c>
      <c r="PCN27" s="24" t="e">
        <v>#N/A</v>
      </c>
      <c r="PCO27" s="24" t="e">
        <v>#N/A</v>
      </c>
      <c r="PCP27" s="24" t="e">
        <v>#N/A</v>
      </c>
      <c r="PCQ27" s="24" t="e">
        <v>#N/A</v>
      </c>
      <c r="PCR27" s="24" t="e">
        <v>#N/A</v>
      </c>
      <c r="PCS27" s="24" t="e">
        <v>#N/A</v>
      </c>
      <c r="PCT27" s="24" t="e">
        <v>#N/A</v>
      </c>
      <c r="PCU27" s="24" t="e">
        <v>#N/A</v>
      </c>
      <c r="PCV27" s="24" t="e">
        <v>#N/A</v>
      </c>
      <c r="PCW27" s="24" t="e">
        <v>#N/A</v>
      </c>
      <c r="PCX27" s="24" t="e">
        <v>#N/A</v>
      </c>
      <c r="PCY27" s="24" t="e">
        <v>#N/A</v>
      </c>
      <c r="PCZ27" s="24" t="e">
        <v>#N/A</v>
      </c>
      <c r="PDA27" s="24" t="e">
        <v>#N/A</v>
      </c>
      <c r="PDB27" s="24" t="e">
        <v>#N/A</v>
      </c>
      <c r="PDC27" s="24" t="e">
        <v>#N/A</v>
      </c>
      <c r="PDD27" s="24" t="e">
        <v>#N/A</v>
      </c>
      <c r="PDE27" s="24" t="e">
        <v>#N/A</v>
      </c>
      <c r="PDF27" s="24" t="e">
        <v>#N/A</v>
      </c>
      <c r="PDG27" s="24" t="e">
        <v>#N/A</v>
      </c>
      <c r="PDH27" s="24" t="e">
        <v>#N/A</v>
      </c>
      <c r="PDI27" s="24" t="e">
        <v>#N/A</v>
      </c>
      <c r="PDJ27" s="24" t="e">
        <v>#N/A</v>
      </c>
      <c r="PDK27" s="24" t="e">
        <v>#N/A</v>
      </c>
      <c r="PDL27" s="24" t="e">
        <v>#N/A</v>
      </c>
      <c r="PDM27" s="24" t="e">
        <v>#N/A</v>
      </c>
      <c r="PDN27" s="24" t="e">
        <v>#N/A</v>
      </c>
      <c r="PDO27" s="24" t="e">
        <v>#N/A</v>
      </c>
      <c r="PDP27" s="24" t="e">
        <v>#N/A</v>
      </c>
      <c r="PDQ27" s="24" t="e">
        <v>#N/A</v>
      </c>
      <c r="PDR27" s="24" t="e">
        <v>#N/A</v>
      </c>
      <c r="PDS27" s="24" t="e">
        <v>#N/A</v>
      </c>
      <c r="PDT27" s="24" t="e">
        <v>#N/A</v>
      </c>
      <c r="PDU27" s="24" t="e">
        <v>#N/A</v>
      </c>
      <c r="PDV27" s="24" t="e">
        <v>#N/A</v>
      </c>
      <c r="PDW27" s="24" t="e">
        <v>#N/A</v>
      </c>
      <c r="PDX27" s="24" t="e">
        <v>#N/A</v>
      </c>
      <c r="PDY27" s="24" t="e">
        <v>#N/A</v>
      </c>
      <c r="PDZ27" s="24" t="e">
        <v>#N/A</v>
      </c>
      <c r="PEA27" s="24" t="e">
        <v>#N/A</v>
      </c>
      <c r="PEB27" s="24" t="e">
        <v>#N/A</v>
      </c>
      <c r="PEC27" s="24" t="e">
        <v>#N/A</v>
      </c>
      <c r="PED27" s="24" t="e">
        <v>#N/A</v>
      </c>
      <c r="PEE27" s="24" t="e">
        <v>#N/A</v>
      </c>
      <c r="PEF27" s="24" t="e">
        <v>#N/A</v>
      </c>
      <c r="PEG27" s="24" t="e">
        <v>#N/A</v>
      </c>
      <c r="PEH27" s="24" t="e">
        <v>#N/A</v>
      </c>
      <c r="PEI27" s="24" t="e">
        <v>#N/A</v>
      </c>
      <c r="PEJ27" s="24" t="e">
        <v>#N/A</v>
      </c>
      <c r="PEK27" s="24" t="e">
        <v>#N/A</v>
      </c>
      <c r="PEL27" s="24" t="e">
        <v>#N/A</v>
      </c>
      <c r="PEM27" s="24" t="e">
        <v>#N/A</v>
      </c>
      <c r="PEN27" s="24" t="e">
        <v>#N/A</v>
      </c>
      <c r="PEO27" s="24" t="e">
        <v>#N/A</v>
      </c>
      <c r="PEP27" s="24" t="e">
        <v>#N/A</v>
      </c>
      <c r="PEQ27" s="24" t="e">
        <v>#N/A</v>
      </c>
      <c r="PER27" s="24" t="e">
        <v>#N/A</v>
      </c>
      <c r="PES27" s="24" t="e">
        <v>#N/A</v>
      </c>
      <c r="PET27" s="24" t="e">
        <v>#N/A</v>
      </c>
      <c r="PEU27" s="24" t="e">
        <v>#N/A</v>
      </c>
      <c r="PEV27" s="24" t="e">
        <v>#N/A</v>
      </c>
      <c r="PEW27" s="24" t="e">
        <v>#N/A</v>
      </c>
      <c r="PEX27" s="24" t="e">
        <v>#N/A</v>
      </c>
      <c r="PEY27" s="24" t="e">
        <v>#N/A</v>
      </c>
      <c r="PEZ27" s="24" t="e">
        <v>#N/A</v>
      </c>
      <c r="PFA27" s="24" t="e">
        <v>#N/A</v>
      </c>
      <c r="PFB27" s="24" t="e">
        <v>#N/A</v>
      </c>
      <c r="PFC27" s="24" t="e">
        <v>#N/A</v>
      </c>
      <c r="PFD27" s="24" t="e">
        <v>#N/A</v>
      </c>
      <c r="PFE27" s="24" t="e">
        <v>#N/A</v>
      </c>
      <c r="PFF27" s="24" t="e">
        <v>#N/A</v>
      </c>
      <c r="PFG27" s="24" t="e">
        <v>#N/A</v>
      </c>
      <c r="PFH27" s="24" t="e">
        <v>#N/A</v>
      </c>
      <c r="PFI27" s="24" t="e">
        <v>#N/A</v>
      </c>
      <c r="PFJ27" s="24" t="e">
        <v>#N/A</v>
      </c>
      <c r="PFK27" s="24" t="e">
        <v>#N/A</v>
      </c>
      <c r="PFL27" s="24" t="e">
        <v>#N/A</v>
      </c>
      <c r="PFM27" s="24" t="e">
        <v>#N/A</v>
      </c>
      <c r="PFN27" s="24" t="e">
        <v>#N/A</v>
      </c>
      <c r="PFO27" s="24" t="e">
        <v>#N/A</v>
      </c>
      <c r="PFP27" s="24" t="e">
        <v>#N/A</v>
      </c>
      <c r="PFQ27" s="24" t="e">
        <v>#N/A</v>
      </c>
      <c r="PFR27" s="24" t="e">
        <v>#N/A</v>
      </c>
      <c r="PFS27" s="24" t="e">
        <v>#N/A</v>
      </c>
      <c r="PFT27" s="24" t="e">
        <v>#N/A</v>
      </c>
      <c r="PFU27" s="24" t="e">
        <v>#N/A</v>
      </c>
      <c r="PFV27" s="24" t="e">
        <v>#N/A</v>
      </c>
      <c r="PFW27" s="24" t="e">
        <v>#N/A</v>
      </c>
      <c r="PFX27" s="24" t="e">
        <v>#N/A</v>
      </c>
      <c r="PFY27" s="24" t="e">
        <v>#N/A</v>
      </c>
      <c r="PFZ27" s="24" t="e">
        <v>#N/A</v>
      </c>
      <c r="PGA27" s="24" t="e">
        <v>#N/A</v>
      </c>
      <c r="PGB27" s="24" t="e">
        <v>#N/A</v>
      </c>
      <c r="PGC27" s="24" t="e">
        <v>#N/A</v>
      </c>
      <c r="PGD27" s="24" t="e">
        <v>#N/A</v>
      </c>
      <c r="PGE27" s="24" t="e">
        <v>#N/A</v>
      </c>
      <c r="PGF27" s="24" t="e">
        <v>#N/A</v>
      </c>
      <c r="PGG27" s="24" t="e">
        <v>#N/A</v>
      </c>
      <c r="PGH27" s="24" t="e">
        <v>#N/A</v>
      </c>
      <c r="PGI27" s="24" t="e">
        <v>#N/A</v>
      </c>
      <c r="PGJ27" s="24" t="e">
        <v>#N/A</v>
      </c>
      <c r="PGK27" s="24" t="e">
        <v>#N/A</v>
      </c>
      <c r="PGL27" s="24" t="e">
        <v>#N/A</v>
      </c>
      <c r="PGM27" s="24" t="e">
        <v>#N/A</v>
      </c>
      <c r="PGN27" s="24" t="e">
        <v>#N/A</v>
      </c>
      <c r="PGO27" s="24" t="e">
        <v>#N/A</v>
      </c>
      <c r="PGP27" s="24" t="e">
        <v>#N/A</v>
      </c>
      <c r="PGQ27" s="24" t="e">
        <v>#N/A</v>
      </c>
      <c r="PGR27" s="24" t="e">
        <v>#N/A</v>
      </c>
      <c r="PGS27" s="24" t="e">
        <v>#N/A</v>
      </c>
      <c r="PGT27" s="24" t="e">
        <v>#N/A</v>
      </c>
      <c r="PGU27" s="24" t="e">
        <v>#N/A</v>
      </c>
      <c r="PGV27" s="24" t="e">
        <v>#N/A</v>
      </c>
      <c r="PGW27" s="24" t="e">
        <v>#N/A</v>
      </c>
      <c r="PGX27" s="24" t="e">
        <v>#N/A</v>
      </c>
      <c r="PGY27" s="24" t="e">
        <v>#N/A</v>
      </c>
      <c r="PGZ27" s="24" t="e">
        <v>#N/A</v>
      </c>
      <c r="PHA27" s="24" t="e">
        <v>#N/A</v>
      </c>
      <c r="PHB27" s="24" t="e">
        <v>#N/A</v>
      </c>
      <c r="PHC27" s="24" t="e">
        <v>#N/A</v>
      </c>
      <c r="PHD27" s="24" t="e">
        <v>#N/A</v>
      </c>
      <c r="PHE27" s="24" t="e">
        <v>#N/A</v>
      </c>
      <c r="PHF27" s="24" t="e">
        <v>#N/A</v>
      </c>
      <c r="PHG27" s="24" t="e">
        <v>#N/A</v>
      </c>
      <c r="PHH27" s="24" t="e">
        <v>#N/A</v>
      </c>
      <c r="PHI27" s="24" t="e">
        <v>#N/A</v>
      </c>
      <c r="PHJ27" s="24" t="e">
        <v>#N/A</v>
      </c>
      <c r="PHK27" s="24" t="e">
        <v>#N/A</v>
      </c>
      <c r="PHL27" s="24" t="e">
        <v>#N/A</v>
      </c>
      <c r="PHM27" s="24" t="e">
        <v>#N/A</v>
      </c>
      <c r="PHN27" s="24" t="e">
        <v>#N/A</v>
      </c>
      <c r="PHO27" s="24" t="e">
        <v>#N/A</v>
      </c>
      <c r="PHP27" s="24" t="e">
        <v>#N/A</v>
      </c>
      <c r="PHQ27" s="24" t="e">
        <v>#N/A</v>
      </c>
      <c r="PHR27" s="24" t="e">
        <v>#N/A</v>
      </c>
      <c r="PHS27" s="24" t="e">
        <v>#N/A</v>
      </c>
      <c r="PHT27" s="24" t="e">
        <v>#N/A</v>
      </c>
      <c r="PHU27" s="24" t="e">
        <v>#N/A</v>
      </c>
      <c r="PHV27" s="24" t="e">
        <v>#N/A</v>
      </c>
      <c r="PHW27" s="24" t="e">
        <v>#N/A</v>
      </c>
      <c r="PHX27" s="24" t="e">
        <v>#N/A</v>
      </c>
      <c r="PHY27" s="24" t="e">
        <v>#N/A</v>
      </c>
      <c r="PHZ27" s="24" t="e">
        <v>#N/A</v>
      </c>
      <c r="PIA27" s="24" t="e">
        <v>#N/A</v>
      </c>
      <c r="PIB27" s="24" t="e">
        <v>#N/A</v>
      </c>
      <c r="PIC27" s="24" t="e">
        <v>#N/A</v>
      </c>
      <c r="PID27" s="24" t="e">
        <v>#N/A</v>
      </c>
      <c r="PIE27" s="24" t="e">
        <v>#N/A</v>
      </c>
      <c r="PIF27" s="24" t="e">
        <v>#N/A</v>
      </c>
      <c r="PIG27" s="24" t="e">
        <v>#N/A</v>
      </c>
      <c r="PIH27" s="24" t="e">
        <v>#N/A</v>
      </c>
      <c r="PII27" s="24" t="e">
        <v>#N/A</v>
      </c>
      <c r="PIJ27" s="24" t="e">
        <v>#N/A</v>
      </c>
      <c r="PIK27" s="24" t="e">
        <v>#N/A</v>
      </c>
      <c r="PIL27" s="24" t="e">
        <v>#N/A</v>
      </c>
      <c r="PIM27" s="24" t="e">
        <v>#N/A</v>
      </c>
      <c r="PIN27" s="24" t="e">
        <v>#N/A</v>
      </c>
      <c r="PIO27" s="24" t="e">
        <v>#N/A</v>
      </c>
      <c r="PIP27" s="24" t="e">
        <v>#N/A</v>
      </c>
      <c r="PIQ27" s="24" t="e">
        <v>#N/A</v>
      </c>
      <c r="PIR27" s="24" t="e">
        <v>#N/A</v>
      </c>
      <c r="PIS27" s="24" t="e">
        <v>#N/A</v>
      </c>
      <c r="PIT27" s="24" t="e">
        <v>#N/A</v>
      </c>
      <c r="PIU27" s="24" t="e">
        <v>#N/A</v>
      </c>
      <c r="PIV27" s="24" t="e">
        <v>#N/A</v>
      </c>
      <c r="PIW27" s="24" t="e">
        <v>#N/A</v>
      </c>
      <c r="PIX27" s="24" t="e">
        <v>#N/A</v>
      </c>
      <c r="PIY27" s="24" t="e">
        <v>#N/A</v>
      </c>
      <c r="PIZ27" s="24" t="e">
        <v>#N/A</v>
      </c>
      <c r="PJA27" s="24" t="e">
        <v>#N/A</v>
      </c>
      <c r="PJB27" s="24" t="e">
        <v>#N/A</v>
      </c>
      <c r="PJC27" s="24" t="e">
        <v>#N/A</v>
      </c>
      <c r="PJD27" s="24" t="e">
        <v>#N/A</v>
      </c>
      <c r="PJE27" s="24" t="e">
        <v>#N/A</v>
      </c>
      <c r="PJF27" s="24" t="e">
        <v>#N/A</v>
      </c>
      <c r="PJG27" s="24" t="e">
        <v>#N/A</v>
      </c>
      <c r="PJH27" s="24" t="e">
        <v>#N/A</v>
      </c>
      <c r="PJI27" s="24" t="e">
        <v>#N/A</v>
      </c>
      <c r="PJJ27" s="24" t="e">
        <v>#N/A</v>
      </c>
      <c r="PJK27" s="24" t="e">
        <v>#N/A</v>
      </c>
      <c r="PJL27" s="24" t="e">
        <v>#N/A</v>
      </c>
      <c r="PJM27" s="24" t="e">
        <v>#N/A</v>
      </c>
      <c r="PJN27" s="24" t="e">
        <v>#N/A</v>
      </c>
      <c r="PJO27" s="24" t="e">
        <v>#N/A</v>
      </c>
      <c r="PJP27" s="24" t="e">
        <v>#N/A</v>
      </c>
      <c r="PJQ27" s="24" t="e">
        <v>#N/A</v>
      </c>
      <c r="PJR27" s="24" t="e">
        <v>#N/A</v>
      </c>
      <c r="PJS27" s="24" t="e">
        <v>#N/A</v>
      </c>
      <c r="PJT27" s="24" t="e">
        <v>#N/A</v>
      </c>
      <c r="PJU27" s="24" t="e">
        <v>#N/A</v>
      </c>
      <c r="PJV27" s="24" t="e">
        <v>#N/A</v>
      </c>
      <c r="PJW27" s="24" t="e">
        <v>#N/A</v>
      </c>
      <c r="PJX27" s="24" t="e">
        <v>#N/A</v>
      </c>
      <c r="PJY27" s="24" t="e">
        <v>#N/A</v>
      </c>
      <c r="PJZ27" s="24" t="e">
        <v>#N/A</v>
      </c>
      <c r="PKA27" s="24" t="e">
        <v>#N/A</v>
      </c>
      <c r="PKB27" s="24" t="e">
        <v>#N/A</v>
      </c>
      <c r="PKC27" s="24" t="e">
        <v>#N/A</v>
      </c>
      <c r="PKD27" s="24" t="e">
        <v>#N/A</v>
      </c>
      <c r="PKE27" s="24" t="e">
        <v>#N/A</v>
      </c>
      <c r="PKF27" s="24" t="e">
        <v>#N/A</v>
      </c>
      <c r="PKG27" s="24" t="e">
        <v>#N/A</v>
      </c>
      <c r="PKH27" s="24" t="e">
        <v>#N/A</v>
      </c>
      <c r="PKI27" s="24" t="e">
        <v>#N/A</v>
      </c>
      <c r="PKJ27" s="24" t="e">
        <v>#N/A</v>
      </c>
      <c r="PKK27" s="24" t="e">
        <v>#N/A</v>
      </c>
      <c r="PKL27" s="24" t="e">
        <v>#N/A</v>
      </c>
      <c r="PKM27" s="24" t="e">
        <v>#N/A</v>
      </c>
      <c r="PKN27" s="24" t="e">
        <v>#N/A</v>
      </c>
      <c r="PKO27" s="24" t="e">
        <v>#N/A</v>
      </c>
      <c r="PKP27" s="24" t="e">
        <v>#N/A</v>
      </c>
      <c r="PKQ27" s="24" t="e">
        <v>#N/A</v>
      </c>
      <c r="PKR27" s="24" t="e">
        <v>#N/A</v>
      </c>
      <c r="PKS27" s="24" t="e">
        <v>#N/A</v>
      </c>
      <c r="PKT27" s="24" t="e">
        <v>#N/A</v>
      </c>
      <c r="PKU27" s="24" t="e">
        <v>#N/A</v>
      </c>
      <c r="PKV27" s="24" t="e">
        <v>#N/A</v>
      </c>
      <c r="PKW27" s="24" t="e">
        <v>#N/A</v>
      </c>
      <c r="PKX27" s="24" t="e">
        <v>#N/A</v>
      </c>
      <c r="PKY27" s="24" t="e">
        <v>#N/A</v>
      </c>
      <c r="PKZ27" s="24" t="e">
        <v>#N/A</v>
      </c>
      <c r="PLA27" s="24" t="e">
        <v>#N/A</v>
      </c>
      <c r="PLB27" s="24" t="e">
        <v>#N/A</v>
      </c>
      <c r="PLC27" s="24" t="e">
        <v>#N/A</v>
      </c>
      <c r="PLD27" s="24" t="e">
        <v>#N/A</v>
      </c>
      <c r="PLE27" s="24" t="e">
        <v>#N/A</v>
      </c>
      <c r="PLF27" s="24" t="e">
        <v>#N/A</v>
      </c>
      <c r="PLG27" s="24" t="e">
        <v>#N/A</v>
      </c>
      <c r="PLH27" s="24" t="e">
        <v>#N/A</v>
      </c>
      <c r="PLI27" s="24" t="e">
        <v>#N/A</v>
      </c>
      <c r="PLJ27" s="24" t="e">
        <v>#N/A</v>
      </c>
      <c r="PLK27" s="24" t="e">
        <v>#N/A</v>
      </c>
      <c r="PLL27" s="24" t="e">
        <v>#N/A</v>
      </c>
      <c r="PLM27" s="24" t="e">
        <v>#N/A</v>
      </c>
      <c r="PLN27" s="24" t="e">
        <v>#N/A</v>
      </c>
      <c r="PLO27" s="24" t="e">
        <v>#N/A</v>
      </c>
      <c r="PLP27" s="24" t="e">
        <v>#N/A</v>
      </c>
      <c r="PLQ27" s="24" t="e">
        <v>#N/A</v>
      </c>
      <c r="PLR27" s="24" t="e">
        <v>#N/A</v>
      </c>
      <c r="PLS27" s="24" t="e">
        <v>#N/A</v>
      </c>
      <c r="PLT27" s="24" t="e">
        <v>#N/A</v>
      </c>
      <c r="PLU27" s="24" t="e">
        <v>#N/A</v>
      </c>
      <c r="PLV27" s="24" t="e">
        <v>#N/A</v>
      </c>
      <c r="PLW27" s="24" t="e">
        <v>#N/A</v>
      </c>
      <c r="PLX27" s="24" t="e">
        <v>#N/A</v>
      </c>
      <c r="PLY27" s="24" t="e">
        <v>#N/A</v>
      </c>
      <c r="PLZ27" s="24" t="e">
        <v>#N/A</v>
      </c>
      <c r="PMA27" s="24" t="e">
        <v>#N/A</v>
      </c>
      <c r="PMB27" s="24" t="e">
        <v>#N/A</v>
      </c>
      <c r="PMC27" s="24" t="e">
        <v>#N/A</v>
      </c>
      <c r="PMD27" s="24" t="e">
        <v>#N/A</v>
      </c>
      <c r="PME27" s="24" t="e">
        <v>#N/A</v>
      </c>
      <c r="PMF27" s="24" t="e">
        <v>#N/A</v>
      </c>
      <c r="PMG27" s="24" t="e">
        <v>#N/A</v>
      </c>
      <c r="PMH27" s="24" t="e">
        <v>#N/A</v>
      </c>
      <c r="PMI27" s="24" t="e">
        <v>#N/A</v>
      </c>
      <c r="PMJ27" s="24" t="e">
        <v>#N/A</v>
      </c>
      <c r="PMK27" s="24" t="e">
        <v>#N/A</v>
      </c>
      <c r="PML27" s="24" t="e">
        <v>#N/A</v>
      </c>
      <c r="PMM27" s="24" t="e">
        <v>#N/A</v>
      </c>
      <c r="PMN27" s="24" t="e">
        <v>#N/A</v>
      </c>
      <c r="PMO27" s="24" t="e">
        <v>#N/A</v>
      </c>
      <c r="PMP27" s="24" t="e">
        <v>#N/A</v>
      </c>
      <c r="PMQ27" s="24" t="e">
        <v>#N/A</v>
      </c>
      <c r="PMR27" s="24" t="e">
        <v>#N/A</v>
      </c>
      <c r="PMS27" s="24" t="e">
        <v>#N/A</v>
      </c>
      <c r="PMT27" s="24" t="e">
        <v>#N/A</v>
      </c>
      <c r="PMU27" s="24" t="e">
        <v>#N/A</v>
      </c>
      <c r="PMV27" s="24" t="e">
        <v>#N/A</v>
      </c>
      <c r="PMW27" s="24" t="e">
        <v>#N/A</v>
      </c>
      <c r="PMX27" s="24" t="e">
        <v>#N/A</v>
      </c>
      <c r="PMY27" s="24" t="e">
        <v>#N/A</v>
      </c>
      <c r="PMZ27" s="24" t="e">
        <v>#N/A</v>
      </c>
      <c r="PNA27" s="24" t="e">
        <v>#N/A</v>
      </c>
      <c r="PNB27" s="24" t="e">
        <v>#N/A</v>
      </c>
      <c r="PNC27" s="24" t="e">
        <v>#N/A</v>
      </c>
      <c r="PND27" s="24" t="e">
        <v>#N/A</v>
      </c>
      <c r="PNE27" s="24" t="e">
        <v>#N/A</v>
      </c>
      <c r="PNF27" s="24" t="e">
        <v>#N/A</v>
      </c>
      <c r="PNG27" s="24" t="e">
        <v>#N/A</v>
      </c>
      <c r="PNH27" s="24" t="e">
        <v>#N/A</v>
      </c>
      <c r="PNI27" s="24" t="e">
        <v>#N/A</v>
      </c>
      <c r="PNJ27" s="24" t="e">
        <v>#N/A</v>
      </c>
      <c r="PNK27" s="24" t="e">
        <v>#N/A</v>
      </c>
      <c r="PNL27" s="24" t="e">
        <v>#N/A</v>
      </c>
      <c r="PNM27" s="24" t="e">
        <v>#N/A</v>
      </c>
      <c r="PNN27" s="24" t="e">
        <v>#N/A</v>
      </c>
      <c r="PNO27" s="24" t="e">
        <v>#N/A</v>
      </c>
      <c r="PNP27" s="24" t="e">
        <v>#N/A</v>
      </c>
      <c r="PNQ27" s="24" t="e">
        <v>#N/A</v>
      </c>
      <c r="PNR27" s="24" t="e">
        <v>#N/A</v>
      </c>
      <c r="PNS27" s="24" t="e">
        <v>#N/A</v>
      </c>
      <c r="PNT27" s="24" t="e">
        <v>#N/A</v>
      </c>
      <c r="PNU27" s="24" t="e">
        <v>#N/A</v>
      </c>
      <c r="PNV27" s="24" t="e">
        <v>#N/A</v>
      </c>
      <c r="PNW27" s="24" t="e">
        <v>#N/A</v>
      </c>
      <c r="PNX27" s="24" t="e">
        <v>#N/A</v>
      </c>
      <c r="PNY27" s="24" t="e">
        <v>#N/A</v>
      </c>
      <c r="PNZ27" s="24" t="e">
        <v>#N/A</v>
      </c>
      <c r="POA27" s="24" t="e">
        <v>#N/A</v>
      </c>
      <c r="POB27" s="24" t="e">
        <v>#N/A</v>
      </c>
      <c r="POC27" s="24" t="e">
        <v>#N/A</v>
      </c>
      <c r="POD27" s="24" t="e">
        <v>#N/A</v>
      </c>
      <c r="POE27" s="24" t="e">
        <v>#N/A</v>
      </c>
      <c r="POF27" s="24" t="e">
        <v>#N/A</v>
      </c>
      <c r="POG27" s="24" t="e">
        <v>#N/A</v>
      </c>
      <c r="POH27" s="24" t="e">
        <v>#N/A</v>
      </c>
      <c r="POI27" s="24" t="e">
        <v>#N/A</v>
      </c>
      <c r="POJ27" s="24" t="e">
        <v>#N/A</v>
      </c>
      <c r="POK27" s="24" t="e">
        <v>#N/A</v>
      </c>
      <c r="POL27" s="24" t="e">
        <v>#N/A</v>
      </c>
      <c r="POM27" s="24" t="e">
        <v>#N/A</v>
      </c>
      <c r="PON27" s="24" t="e">
        <v>#N/A</v>
      </c>
      <c r="POO27" s="24" t="e">
        <v>#N/A</v>
      </c>
      <c r="POP27" s="24" t="e">
        <v>#N/A</v>
      </c>
      <c r="POQ27" s="24" t="e">
        <v>#N/A</v>
      </c>
      <c r="POR27" s="24" t="e">
        <v>#N/A</v>
      </c>
      <c r="POS27" s="24" t="e">
        <v>#N/A</v>
      </c>
      <c r="POT27" s="24" t="e">
        <v>#N/A</v>
      </c>
      <c r="POU27" s="24" t="e">
        <v>#N/A</v>
      </c>
      <c r="POV27" s="24" t="e">
        <v>#N/A</v>
      </c>
      <c r="POW27" s="24" t="e">
        <v>#N/A</v>
      </c>
      <c r="POX27" s="24" t="e">
        <v>#N/A</v>
      </c>
      <c r="POY27" s="24" t="e">
        <v>#N/A</v>
      </c>
      <c r="POZ27" s="24" t="e">
        <v>#N/A</v>
      </c>
      <c r="PPA27" s="24" t="e">
        <v>#N/A</v>
      </c>
      <c r="PPB27" s="24" t="e">
        <v>#N/A</v>
      </c>
      <c r="PPC27" s="24" t="e">
        <v>#N/A</v>
      </c>
      <c r="PPD27" s="24" t="e">
        <v>#N/A</v>
      </c>
      <c r="PPE27" s="24" t="e">
        <v>#N/A</v>
      </c>
      <c r="PPF27" s="24" t="e">
        <v>#N/A</v>
      </c>
      <c r="PPG27" s="24" t="e">
        <v>#N/A</v>
      </c>
      <c r="PPH27" s="24" t="e">
        <v>#N/A</v>
      </c>
      <c r="PPI27" s="24" t="e">
        <v>#N/A</v>
      </c>
      <c r="PPJ27" s="24" t="e">
        <v>#N/A</v>
      </c>
      <c r="PPK27" s="24" t="e">
        <v>#N/A</v>
      </c>
      <c r="PPL27" s="24" t="e">
        <v>#N/A</v>
      </c>
      <c r="PPM27" s="24" t="e">
        <v>#N/A</v>
      </c>
      <c r="PPN27" s="24" t="e">
        <v>#N/A</v>
      </c>
      <c r="PPO27" s="24" t="e">
        <v>#N/A</v>
      </c>
      <c r="PPP27" s="24" t="e">
        <v>#N/A</v>
      </c>
      <c r="PPQ27" s="24" t="e">
        <v>#N/A</v>
      </c>
      <c r="PPR27" s="24" t="e">
        <v>#N/A</v>
      </c>
      <c r="PPS27" s="24" t="e">
        <v>#N/A</v>
      </c>
      <c r="PPT27" s="24" t="e">
        <v>#N/A</v>
      </c>
      <c r="PPU27" s="24" t="e">
        <v>#N/A</v>
      </c>
      <c r="PPV27" s="24" t="e">
        <v>#N/A</v>
      </c>
      <c r="PPW27" s="24" t="e">
        <v>#N/A</v>
      </c>
      <c r="PPX27" s="24" t="e">
        <v>#N/A</v>
      </c>
      <c r="PPY27" s="24" t="e">
        <v>#N/A</v>
      </c>
      <c r="PPZ27" s="24" t="e">
        <v>#N/A</v>
      </c>
      <c r="PQA27" s="24" t="e">
        <v>#N/A</v>
      </c>
      <c r="PQB27" s="24" t="e">
        <v>#N/A</v>
      </c>
      <c r="PQC27" s="24" t="e">
        <v>#N/A</v>
      </c>
      <c r="PQD27" s="24" t="e">
        <v>#N/A</v>
      </c>
      <c r="PQE27" s="24" t="e">
        <v>#N/A</v>
      </c>
      <c r="PQF27" s="24" t="e">
        <v>#N/A</v>
      </c>
      <c r="PQG27" s="24" t="e">
        <v>#N/A</v>
      </c>
      <c r="PQH27" s="24" t="e">
        <v>#N/A</v>
      </c>
      <c r="PQI27" s="24" t="e">
        <v>#N/A</v>
      </c>
      <c r="PQJ27" s="24" t="e">
        <v>#N/A</v>
      </c>
      <c r="PQK27" s="24" t="e">
        <v>#N/A</v>
      </c>
      <c r="PQL27" s="24" t="e">
        <v>#N/A</v>
      </c>
      <c r="PQM27" s="24" t="e">
        <v>#N/A</v>
      </c>
      <c r="PQN27" s="24" t="e">
        <v>#N/A</v>
      </c>
      <c r="PQO27" s="24" t="e">
        <v>#N/A</v>
      </c>
      <c r="PQP27" s="24" t="e">
        <v>#N/A</v>
      </c>
      <c r="PQQ27" s="24" t="e">
        <v>#N/A</v>
      </c>
      <c r="PQR27" s="24" t="e">
        <v>#N/A</v>
      </c>
      <c r="PQS27" s="24" t="e">
        <v>#N/A</v>
      </c>
      <c r="PQT27" s="24" t="e">
        <v>#N/A</v>
      </c>
      <c r="PQU27" s="24" t="e">
        <v>#N/A</v>
      </c>
      <c r="PQV27" s="24" t="e">
        <v>#N/A</v>
      </c>
      <c r="PQW27" s="24" t="e">
        <v>#N/A</v>
      </c>
      <c r="PQX27" s="24" t="e">
        <v>#N/A</v>
      </c>
      <c r="PQY27" s="24" t="e">
        <v>#N/A</v>
      </c>
      <c r="PQZ27" s="24" t="e">
        <v>#N/A</v>
      </c>
      <c r="PRA27" s="24" t="e">
        <v>#N/A</v>
      </c>
      <c r="PRB27" s="24" t="e">
        <v>#N/A</v>
      </c>
      <c r="PRC27" s="24" t="e">
        <v>#N/A</v>
      </c>
      <c r="PRD27" s="24" t="e">
        <v>#N/A</v>
      </c>
      <c r="PRE27" s="24" t="e">
        <v>#N/A</v>
      </c>
      <c r="PRF27" s="24" t="e">
        <v>#N/A</v>
      </c>
      <c r="PRG27" s="24" t="e">
        <v>#N/A</v>
      </c>
      <c r="PRH27" s="24" t="e">
        <v>#N/A</v>
      </c>
      <c r="PRI27" s="24" t="e">
        <v>#N/A</v>
      </c>
      <c r="PRJ27" s="24" t="e">
        <v>#N/A</v>
      </c>
      <c r="PRK27" s="24" t="e">
        <v>#N/A</v>
      </c>
      <c r="PRL27" s="24" t="e">
        <v>#N/A</v>
      </c>
      <c r="PRM27" s="24" t="e">
        <v>#N/A</v>
      </c>
      <c r="PRN27" s="24" t="e">
        <v>#N/A</v>
      </c>
      <c r="PRO27" s="24" t="e">
        <v>#N/A</v>
      </c>
      <c r="PRP27" s="24" t="e">
        <v>#N/A</v>
      </c>
      <c r="PRQ27" s="24" t="e">
        <v>#N/A</v>
      </c>
      <c r="PRR27" s="24" t="e">
        <v>#N/A</v>
      </c>
      <c r="PRS27" s="24" t="e">
        <v>#N/A</v>
      </c>
      <c r="PRT27" s="24" t="e">
        <v>#N/A</v>
      </c>
      <c r="PRU27" s="24" t="e">
        <v>#N/A</v>
      </c>
      <c r="PRV27" s="24" t="e">
        <v>#N/A</v>
      </c>
      <c r="PRW27" s="24" t="e">
        <v>#N/A</v>
      </c>
      <c r="PRX27" s="24" t="e">
        <v>#N/A</v>
      </c>
      <c r="PRY27" s="24" t="e">
        <v>#N/A</v>
      </c>
      <c r="PRZ27" s="24" t="e">
        <v>#N/A</v>
      </c>
      <c r="PSA27" s="24" t="e">
        <v>#N/A</v>
      </c>
      <c r="PSB27" s="24" t="e">
        <v>#N/A</v>
      </c>
      <c r="PSC27" s="24" t="e">
        <v>#N/A</v>
      </c>
      <c r="PSD27" s="24" t="e">
        <v>#N/A</v>
      </c>
      <c r="PSE27" s="24" t="e">
        <v>#N/A</v>
      </c>
      <c r="PSF27" s="24" t="e">
        <v>#N/A</v>
      </c>
      <c r="PSG27" s="24" t="e">
        <v>#N/A</v>
      </c>
      <c r="PSH27" s="24" t="e">
        <v>#N/A</v>
      </c>
      <c r="PSI27" s="24" t="e">
        <v>#N/A</v>
      </c>
      <c r="PSJ27" s="24" t="e">
        <v>#N/A</v>
      </c>
      <c r="PSK27" s="24" t="e">
        <v>#N/A</v>
      </c>
      <c r="PSL27" s="24" t="e">
        <v>#N/A</v>
      </c>
      <c r="PSM27" s="24" t="e">
        <v>#N/A</v>
      </c>
      <c r="PSN27" s="24" t="e">
        <v>#N/A</v>
      </c>
      <c r="PSO27" s="24" t="e">
        <v>#N/A</v>
      </c>
      <c r="PSP27" s="24" t="e">
        <v>#N/A</v>
      </c>
      <c r="PSQ27" s="24" t="e">
        <v>#N/A</v>
      </c>
      <c r="PSR27" s="24" t="e">
        <v>#N/A</v>
      </c>
      <c r="PSS27" s="24" t="e">
        <v>#N/A</v>
      </c>
      <c r="PST27" s="24" t="e">
        <v>#N/A</v>
      </c>
      <c r="PSU27" s="24" t="e">
        <v>#N/A</v>
      </c>
      <c r="PSV27" s="24" t="e">
        <v>#N/A</v>
      </c>
      <c r="PSW27" s="24" t="e">
        <v>#N/A</v>
      </c>
      <c r="PSX27" s="24" t="e">
        <v>#N/A</v>
      </c>
      <c r="PSY27" s="24" t="e">
        <v>#N/A</v>
      </c>
      <c r="PSZ27" s="24" t="e">
        <v>#N/A</v>
      </c>
      <c r="PTA27" s="24" t="e">
        <v>#N/A</v>
      </c>
      <c r="PTB27" s="24" t="e">
        <v>#N/A</v>
      </c>
      <c r="PTC27" s="24" t="e">
        <v>#N/A</v>
      </c>
      <c r="PTD27" s="24" t="e">
        <v>#N/A</v>
      </c>
      <c r="PTE27" s="24" t="e">
        <v>#N/A</v>
      </c>
      <c r="PTF27" s="24" t="e">
        <v>#N/A</v>
      </c>
      <c r="PTG27" s="24" t="e">
        <v>#N/A</v>
      </c>
      <c r="PTH27" s="24" t="e">
        <v>#N/A</v>
      </c>
      <c r="PTI27" s="24" t="e">
        <v>#N/A</v>
      </c>
      <c r="PTJ27" s="24" t="e">
        <v>#N/A</v>
      </c>
      <c r="PTK27" s="24" t="e">
        <v>#N/A</v>
      </c>
      <c r="PTL27" s="24" t="e">
        <v>#N/A</v>
      </c>
      <c r="PTM27" s="24" t="e">
        <v>#N/A</v>
      </c>
      <c r="PTN27" s="24" t="e">
        <v>#N/A</v>
      </c>
      <c r="PTO27" s="24" t="e">
        <v>#N/A</v>
      </c>
      <c r="PTP27" s="24" t="e">
        <v>#N/A</v>
      </c>
      <c r="PTQ27" s="24" t="e">
        <v>#N/A</v>
      </c>
      <c r="PTR27" s="24" t="e">
        <v>#N/A</v>
      </c>
      <c r="PTS27" s="24" t="e">
        <v>#N/A</v>
      </c>
      <c r="PTT27" s="24" t="e">
        <v>#N/A</v>
      </c>
      <c r="PTU27" s="24" t="e">
        <v>#N/A</v>
      </c>
      <c r="PTV27" s="24" t="e">
        <v>#N/A</v>
      </c>
      <c r="PTW27" s="24" t="e">
        <v>#N/A</v>
      </c>
      <c r="PTX27" s="24" t="e">
        <v>#N/A</v>
      </c>
      <c r="PTY27" s="24" t="e">
        <v>#N/A</v>
      </c>
      <c r="PTZ27" s="24" t="e">
        <v>#N/A</v>
      </c>
      <c r="PUA27" s="24" t="e">
        <v>#N/A</v>
      </c>
      <c r="PUB27" s="24" t="e">
        <v>#N/A</v>
      </c>
      <c r="PUC27" s="24" t="e">
        <v>#N/A</v>
      </c>
      <c r="PUD27" s="24" t="e">
        <v>#N/A</v>
      </c>
      <c r="PUE27" s="24" t="e">
        <v>#N/A</v>
      </c>
      <c r="PUF27" s="24" t="e">
        <v>#N/A</v>
      </c>
      <c r="PUG27" s="24" t="e">
        <v>#N/A</v>
      </c>
      <c r="PUH27" s="24" t="e">
        <v>#N/A</v>
      </c>
      <c r="PUI27" s="24" t="e">
        <v>#N/A</v>
      </c>
      <c r="PUJ27" s="24" t="e">
        <v>#N/A</v>
      </c>
      <c r="PUK27" s="24" t="e">
        <v>#N/A</v>
      </c>
      <c r="PUL27" s="24" t="e">
        <v>#N/A</v>
      </c>
      <c r="PUM27" s="24" t="e">
        <v>#N/A</v>
      </c>
      <c r="PUN27" s="24" t="e">
        <v>#N/A</v>
      </c>
      <c r="PUO27" s="24" t="e">
        <v>#N/A</v>
      </c>
      <c r="PUP27" s="24" t="e">
        <v>#N/A</v>
      </c>
      <c r="PUQ27" s="24" t="e">
        <v>#N/A</v>
      </c>
      <c r="PUR27" s="24" t="e">
        <v>#N/A</v>
      </c>
      <c r="PUS27" s="24" t="e">
        <v>#N/A</v>
      </c>
      <c r="PUT27" s="24" t="e">
        <v>#N/A</v>
      </c>
      <c r="PUU27" s="24" t="e">
        <v>#N/A</v>
      </c>
      <c r="PUV27" s="24" t="e">
        <v>#N/A</v>
      </c>
      <c r="PUW27" s="24" t="e">
        <v>#N/A</v>
      </c>
      <c r="PUX27" s="24" t="e">
        <v>#N/A</v>
      </c>
      <c r="PUY27" s="24" t="e">
        <v>#N/A</v>
      </c>
      <c r="PUZ27" s="24" t="e">
        <v>#N/A</v>
      </c>
      <c r="PVA27" s="24" t="e">
        <v>#N/A</v>
      </c>
      <c r="PVB27" s="24" t="e">
        <v>#N/A</v>
      </c>
      <c r="PVC27" s="24" t="e">
        <v>#N/A</v>
      </c>
      <c r="PVD27" s="24" t="e">
        <v>#N/A</v>
      </c>
      <c r="PVE27" s="24" t="e">
        <v>#N/A</v>
      </c>
      <c r="PVF27" s="24" t="e">
        <v>#N/A</v>
      </c>
      <c r="PVG27" s="24" t="e">
        <v>#N/A</v>
      </c>
      <c r="PVH27" s="24" t="e">
        <v>#N/A</v>
      </c>
      <c r="PVI27" s="24" t="e">
        <v>#N/A</v>
      </c>
      <c r="PVJ27" s="24" t="e">
        <v>#N/A</v>
      </c>
      <c r="PVK27" s="24" t="e">
        <v>#N/A</v>
      </c>
      <c r="PVL27" s="24" t="e">
        <v>#N/A</v>
      </c>
      <c r="PVM27" s="24" t="e">
        <v>#N/A</v>
      </c>
      <c r="PVN27" s="24" t="e">
        <v>#N/A</v>
      </c>
      <c r="PVO27" s="24" t="e">
        <v>#N/A</v>
      </c>
      <c r="PVP27" s="24" t="e">
        <v>#N/A</v>
      </c>
      <c r="PVQ27" s="24" t="e">
        <v>#N/A</v>
      </c>
      <c r="PVR27" s="24" t="e">
        <v>#N/A</v>
      </c>
      <c r="PVS27" s="24" t="e">
        <v>#N/A</v>
      </c>
      <c r="PVT27" s="24" t="e">
        <v>#N/A</v>
      </c>
      <c r="PVU27" s="24" t="e">
        <v>#N/A</v>
      </c>
      <c r="PVV27" s="24" t="e">
        <v>#N/A</v>
      </c>
      <c r="PVW27" s="24" t="e">
        <v>#N/A</v>
      </c>
      <c r="PVX27" s="24" t="e">
        <v>#N/A</v>
      </c>
      <c r="PVY27" s="24" t="e">
        <v>#N/A</v>
      </c>
      <c r="PVZ27" s="24" t="e">
        <v>#N/A</v>
      </c>
      <c r="PWA27" s="24" t="e">
        <v>#N/A</v>
      </c>
      <c r="PWB27" s="24" t="e">
        <v>#N/A</v>
      </c>
      <c r="PWC27" s="24" t="e">
        <v>#N/A</v>
      </c>
      <c r="PWD27" s="24" t="e">
        <v>#N/A</v>
      </c>
      <c r="PWE27" s="24" t="e">
        <v>#N/A</v>
      </c>
      <c r="PWF27" s="24" t="e">
        <v>#N/A</v>
      </c>
      <c r="PWG27" s="24" t="e">
        <v>#N/A</v>
      </c>
      <c r="PWH27" s="24" t="e">
        <v>#N/A</v>
      </c>
      <c r="PWI27" s="24" t="e">
        <v>#N/A</v>
      </c>
      <c r="PWJ27" s="24" t="e">
        <v>#N/A</v>
      </c>
      <c r="PWK27" s="24" t="e">
        <v>#N/A</v>
      </c>
      <c r="PWL27" s="24" t="e">
        <v>#N/A</v>
      </c>
      <c r="PWM27" s="24" t="e">
        <v>#N/A</v>
      </c>
      <c r="PWN27" s="24" t="e">
        <v>#N/A</v>
      </c>
      <c r="PWO27" s="24" t="e">
        <v>#N/A</v>
      </c>
      <c r="PWP27" s="24" t="e">
        <v>#N/A</v>
      </c>
      <c r="PWQ27" s="24" t="e">
        <v>#N/A</v>
      </c>
      <c r="PWR27" s="24" t="e">
        <v>#N/A</v>
      </c>
      <c r="PWS27" s="24" t="e">
        <v>#N/A</v>
      </c>
      <c r="PWT27" s="24" t="e">
        <v>#N/A</v>
      </c>
      <c r="PWU27" s="24" t="e">
        <v>#N/A</v>
      </c>
      <c r="PWV27" s="24" t="e">
        <v>#N/A</v>
      </c>
      <c r="PWW27" s="24" t="e">
        <v>#N/A</v>
      </c>
      <c r="PWX27" s="24" t="e">
        <v>#N/A</v>
      </c>
      <c r="PWY27" s="24" t="e">
        <v>#N/A</v>
      </c>
      <c r="PWZ27" s="24" t="e">
        <v>#N/A</v>
      </c>
      <c r="PXA27" s="24" t="e">
        <v>#N/A</v>
      </c>
      <c r="PXB27" s="24" t="e">
        <v>#N/A</v>
      </c>
      <c r="PXC27" s="24" t="e">
        <v>#N/A</v>
      </c>
      <c r="PXD27" s="24" t="e">
        <v>#N/A</v>
      </c>
      <c r="PXE27" s="24" t="e">
        <v>#N/A</v>
      </c>
      <c r="PXF27" s="24" t="e">
        <v>#N/A</v>
      </c>
      <c r="PXG27" s="24" t="e">
        <v>#N/A</v>
      </c>
      <c r="PXH27" s="24" t="e">
        <v>#N/A</v>
      </c>
      <c r="PXI27" s="24" t="e">
        <v>#N/A</v>
      </c>
      <c r="PXJ27" s="24" t="e">
        <v>#N/A</v>
      </c>
      <c r="PXK27" s="24" t="e">
        <v>#N/A</v>
      </c>
      <c r="PXL27" s="24" t="e">
        <v>#N/A</v>
      </c>
      <c r="PXM27" s="24" t="e">
        <v>#N/A</v>
      </c>
      <c r="PXN27" s="24" t="e">
        <v>#N/A</v>
      </c>
      <c r="PXO27" s="24" t="e">
        <v>#N/A</v>
      </c>
      <c r="PXP27" s="24" t="e">
        <v>#N/A</v>
      </c>
      <c r="PXQ27" s="24" t="e">
        <v>#N/A</v>
      </c>
      <c r="PXR27" s="24" t="e">
        <v>#N/A</v>
      </c>
      <c r="PXS27" s="24" t="e">
        <v>#N/A</v>
      </c>
      <c r="PXT27" s="24" t="e">
        <v>#N/A</v>
      </c>
      <c r="PXU27" s="24" t="e">
        <v>#N/A</v>
      </c>
      <c r="PXV27" s="24" t="e">
        <v>#N/A</v>
      </c>
      <c r="PXW27" s="24" t="e">
        <v>#N/A</v>
      </c>
      <c r="PXX27" s="24" t="e">
        <v>#N/A</v>
      </c>
      <c r="PXY27" s="24" t="e">
        <v>#N/A</v>
      </c>
      <c r="PXZ27" s="24" t="e">
        <v>#N/A</v>
      </c>
      <c r="PYA27" s="24" t="e">
        <v>#N/A</v>
      </c>
      <c r="PYB27" s="24" t="e">
        <v>#N/A</v>
      </c>
      <c r="PYC27" s="24" t="e">
        <v>#N/A</v>
      </c>
      <c r="PYD27" s="24" t="e">
        <v>#N/A</v>
      </c>
      <c r="PYE27" s="24" t="e">
        <v>#N/A</v>
      </c>
      <c r="PYF27" s="24" t="e">
        <v>#N/A</v>
      </c>
      <c r="PYG27" s="24" t="e">
        <v>#N/A</v>
      </c>
      <c r="PYH27" s="24" t="e">
        <v>#N/A</v>
      </c>
      <c r="PYI27" s="24" t="e">
        <v>#N/A</v>
      </c>
      <c r="PYJ27" s="24" t="e">
        <v>#N/A</v>
      </c>
      <c r="PYK27" s="24" t="e">
        <v>#N/A</v>
      </c>
      <c r="PYL27" s="24" t="e">
        <v>#N/A</v>
      </c>
      <c r="PYM27" s="24" t="e">
        <v>#N/A</v>
      </c>
      <c r="PYN27" s="24" t="e">
        <v>#N/A</v>
      </c>
      <c r="PYO27" s="24" t="e">
        <v>#N/A</v>
      </c>
      <c r="PYP27" s="24" t="e">
        <v>#N/A</v>
      </c>
      <c r="PYQ27" s="24" t="e">
        <v>#N/A</v>
      </c>
      <c r="PYR27" s="24" t="e">
        <v>#N/A</v>
      </c>
      <c r="PYS27" s="24" t="e">
        <v>#N/A</v>
      </c>
      <c r="PYT27" s="24" t="e">
        <v>#N/A</v>
      </c>
      <c r="PYU27" s="24" t="e">
        <v>#N/A</v>
      </c>
      <c r="PYV27" s="24" t="e">
        <v>#N/A</v>
      </c>
      <c r="PYW27" s="24" t="e">
        <v>#N/A</v>
      </c>
      <c r="PYX27" s="24" t="e">
        <v>#N/A</v>
      </c>
      <c r="PYY27" s="24" t="e">
        <v>#N/A</v>
      </c>
      <c r="PYZ27" s="24" t="e">
        <v>#N/A</v>
      </c>
      <c r="PZA27" s="24" t="e">
        <v>#N/A</v>
      </c>
      <c r="PZB27" s="24" t="e">
        <v>#N/A</v>
      </c>
      <c r="PZC27" s="24" t="e">
        <v>#N/A</v>
      </c>
      <c r="PZD27" s="24" t="e">
        <v>#N/A</v>
      </c>
      <c r="PZE27" s="24" t="e">
        <v>#N/A</v>
      </c>
      <c r="PZF27" s="24" t="e">
        <v>#N/A</v>
      </c>
      <c r="PZG27" s="24" t="e">
        <v>#N/A</v>
      </c>
      <c r="PZH27" s="24" t="e">
        <v>#N/A</v>
      </c>
      <c r="PZI27" s="24" t="e">
        <v>#N/A</v>
      </c>
      <c r="PZJ27" s="24" t="e">
        <v>#N/A</v>
      </c>
      <c r="PZK27" s="24" t="e">
        <v>#N/A</v>
      </c>
      <c r="PZL27" s="24" t="e">
        <v>#N/A</v>
      </c>
      <c r="PZM27" s="24" t="e">
        <v>#N/A</v>
      </c>
      <c r="PZN27" s="24" t="e">
        <v>#N/A</v>
      </c>
      <c r="PZO27" s="24" t="e">
        <v>#N/A</v>
      </c>
      <c r="PZP27" s="24" t="e">
        <v>#N/A</v>
      </c>
      <c r="PZQ27" s="24" t="e">
        <v>#N/A</v>
      </c>
      <c r="PZR27" s="24" t="e">
        <v>#N/A</v>
      </c>
      <c r="PZS27" s="24" t="e">
        <v>#N/A</v>
      </c>
      <c r="PZT27" s="24" t="e">
        <v>#N/A</v>
      </c>
      <c r="PZU27" s="24" t="e">
        <v>#N/A</v>
      </c>
      <c r="PZV27" s="24" t="e">
        <v>#N/A</v>
      </c>
      <c r="PZW27" s="24" t="e">
        <v>#N/A</v>
      </c>
      <c r="PZX27" s="24" t="e">
        <v>#N/A</v>
      </c>
      <c r="PZY27" s="24" t="e">
        <v>#N/A</v>
      </c>
      <c r="PZZ27" s="24" t="e">
        <v>#N/A</v>
      </c>
      <c r="QAA27" s="24" t="e">
        <v>#N/A</v>
      </c>
      <c r="QAB27" s="24" t="e">
        <v>#N/A</v>
      </c>
      <c r="QAC27" s="24" t="e">
        <v>#N/A</v>
      </c>
      <c r="QAD27" s="24" t="e">
        <v>#N/A</v>
      </c>
      <c r="QAE27" s="24" t="e">
        <v>#N/A</v>
      </c>
      <c r="QAF27" s="24" t="e">
        <v>#N/A</v>
      </c>
      <c r="QAG27" s="24" t="e">
        <v>#N/A</v>
      </c>
      <c r="QAH27" s="24" t="e">
        <v>#N/A</v>
      </c>
      <c r="QAI27" s="24" t="e">
        <v>#N/A</v>
      </c>
      <c r="QAJ27" s="24" t="e">
        <v>#N/A</v>
      </c>
      <c r="QAK27" s="24" t="e">
        <v>#N/A</v>
      </c>
      <c r="QAL27" s="24" t="e">
        <v>#N/A</v>
      </c>
      <c r="QAM27" s="24" t="e">
        <v>#N/A</v>
      </c>
      <c r="QAN27" s="24" t="e">
        <v>#N/A</v>
      </c>
      <c r="QAO27" s="24" t="e">
        <v>#N/A</v>
      </c>
      <c r="QAP27" s="24" t="e">
        <v>#N/A</v>
      </c>
      <c r="QAQ27" s="24" t="e">
        <v>#N/A</v>
      </c>
      <c r="QAR27" s="24" t="e">
        <v>#N/A</v>
      </c>
      <c r="QAS27" s="24" t="e">
        <v>#N/A</v>
      </c>
      <c r="QAT27" s="24" t="e">
        <v>#N/A</v>
      </c>
      <c r="QAU27" s="24" t="e">
        <v>#N/A</v>
      </c>
      <c r="QAV27" s="24" t="e">
        <v>#N/A</v>
      </c>
      <c r="QAW27" s="24" t="e">
        <v>#N/A</v>
      </c>
      <c r="QAX27" s="24" t="e">
        <v>#N/A</v>
      </c>
      <c r="QAY27" s="24" t="e">
        <v>#N/A</v>
      </c>
      <c r="QAZ27" s="24" t="e">
        <v>#N/A</v>
      </c>
      <c r="QBA27" s="24" t="e">
        <v>#N/A</v>
      </c>
      <c r="QBB27" s="24" t="e">
        <v>#N/A</v>
      </c>
      <c r="QBC27" s="24" t="e">
        <v>#N/A</v>
      </c>
      <c r="QBD27" s="24" t="e">
        <v>#N/A</v>
      </c>
      <c r="QBE27" s="24" t="e">
        <v>#N/A</v>
      </c>
      <c r="QBF27" s="24" t="e">
        <v>#N/A</v>
      </c>
      <c r="QBG27" s="24" t="e">
        <v>#N/A</v>
      </c>
      <c r="QBH27" s="24" t="e">
        <v>#N/A</v>
      </c>
      <c r="QBI27" s="24" t="e">
        <v>#N/A</v>
      </c>
      <c r="QBJ27" s="24" t="e">
        <v>#N/A</v>
      </c>
      <c r="QBK27" s="24" t="e">
        <v>#N/A</v>
      </c>
      <c r="QBL27" s="24" t="e">
        <v>#N/A</v>
      </c>
      <c r="QBM27" s="24" t="e">
        <v>#N/A</v>
      </c>
      <c r="QBN27" s="24" t="e">
        <v>#N/A</v>
      </c>
      <c r="QBO27" s="24" t="e">
        <v>#N/A</v>
      </c>
      <c r="QBP27" s="24" t="e">
        <v>#N/A</v>
      </c>
      <c r="QBQ27" s="24" t="e">
        <v>#N/A</v>
      </c>
      <c r="QBR27" s="24" t="e">
        <v>#N/A</v>
      </c>
      <c r="QBS27" s="24" t="e">
        <v>#N/A</v>
      </c>
      <c r="QBT27" s="24" t="e">
        <v>#N/A</v>
      </c>
      <c r="QBU27" s="24" t="e">
        <v>#N/A</v>
      </c>
      <c r="QBV27" s="24" t="e">
        <v>#N/A</v>
      </c>
      <c r="QBW27" s="24" t="e">
        <v>#N/A</v>
      </c>
      <c r="QBX27" s="24" t="e">
        <v>#N/A</v>
      </c>
      <c r="QBY27" s="24" t="e">
        <v>#N/A</v>
      </c>
      <c r="QBZ27" s="24" t="e">
        <v>#N/A</v>
      </c>
      <c r="QCA27" s="24" t="e">
        <v>#N/A</v>
      </c>
      <c r="QCB27" s="24" t="e">
        <v>#N/A</v>
      </c>
      <c r="QCC27" s="24" t="e">
        <v>#N/A</v>
      </c>
      <c r="QCD27" s="24" t="e">
        <v>#N/A</v>
      </c>
      <c r="QCE27" s="24" t="e">
        <v>#N/A</v>
      </c>
      <c r="QCF27" s="24" t="e">
        <v>#N/A</v>
      </c>
      <c r="QCG27" s="24" t="e">
        <v>#N/A</v>
      </c>
      <c r="QCH27" s="24" t="e">
        <v>#N/A</v>
      </c>
      <c r="QCI27" s="24" t="e">
        <v>#N/A</v>
      </c>
      <c r="QCJ27" s="24" t="e">
        <v>#N/A</v>
      </c>
      <c r="QCK27" s="24" t="e">
        <v>#N/A</v>
      </c>
      <c r="QCL27" s="24" t="e">
        <v>#N/A</v>
      </c>
      <c r="QCM27" s="24" t="e">
        <v>#N/A</v>
      </c>
      <c r="QCN27" s="24" t="e">
        <v>#N/A</v>
      </c>
      <c r="QCO27" s="24" t="e">
        <v>#N/A</v>
      </c>
      <c r="QCP27" s="24" t="e">
        <v>#N/A</v>
      </c>
      <c r="QCQ27" s="24" t="e">
        <v>#N/A</v>
      </c>
      <c r="QCR27" s="24" t="e">
        <v>#N/A</v>
      </c>
      <c r="QCS27" s="24" t="e">
        <v>#N/A</v>
      </c>
      <c r="QCT27" s="24" t="e">
        <v>#N/A</v>
      </c>
      <c r="QCU27" s="24" t="e">
        <v>#N/A</v>
      </c>
      <c r="QCV27" s="24" t="e">
        <v>#N/A</v>
      </c>
      <c r="QCW27" s="24" t="e">
        <v>#N/A</v>
      </c>
      <c r="QCX27" s="24" t="e">
        <v>#N/A</v>
      </c>
      <c r="QCY27" s="24" t="e">
        <v>#N/A</v>
      </c>
      <c r="QCZ27" s="24" t="e">
        <v>#N/A</v>
      </c>
      <c r="QDA27" s="24" t="e">
        <v>#N/A</v>
      </c>
      <c r="QDB27" s="24" t="e">
        <v>#N/A</v>
      </c>
      <c r="QDC27" s="24" t="e">
        <v>#N/A</v>
      </c>
      <c r="QDD27" s="24" t="e">
        <v>#N/A</v>
      </c>
      <c r="QDE27" s="24" t="e">
        <v>#N/A</v>
      </c>
      <c r="QDF27" s="24" t="e">
        <v>#N/A</v>
      </c>
      <c r="QDG27" s="24" t="e">
        <v>#N/A</v>
      </c>
      <c r="QDH27" s="24" t="e">
        <v>#N/A</v>
      </c>
      <c r="QDI27" s="24" t="e">
        <v>#N/A</v>
      </c>
      <c r="QDJ27" s="24" t="e">
        <v>#N/A</v>
      </c>
      <c r="QDK27" s="24" t="e">
        <v>#N/A</v>
      </c>
      <c r="QDL27" s="24" t="e">
        <v>#N/A</v>
      </c>
      <c r="QDM27" s="24" t="e">
        <v>#N/A</v>
      </c>
      <c r="QDN27" s="24" t="e">
        <v>#N/A</v>
      </c>
      <c r="QDO27" s="24" t="e">
        <v>#N/A</v>
      </c>
      <c r="QDP27" s="24" t="e">
        <v>#N/A</v>
      </c>
      <c r="QDQ27" s="24" t="e">
        <v>#N/A</v>
      </c>
      <c r="QDR27" s="24" t="e">
        <v>#N/A</v>
      </c>
      <c r="QDS27" s="24" t="e">
        <v>#N/A</v>
      </c>
      <c r="QDT27" s="24" t="e">
        <v>#N/A</v>
      </c>
      <c r="QDU27" s="24" t="e">
        <v>#N/A</v>
      </c>
      <c r="QDV27" s="24" t="e">
        <v>#N/A</v>
      </c>
      <c r="QDW27" s="24" t="e">
        <v>#N/A</v>
      </c>
      <c r="QDX27" s="24" t="e">
        <v>#N/A</v>
      </c>
      <c r="QDY27" s="24" t="e">
        <v>#N/A</v>
      </c>
      <c r="QDZ27" s="24" t="e">
        <v>#N/A</v>
      </c>
      <c r="QEA27" s="24" t="e">
        <v>#N/A</v>
      </c>
      <c r="QEB27" s="24" t="e">
        <v>#N/A</v>
      </c>
      <c r="QEC27" s="24" t="e">
        <v>#N/A</v>
      </c>
      <c r="QED27" s="24" t="e">
        <v>#N/A</v>
      </c>
      <c r="QEE27" s="24" t="e">
        <v>#N/A</v>
      </c>
      <c r="QEF27" s="24" t="e">
        <v>#N/A</v>
      </c>
      <c r="QEG27" s="24" t="e">
        <v>#N/A</v>
      </c>
      <c r="QEH27" s="24" t="e">
        <v>#N/A</v>
      </c>
      <c r="QEI27" s="24" t="e">
        <v>#N/A</v>
      </c>
      <c r="QEJ27" s="24" t="e">
        <v>#N/A</v>
      </c>
      <c r="QEK27" s="24" t="e">
        <v>#N/A</v>
      </c>
      <c r="QEL27" s="24" t="e">
        <v>#N/A</v>
      </c>
      <c r="QEM27" s="24" t="e">
        <v>#N/A</v>
      </c>
      <c r="QEN27" s="24" t="e">
        <v>#N/A</v>
      </c>
      <c r="QEO27" s="24" t="e">
        <v>#N/A</v>
      </c>
      <c r="QEP27" s="24" t="e">
        <v>#N/A</v>
      </c>
      <c r="QEQ27" s="24" t="e">
        <v>#N/A</v>
      </c>
      <c r="QER27" s="24" t="e">
        <v>#N/A</v>
      </c>
      <c r="QES27" s="24" t="e">
        <v>#N/A</v>
      </c>
      <c r="QET27" s="24" t="e">
        <v>#N/A</v>
      </c>
      <c r="QEU27" s="24" t="e">
        <v>#N/A</v>
      </c>
      <c r="QEV27" s="24" t="e">
        <v>#N/A</v>
      </c>
      <c r="QEW27" s="24" t="e">
        <v>#N/A</v>
      </c>
      <c r="QEX27" s="24" t="e">
        <v>#N/A</v>
      </c>
      <c r="QEY27" s="24" t="e">
        <v>#N/A</v>
      </c>
      <c r="QEZ27" s="24" t="e">
        <v>#N/A</v>
      </c>
      <c r="QFA27" s="24" t="e">
        <v>#N/A</v>
      </c>
      <c r="QFB27" s="24" t="e">
        <v>#N/A</v>
      </c>
      <c r="QFC27" s="24" t="e">
        <v>#N/A</v>
      </c>
      <c r="QFD27" s="24" t="e">
        <v>#N/A</v>
      </c>
      <c r="QFE27" s="24" t="e">
        <v>#N/A</v>
      </c>
      <c r="QFF27" s="24" t="e">
        <v>#N/A</v>
      </c>
      <c r="QFG27" s="24" t="e">
        <v>#N/A</v>
      </c>
      <c r="QFH27" s="24" t="e">
        <v>#N/A</v>
      </c>
      <c r="QFI27" s="24" t="e">
        <v>#N/A</v>
      </c>
      <c r="QFJ27" s="24" t="e">
        <v>#N/A</v>
      </c>
      <c r="QFK27" s="24" t="e">
        <v>#N/A</v>
      </c>
      <c r="QFL27" s="24" t="e">
        <v>#N/A</v>
      </c>
      <c r="QFM27" s="24" t="e">
        <v>#N/A</v>
      </c>
      <c r="QFN27" s="24" t="e">
        <v>#N/A</v>
      </c>
      <c r="QFO27" s="24" t="e">
        <v>#N/A</v>
      </c>
      <c r="QFP27" s="24" t="e">
        <v>#N/A</v>
      </c>
      <c r="QFQ27" s="24" t="e">
        <v>#N/A</v>
      </c>
      <c r="QFR27" s="24" t="e">
        <v>#N/A</v>
      </c>
      <c r="QFS27" s="24" t="e">
        <v>#N/A</v>
      </c>
      <c r="QFT27" s="24" t="e">
        <v>#N/A</v>
      </c>
      <c r="QFU27" s="24" t="e">
        <v>#N/A</v>
      </c>
      <c r="QFV27" s="24" t="e">
        <v>#N/A</v>
      </c>
      <c r="QFW27" s="24" t="e">
        <v>#N/A</v>
      </c>
      <c r="QFX27" s="24" t="e">
        <v>#N/A</v>
      </c>
      <c r="QFY27" s="24" t="e">
        <v>#N/A</v>
      </c>
      <c r="QFZ27" s="24" t="e">
        <v>#N/A</v>
      </c>
      <c r="QGA27" s="24" t="e">
        <v>#N/A</v>
      </c>
      <c r="QGB27" s="24" t="e">
        <v>#N/A</v>
      </c>
      <c r="QGC27" s="24" t="e">
        <v>#N/A</v>
      </c>
      <c r="QGD27" s="24" t="e">
        <v>#N/A</v>
      </c>
      <c r="QGE27" s="24" t="e">
        <v>#N/A</v>
      </c>
      <c r="QGF27" s="24" t="e">
        <v>#N/A</v>
      </c>
      <c r="QGG27" s="24" t="e">
        <v>#N/A</v>
      </c>
      <c r="QGH27" s="24" t="e">
        <v>#N/A</v>
      </c>
      <c r="QGI27" s="24" t="e">
        <v>#N/A</v>
      </c>
      <c r="QGJ27" s="24" t="e">
        <v>#N/A</v>
      </c>
      <c r="QGK27" s="24" t="e">
        <v>#N/A</v>
      </c>
      <c r="QGL27" s="24" t="e">
        <v>#N/A</v>
      </c>
      <c r="QGM27" s="24" t="e">
        <v>#N/A</v>
      </c>
      <c r="QGN27" s="24" t="e">
        <v>#N/A</v>
      </c>
      <c r="QGO27" s="24" t="e">
        <v>#N/A</v>
      </c>
      <c r="QGP27" s="24" t="e">
        <v>#N/A</v>
      </c>
      <c r="QGQ27" s="24" t="e">
        <v>#N/A</v>
      </c>
      <c r="QGR27" s="24" t="e">
        <v>#N/A</v>
      </c>
      <c r="QGS27" s="24" t="e">
        <v>#N/A</v>
      </c>
      <c r="QGT27" s="24" t="e">
        <v>#N/A</v>
      </c>
      <c r="QGU27" s="24" t="e">
        <v>#N/A</v>
      </c>
      <c r="QGV27" s="24" t="e">
        <v>#N/A</v>
      </c>
      <c r="QGW27" s="24" t="e">
        <v>#N/A</v>
      </c>
      <c r="QGX27" s="24" t="e">
        <v>#N/A</v>
      </c>
      <c r="QGY27" s="24" t="e">
        <v>#N/A</v>
      </c>
      <c r="QGZ27" s="24" t="e">
        <v>#N/A</v>
      </c>
      <c r="QHA27" s="24" t="e">
        <v>#N/A</v>
      </c>
      <c r="QHB27" s="24" t="e">
        <v>#N/A</v>
      </c>
      <c r="QHC27" s="24" t="e">
        <v>#N/A</v>
      </c>
      <c r="QHD27" s="24" t="e">
        <v>#N/A</v>
      </c>
      <c r="QHE27" s="24" t="e">
        <v>#N/A</v>
      </c>
      <c r="QHF27" s="24" t="e">
        <v>#N/A</v>
      </c>
      <c r="QHG27" s="24" t="e">
        <v>#N/A</v>
      </c>
      <c r="QHH27" s="24" t="e">
        <v>#N/A</v>
      </c>
      <c r="QHI27" s="24" t="e">
        <v>#N/A</v>
      </c>
      <c r="QHJ27" s="24" t="e">
        <v>#N/A</v>
      </c>
      <c r="QHK27" s="24" t="e">
        <v>#N/A</v>
      </c>
      <c r="QHL27" s="24" t="e">
        <v>#N/A</v>
      </c>
      <c r="QHM27" s="24" t="e">
        <v>#N/A</v>
      </c>
      <c r="QHN27" s="24" t="e">
        <v>#N/A</v>
      </c>
      <c r="QHO27" s="24" t="e">
        <v>#N/A</v>
      </c>
      <c r="QHP27" s="24" t="e">
        <v>#N/A</v>
      </c>
      <c r="QHQ27" s="24" t="e">
        <v>#N/A</v>
      </c>
      <c r="QHR27" s="24" t="e">
        <v>#N/A</v>
      </c>
      <c r="QHS27" s="24" t="e">
        <v>#N/A</v>
      </c>
      <c r="QHT27" s="24" t="e">
        <v>#N/A</v>
      </c>
      <c r="QHU27" s="24" t="e">
        <v>#N/A</v>
      </c>
      <c r="QHV27" s="24" t="e">
        <v>#N/A</v>
      </c>
      <c r="QHW27" s="24" t="e">
        <v>#N/A</v>
      </c>
      <c r="QHX27" s="24" t="e">
        <v>#N/A</v>
      </c>
      <c r="QHY27" s="24" t="e">
        <v>#N/A</v>
      </c>
      <c r="QHZ27" s="24" t="e">
        <v>#N/A</v>
      </c>
      <c r="QIA27" s="24" t="e">
        <v>#N/A</v>
      </c>
      <c r="QIB27" s="24" t="e">
        <v>#N/A</v>
      </c>
      <c r="QIC27" s="24" t="e">
        <v>#N/A</v>
      </c>
      <c r="QID27" s="24" t="e">
        <v>#N/A</v>
      </c>
      <c r="QIE27" s="24" t="e">
        <v>#N/A</v>
      </c>
      <c r="QIF27" s="24" t="e">
        <v>#N/A</v>
      </c>
      <c r="QIG27" s="24" t="e">
        <v>#N/A</v>
      </c>
      <c r="QIH27" s="24" t="e">
        <v>#N/A</v>
      </c>
      <c r="QII27" s="24" t="e">
        <v>#N/A</v>
      </c>
      <c r="QIJ27" s="24" t="e">
        <v>#N/A</v>
      </c>
      <c r="QIK27" s="24" t="e">
        <v>#N/A</v>
      </c>
      <c r="QIL27" s="24" t="e">
        <v>#N/A</v>
      </c>
      <c r="QIM27" s="24" t="e">
        <v>#N/A</v>
      </c>
      <c r="QIN27" s="24" t="e">
        <v>#N/A</v>
      </c>
      <c r="QIO27" s="24" t="e">
        <v>#N/A</v>
      </c>
      <c r="QIP27" s="24" t="e">
        <v>#N/A</v>
      </c>
      <c r="QIQ27" s="24" t="e">
        <v>#N/A</v>
      </c>
      <c r="QIR27" s="24" t="e">
        <v>#N/A</v>
      </c>
      <c r="QIS27" s="24" t="e">
        <v>#N/A</v>
      </c>
      <c r="QIT27" s="24" t="e">
        <v>#N/A</v>
      </c>
      <c r="QIU27" s="24" t="e">
        <v>#N/A</v>
      </c>
      <c r="QIV27" s="24" t="e">
        <v>#N/A</v>
      </c>
      <c r="QIW27" s="24" t="e">
        <v>#N/A</v>
      </c>
      <c r="QIX27" s="24" t="e">
        <v>#N/A</v>
      </c>
      <c r="QIY27" s="24" t="e">
        <v>#N/A</v>
      </c>
      <c r="QIZ27" s="24" t="e">
        <v>#N/A</v>
      </c>
      <c r="QJA27" s="24" t="e">
        <v>#N/A</v>
      </c>
      <c r="QJB27" s="24" t="e">
        <v>#N/A</v>
      </c>
      <c r="QJC27" s="24" t="e">
        <v>#N/A</v>
      </c>
      <c r="QJD27" s="24" t="e">
        <v>#N/A</v>
      </c>
      <c r="QJE27" s="24" t="e">
        <v>#N/A</v>
      </c>
      <c r="QJF27" s="24" t="e">
        <v>#N/A</v>
      </c>
      <c r="QJG27" s="24" t="e">
        <v>#N/A</v>
      </c>
      <c r="QJH27" s="24" t="e">
        <v>#N/A</v>
      </c>
      <c r="QJI27" s="24" t="e">
        <v>#N/A</v>
      </c>
      <c r="QJJ27" s="24" t="e">
        <v>#N/A</v>
      </c>
      <c r="QJK27" s="24" t="e">
        <v>#N/A</v>
      </c>
      <c r="QJL27" s="24" t="e">
        <v>#N/A</v>
      </c>
      <c r="QJM27" s="24" t="e">
        <v>#N/A</v>
      </c>
      <c r="QJN27" s="24" t="e">
        <v>#N/A</v>
      </c>
      <c r="QJO27" s="24" t="e">
        <v>#N/A</v>
      </c>
      <c r="QJP27" s="24" t="e">
        <v>#N/A</v>
      </c>
      <c r="QJQ27" s="24" t="e">
        <v>#N/A</v>
      </c>
      <c r="QJR27" s="24" t="e">
        <v>#N/A</v>
      </c>
      <c r="QJS27" s="24" t="e">
        <v>#N/A</v>
      </c>
      <c r="QJT27" s="24" t="e">
        <v>#N/A</v>
      </c>
      <c r="QJU27" s="24" t="e">
        <v>#N/A</v>
      </c>
      <c r="QJV27" s="24" t="e">
        <v>#N/A</v>
      </c>
      <c r="QJW27" s="24" t="e">
        <v>#N/A</v>
      </c>
      <c r="QJX27" s="24" t="e">
        <v>#N/A</v>
      </c>
      <c r="QJY27" s="24" t="e">
        <v>#N/A</v>
      </c>
      <c r="QJZ27" s="24" t="e">
        <v>#N/A</v>
      </c>
      <c r="QKA27" s="24" t="e">
        <v>#N/A</v>
      </c>
      <c r="QKB27" s="24" t="e">
        <v>#N/A</v>
      </c>
      <c r="QKC27" s="24" t="e">
        <v>#N/A</v>
      </c>
      <c r="QKD27" s="24" t="e">
        <v>#N/A</v>
      </c>
      <c r="QKE27" s="24" t="e">
        <v>#N/A</v>
      </c>
      <c r="QKF27" s="24" t="e">
        <v>#N/A</v>
      </c>
      <c r="QKG27" s="24" t="e">
        <v>#N/A</v>
      </c>
      <c r="QKH27" s="24" t="e">
        <v>#N/A</v>
      </c>
      <c r="QKI27" s="24" t="e">
        <v>#N/A</v>
      </c>
      <c r="QKJ27" s="24" t="e">
        <v>#N/A</v>
      </c>
      <c r="QKK27" s="24" t="e">
        <v>#N/A</v>
      </c>
      <c r="QKL27" s="24" t="e">
        <v>#N/A</v>
      </c>
      <c r="QKM27" s="24" t="e">
        <v>#N/A</v>
      </c>
      <c r="QKN27" s="24" t="e">
        <v>#N/A</v>
      </c>
      <c r="QKO27" s="24" t="e">
        <v>#N/A</v>
      </c>
      <c r="QKP27" s="24" t="e">
        <v>#N/A</v>
      </c>
      <c r="QKQ27" s="24" t="e">
        <v>#N/A</v>
      </c>
      <c r="QKR27" s="24" t="e">
        <v>#N/A</v>
      </c>
      <c r="QKS27" s="24" t="e">
        <v>#N/A</v>
      </c>
      <c r="QKT27" s="24" t="e">
        <v>#N/A</v>
      </c>
      <c r="QKU27" s="24" t="e">
        <v>#N/A</v>
      </c>
      <c r="QKV27" s="24" t="e">
        <v>#N/A</v>
      </c>
      <c r="QKW27" s="24" t="e">
        <v>#N/A</v>
      </c>
      <c r="QKX27" s="24" t="e">
        <v>#N/A</v>
      </c>
      <c r="QKY27" s="24" t="e">
        <v>#N/A</v>
      </c>
      <c r="QKZ27" s="24" t="e">
        <v>#N/A</v>
      </c>
      <c r="QLA27" s="24" t="e">
        <v>#N/A</v>
      </c>
      <c r="QLB27" s="24" t="e">
        <v>#N/A</v>
      </c>
      <c r="QLC27" s="24" t="e">
        <v>#N/A</v>
      </c>
      <c r="QLD27" s="24" t="e">
        <v>#N/A</v>
      </c>
      <c r="QLE27" s="24" t="e">
        <v>#N/A</v>
      </c>
      <c r="QLF27" s="24" t="e">
        <v>#N/A</v>
      </c>
      <c r="QLG27" s="24" t="e">
        <v>#N/A</v>
      </c>
      <c r="QLH27" s="24" t="e">
        <v>#N/A</v>
      </c>
      <c r="QLI27" s="24" t="e">
        <v>#N/A</v>
      </c>
      <c r="QLJ27" s="24" t="e">
        <v>#N/A</v>
      </c>
      <c r="QLK27" s="24" t="e">
        <v>#N/A</v>
      </c>
      <c r="QLL27" s="24" t="e">
        <v>#N/A</v>
      </c>
      <c r="QLM27" s="24" t="e">
        <v>#N/A</v>
      </c>
      <c r="QLN27" s="24" t="e">
        <v>#N/A</v>
      </c>
      <c r="QLO27" s="24" t="e">
        <v>#N/A</v>
      </c>
      <c r="QLP27" s="24" t="e">
        <v>#N/A</v>
      </c>
      <c r="QLQ27" s="24" t="e">
        <v>#N/A</v>
      </c>
      <c r="QLR27" s="24" t="e">
        <v>#N/A</v>
      </c>
      <c r="QLS27" s="24" t="e">
        <v>#N/A</v>
      </c>
      <c r="QLT27" s="24" t="e">
        <v>#N/A</v>
      </c>
      <c r="QLU27" s="24" t="e">
        <v>#N/A</v>
      </c>
      <c r="QLV27" s="24" t="e">
        <v>#N/A</v>
      </c>
      <c r="QLW27" s="24" t="e">
        <v>#N/A</v>
      </c>
      <c r="QLX27" s="24" t="e">
        <v>#N/A</v>
      </c>
      <c r="QLY27" s="24" t="e">
        <v>#N/A</v>
      </c>
      <c r="QLZ27" s="24" t="e">
        <v>#N/A</v>
      </c>
      <c r="QMA27" s="24" t="e">
        <v>#N/A</v>
      </c>
      <c r="QMB27" s="24" t="e">
        <v>#N/A</v>
      </c>
      <c r="QMC27" s="24" t="e">
        <v>#N/A</v>
      </c>
      <c r="QMD27" s="24" t="e">
        <v>#N/A</v>
      </c>
      <c r="QME27" s="24" t="e">
        <v>#N/A</v>
      </c>
      <c r="QMF27" s="24" t="e">
        <v>#N/A</v>
      </c>
      <c r="QMG27" s="24" t="e">
        <v>#N/A</v>
      </c>
      <c r="QMH27" s="24" t="e">
        <v>#N/A</v>
      </c>
      <c r="QMI27" s="24" t="e">
        <v>#N/A</v>
      </c>
      <c r="QMJ27" s="24" t="e">
        <v>#N/A</v>
      </c>
      <c r="QMK27" s="24" t="e">
        <v>#N/A</v>
      </c>
      <c r="QML27" s="24" t="e">
        <v>#N/A</v>
      </c>
      <c r="QMM27" s="24" t="e">
        <v>#N/A</v>
      </c>
      <c r="QMN27" s="24" t="e">
        <v>#N/A</v>
      </c>
      <c r="QMO27" s="24" t="e">
        <v>#N/A</v>
      </c>
      <c r="QMP27" s="24" t="e">
        <v>#N/A</v>
      </c>
      <c r="QMQ27" s="24" t="e">
        <v>#N/A</v>
      </c>
      <c r="QMR27" s="24" t="e">
        <v>#N/A</v>
      </c>
      <c r="QMS27" s="24" t="e">
        <v>#N/A</v>
      </c>
      <c r="QMT27" s="24" t="e">
        <v>#N/A</v>
      </c>
      <c r="QMU27" s="24" t="e">
        <v>#N/A</v>
      </c>
      <c r="QMV27" s="24" t="e">
        <v>#N/A</v>
      </c>
      <c r="QMW27" s="24" t="e">
        <v>#N/A</v>
      </c>
      <c r="QMX27" s="24" t="e">
        <v>#N/A</v>
      </c>
      <c r="QMY27" s="24" t="e">
        <v>#N/A</v>
      </c>
      <c r="QMZ27" s="24" t="e">
        <v>#N/A</v>
      </c>
      <c r="QNA27" s="24" t="e">
        <v>#N/A</v>
      </c>
      <c r="QNB27" s="24" t="e">
        <v>#N/A</v>
      </c>
      <c r="QNC27" s="24" t="e">
        <v>#N/A</v>
      </c>
      <c r="QND27" s="24" t="e">
        <v>#N/A</v>
      </c>
      <c r="QNE27" s="24" t="e">
        <v>#N/A</v>
      </c>
      <c r="QNF27" s="24" t="e">
        <v>#N/A</v>
      </c>
      <c r="QNG27" s="24" t="e">
        <v>#N/A</v>
      </c>
      <c r="QNH27" s="24" t="e">
        <v>#N/A</v>
      </c>
      <c r="QNI27" s="24" t="e">
        <v>#N/A</v>
      </c>
      <c r="QNJ27" s="24" t="e">
        <v>#N/A</v>
      </c>
      <c r="QNK27" s="24" t="e">
        <v>#N/A</v>
      </c>
      <c r="QNL27" s="24" t="e">
        <v>#N/A</v>
      </c>
      <c r="QNM27" s="24" t="e">
        <v>#N/A</v>
      </c>
      <c r="QNN27" s="24" t="e">
        <v>#N/A</v>
      </c>
      <c r="QNO27" s="24" t="e">
        <v>#N/A</v>
      </c>
      <c r="QNP27" s="24" t="e">
        <v>#N/A</v>
      </c>
      <c r="QNQ27" s="24" t="e">
        <v>#N/A</v>
      </c>
      <c r="QNR27" s="24" t="e">
        <v>#N/A</v>
      </c>
      <c r="QNS27" s="24" t="e">
        <v>#N/A</v>
      </c>
      <c r="QNT27" s="24" t="e">
        <v>#N/A</v>
      </c>
      <c r="QNU27" s="24" t="e">
        <v>#N/A</v>
      </c>
      <c r="QNV27" s="24" t="e">
        <v>#N/A</v>
      </c>
      <c r="QNW27" s="24" t="e">
        <v>#N/A</v>
      </c>
      <c r="QNX27" s="24" t="e">
        <v>#N/A</v>
      </c>
      <c r="QNY27" s="24" t="e">
        <v>#N/A</v>
      </c>
      <c r="QNZ27" s="24" t="e">
        <v>#N/A</v>
      </c>
      <c r="QOA27" s="24" t="e">
        <v>#N/A</v>
      </c>
      <c r="QOB27" s="24" t="e">
        <v>#N/A</v>
      </c>
      <c r="QOC27" s="24" t="e">
        <v>#N/A</v>
      </c>
      <c r="QOD27" s="24" t="e">
        <v>#N/A</v>
      </c>
      <c r="QOE27" s="24" t="e">
        <v>#N/A</v>
      </c>
      <c r="QOF27" s="24" t="e">
        <v>#N/A</v>
      </c>
      <c r="QOG27" s="24" t="e">
        <v>#N/A</v>
      </c>
      <c r="QOH27" s="24" t="e">
        <v>#N/A</v>
      </c>
      <c r="QOI27" s="24" t="e">
        <v>#N/A</v>
      </c>
      <c r="QOJ27" s="24" t="e">
        <v>#N/A</v>
      </c>
      <c r="QOK27" s="24" t="e">
        <v>#N/A</v>
      </c>
      <c r="QOL27" s="24" t="e">
        <v>#N/A</v>
      </c>
      <c r="QOM27" s="24" t="e">
        <v>#N/A</v>
      </c>
      <c r="QON27" s="24" t="e">
        <v>#N/A</v>
      </c>
      <c r="QOO27" s="24" t="e">
        <v>#N/A</v>
      </c>
      <c r="QOP27" s="24" t="e">
        <v>#N/A</v>
      </c>
      <c r="QOQ27" s="24" t="e">
        <v>#N/A</v>
      </c>
      <c r="QOR27" s="24" t="e">
        <v>#N/A</v>
      </c>
      <c r="QOS27" s="24" t="e">
        <v>#N/A</v>
      </c>
      <c r="QOT27" s="24" t="e">
        <v>#N/A</v>
      </c>
      <c r="QOU27" s="24" t="e">
        <v>#N/A</v>
      </c>
      <c r="QOV27" s="24" t="e">
        <v>#N/A</v>
      </c>
      <c r="QOW27" s="24" t="e">
        <v>#N/A</v>
      </c>
      <c r="QOX27" s="24" t="e">
        <v>#N/A</v>
      </c>
      <c r="QOY27" s="24" t="e">
        <v>#N/A</v>
      </c>
      <c r="QOZ27" s="24" t="e">
        <v>#N/A</v>
      </c>
      <c r="QPA27" s="24" t="e">
        <v>#N/A</v>
      </c>
      <c r="QPB27" s="24" t="e">
        <v>#N/A</v>
      </c>
      <c r="QPC27" s="24" t="e">
        <v>#N/A</v>
      </c>
      <c r="QPD27" s="24" t="e">
        <v>#N/A</v>
      </c>
      <c r="QPE27" s="24" t="e">
        <v>#N/A</v>
      </c>
      <c r="QPF27" s="24" t="e">
        <v>#N/A</v>
      </c>
      <c r="QPG27" s="24" t="e">
        <v>#N/A</v>
      </c>
      <c r="QPH27" s="24" t="e">
        <v>#N/A</v>
      </c>
      <c r="QPI27" s="24" t="e">
        <v>#N/A</v>
      </c>
      <c r="QPJ27" s="24" t="e">
        <v>#N/A</v>
      </c>
      <c r="QPK27" s="24" t="e">
        <v>#N/A</v>
      </c>
      <c r="QPL27" s="24" t="e">
        <v>#N/A</v>
      </c>
      <c r="QPM27" s="24" t="e">
        <v>#N/A</v>
      </c>
      <c r="QPN27" s="24" t="e">
        <v>#N/A</v>
      </c>
      <c r="QPO27" s="24" t="e">
        <v>#N/A</v>
      </c>
      <c r="QPP27" s="24" t="e">
        <v>#N/A</v>
      </c>
      <c r="QPQ27" s="24" t="e">
        <v>#N/A</v>
      </c>
      <c r="QPR27" s="24" t="e">
        <v>#N/A</v>
      </c>
      <c r="QPS27" s="24" t="e">
        <v>#N/A</v>
      </c>
      <c r="QPT27" s="24" t="e">
        <v>#N/A</v>
      </c>
      <c r="QPU27" s="24" t="e">
        <v>#N/A</v>
      </c>
      <c r="QPV27" s="24" t="e">
        <v>#N/A</v>
      </c>
      <c r="QPW27" s="24" t="e">
        <v>#N/A</v>
      </c>
      <c r="QPX27" s="24" t="e">
        <v>#N/A</v>
      </c>
      <c r="QPY27" s="24" t="e">
        <v>#N/A</v>
      </c>
      <c r="QPZ27" s="24" t="e">
        <v>#N/A</v>
      </c>
      <c r="QQA27" s="24" t="e">
        <v>#N/A</v>
      </c>
      <c r="QQB27" s="24" t="e">
        <v>#N/A</v>
      </c>
      <c r="QQC27" s="24" t="e">
        <v>#N/A</v>
      </c>
      <c r="QQD27" s="24" t="e">
        <v>#N/A</v>
      </c>
      <c r="QQE27" s="24" t="e">
        <v>#N/A</v>
      </c>
      <c r="QQF27" s="24" t="e">
        <v>#N/A</v>
      </c>
      <c r="QQG27" s="24" t="e">
        <v>#N/A</v>
      </c>
      <c r="QQH27" s="24" t="e">
        <v>#N/A</v>
      </c>
      <c r="QQI27" s="24" t="e">
        <v>#N/A</v>
      </c>
      <c r="QQJ27" s="24" t="e">
        <v>#N/A</v>
      </c>
      <c r="QQK27" s="24" t="e">
        <v>#N/A</v>
      </c>
      <c r="QQL27" s="24" t="e">
        <v>#N/A</v>
      </c>
      <c r="QQM27" s="24" t="e">
        <v>#N/A</v>
      </c>
      <c r="QQN27" s="24" t="e">
        <v>#N/A</v>
      </c>
      <c r="QQO27" s="24" t="e">
        <v>#N/A</v>
      </c>
      <c r="QQP27" s="24" t="e">
        <v>#N/A</v>
      </c>
      <c r="QQQ27" s="24" t="e">
        <v>#N/A</v>
      </c>
      <c r="QQR27" s="24" t="e">
        <v>#N/A</v>
      </c>
      <c r="QQS27" s="24" t="e">
        <v>#N/A</v>
      </c>
      <c r="QQT27" s="24" t="e">
        <v>#N/A</v>
      </c>
      <c r="QQU27" s="24" t="e">
        <v>#N/A</v>
      </c>
      <c r="QQV27" s="24" t="e">
        <v>#N/A</v>
      </c>
      <c r="QQW27" s="24" t="e">
        <v>#N/A</v>
      </c>
      <c r="QQX27" s="24" t="e">
        <v>#N/A</v>
      </c>
      <c r="QQY27" s="24" t="e">
        <v>#N/A</v>
      </c>
      <c r="QQZ27" s="24" t="e">
        <v>#N/A</v>
      </c>
      <c r="QRA27" s="24" t="e">
        <v>#N/A</v>
      </c>
      <c r="QRB27" s="24" t="e">
        <v>#N/A</v>
      </c>
      <c r="QRC27" s="24" t="e">
        <v>#N/A</v>
      </c>
      <c r="QRD27" s="24" t="e">
        <v>#N/A</v>
      </c>
      <c r="QRE27" s="24" t="e">
        <v>#N/A</v>
      </c>
      <c r="QRF27" s="24" t="e">
        <v>#N/A</v>
      </c>
      <c r="QRG27" s="24" t="e">
        <v>#N/A</v>
      </c>
      <c r="QRH27" s="24" t="e">
        <v>#N/A</v>
      </c>
      <c r="QRI27" s="24" t="e">
        <v>#N/A</v>
      </c>
      <c r="QRJ27" s="24" t="e">
        <v>#N/A</v>
      </c>
      <c r="QRK27" s="24" t="e">
        <v>#N/A</v>
      </c>
      <c r="QRL27" s="24" t="e">
        <v>#N/A</v>
      </c>
      <c r="QRM27" s="24" t="e">
        <v>#N/A</v>
      </c>
      <c r="QRN27" s="24" t="e">
        <v>#N/A</v>
      </c>
      <c r="QRO27" s="24" t="e">
        <v>#N/A</v>
      </c>
      <c r="QRP27" s="24" t="e">
        <v>#N/A</v>
      </c>
      <c r="QRQ27" s="24" t="e">
        <v>#N/A</v>
      </c>
      <c r="QRR27" s="24" t="e">
        <v>#N/A</v>
      </c>
      <c r="QRS27" s="24" t="e">
        <v>#N/A</v>
      </c>
      <c r="QRT27" s="24" t="e">
        <v>#N/A</v>
      </c>
      <c r="QRU27" s="24" t="e">
        <v>#N/A</v>
      </c>
      <c r="QRV27" s="24" t="e">
        <v>#N/A</v>
      </c>
      <c r="QRW27" s="24" t="e">
        <v>#N/A</v>
      </c>
      <c r="QRX27" s="24" t="e">
        <v>#N/A</v>
      </c>
      <c r="QRY27" s="24" t="e">
        <v>#N/A</v>
      </c>
      <c r="QRZ27" s="24" t="e">
        <v>#N/A</v>
      </c>
      <c r="QSA27" s="24" t="e">
        <v>#N/A</v>
      </c>
      <c r="QSB27" s="24" t="e">
        <v>#N/A</v>
      </c>
      <c r="QSC27" s="24" t="e">
        <v>#N/A</v>
      </c>
      <c r="QSD27" s="24" t="e">
        <v>#N/A</v>
      </c>
      <c r="QSE27" s="24" t="e">
        <v>#N/A</v>
      </c>
      <c r="QSF27" s="24" t="e">
        <v>#N/A</v>
      </c>
      <c r="QSG27" s="24" t="e">
        <v>#N/A</v>
      </c>
      <c r="QSH27" s="24" t="e">
        <v>#N/A</v>
      </c>
      <c r="QSI27" s="24" t="e">
        <v>#N/A</v>
      </c>
      <c r="QSJ27" s="24" t="e">
        <v>#N/A</v>
      </c>
      <c r="QSK27" s="24" t="e">
        <v>#N/A</v>
      </c>
      <c r="QSL27" s="24" t="e">
        <v>#N/A</v>
      </c>
      <c r="QSM27" s="24" t="e">
        <v>#N/A</v>
      </c>
      <c r="QSN27" s="24" t="e">
        <v>#N/A</v>
      </c>
      <c r="QSO27" s="24" t="e">
        <v>#N/A</v>
      </c>
      <c r="QSP27" s="24" t="e">
        <v>#N/A</v>
      </c>
      <c r="QSQ27" s="24" t="e">
        <v>#N/A</v>
      </c>
      <c r="QSR27" s="24" t="e">
        <v>#N/A</v>
      </c>
      <c r="QSS27" s="24" t="e">
        <v>#N/A</v>
      </c>
      <c r="QST27" s="24" t="e">
        <v>#N/A</v>
      </c>
      <c r="QSU27" s="24" t="e">
        <v>#N/A</v>
      </c>
      <c r="QSV27" s="24" t="e">
        <v>#N/A</v>
      </c>
      <c r="QSW27" s="24" t="e">
        <v>#N/A</v>
      </c>
      <c r="QSX27" s="24" t="e">
        <v>#N/A</v>
      </c>
      <c r="QSY27" s="24" t="e">
        <v>#N/A</v>
      </c>
      <c r="QSZ27" s="24" t="e">
        <v>#N/A</v>
      </c>
      <c r="QTA27" s="24" t="e">
        <v>#N/A</v>
      </c>
      <c r="QTB27" s="24" t="e">
        <v>#N/A</v>
      </c>
      <c r="QTC27" s="24" t="e">
        <v>#N/A</v>
      </c>
      <c r="QTD27" s="24" t="e">
        <v>#N/A</v>
      </c>
      <c r="QTE27" s="24" t="e">
        <v>#N/A</v>
      </c>
      <c r="QTF27" s="24" t="e">
        <v>#N/A</v>
      </c>
      <c r="QTG27" s="24" t="e">
        <v>#N/A</v>
      </c>
      <c r="QTH27" s="24" t="e">
        <v>#N/A</v>
      </c>
      <c r="QTI27" s="24" t="e">
        <v>#N/A</v>
      </c>
      <c r="QTJ27" s="24" t="e">
        <v>#N/A</v>
      </c>
      <c r="QTK27" s="24" t="e">
        <v>#N/A</v>
      </c>
      <c r="QTL27" s="24" t="e">
        <v>#N/A</v>
      </c>
      <c r="QTM27" s="24" t="e">
        <v>#N/A</v>
      </c>
      <c r="QTN27" s="24" t="e">
        <v>#N/A</v>
      </c>
      <c r="QTO27" s="24" t="e">
        <v>#N/A</v>
      </c>
      <c r="QTP27" s="24" t="e">
        <v>#N/A</v>
      </c>
      <c r="QTQ27" s="24" t="e">
        <v>#N/A</v>
      </c>
      <c r="QTR27" s="24" t="e">
        <v>#N/A</v>
      </c>
      <c r="QTS27" s="24" t="e">
        <v>#N/A</v>
      </c>
      <c r="QTT27" s="24" t="e">
        <v>#N/A</v>
      </c>
      <c r="QTU27" s="24" t="e">
        <v>#N/A</v>
      </c>
      <c r="QTV27" s="24" t="e">
        <v>#N/A</v>
      </c>
      <c r="QTW27" s="24" t="e">
        <v>#N/A</v>
      </c>
      <c r="QTX27" s="24" t="e">
        <v>#N/A</v>
      </c>
      <c r="QTY27" s="24" t="e">
        <v>#N/A</v>
      </c>
      <c r="QTZ27" s="24" t="e">
        <v>#N/A</v>
      </c>
      <c r="QUA27" s="24" t="e">
        <v>#N/A</v>
      </c>
      <c r="QUB27" s="24" t="e">
        <v>#N/A</v>
      </c>
      <c r="QUC27" s="24" t="e">
        <v>#N/A</v>
      </c>
      <c r="QUD27" s="24" t="e">
        <v>#N/A</v>
      </c>
      <c r="QUE27" s="24" t="e">
        <v>#N/A</v>
      </c>
      <c r="QUF27" s="24" t="e">
        <v>#N/A</v>
      </c>
      <c r="QUG27" s="24" t="e">
        <v>#N/A</v>
      </c>
      <c r="QUH27" s="24" t="e">
        <v>#N/A</v>
      </c>
      <c r="QUI27" s="24" t="e">
        <v>#N/A</v>
      </c>
      <c r="QUJ27" s="24" t="e">
        <v>#N/A</v>
      </c>
      <c r="QUK27" s="24" t="e">
        <v>#N/A</v>
      </c>
      <c r="QUL27" s="24" t="e">
        <v>#N/A</v>
      </c>
      <c r="QUM27" s="24" t="e">
        <v>#N/A</v>
      </c>
      <c r="QUN27" s="24" t="e">
        <v>#N/A</v>
      </c>
      <c r="QUO27" s="24" t="e">
        <v>#N/A</v>
      </c>
      <c r="QUP27" s="24" t="e">
        <v>#N/A</v>
      </c>
      <c r="QUQ27" s="24" t="e">
        <v>#N/A</v>
      </c>
      <c r="QUR27" s="24" t="e">
        <v>#N/A</v>
      </c>
      <c r="QUS27" s="24" t="e">
        <v>#N/A</v>
      </c>
      <c r="QUT27" s="24" t="e">
        <v>#N/A</v>
      </c>
      <c r="QUU27" s="24" t="e">
        <v>#N/A</v>
      </c>
      <c r="QUV27" s="24" t="e">
        <v>#N/A</v>
      </c>
      <c r="QUW27" s="24" t="e">
        <v>#N/A</v>
      </c>
      <c r="QUX27" s="24" t="e">
        <v>#N/A</v>
      </c>
      <c r="QUY27" s="24" t="e">
        <v>#N/A</v>
      </c>
      <c r="QUZ27" s="24" t="e">
        <v>#N/A</v>
      </c>
      <c r="QVA27" s="24" t="e">
        <v>#N/A</v>
      </c>
      <c r="QVB27" s="24" t="e">
        <v>#N/A</v>
      </c>
      <c r="QVC27" s="24" t="e">
        <v>#N/A</v>
      </c>
      <c r="QVD27" s="24" t="e">
        <v>#N/A</v>
      </c>
      <c r="QVE27" s="24" t="e">
        <v>#N/A</v>
      </c>
      <c r="QVF27" s="24" t="e">
        <v>#N/A</v>
      </c>
      <c r="QVG27" s="24" t="e">
        <v>#N/A</v>
      </c>
      <c r="QVH27" s="24" t="e">
        <v>#N/A</v>
      </c>
      <c r="QVI27" s="24" t="e">
        <v>#N/A</v>
      </c>
      <c r="QVJ27" s="24" t="e">
        <v>#N/A</v>
      </c>
      <c r="QVK27" s="24" t="e">
        <v>#N/A</v>
      </c>
      <c r="QVL27" s="24" t="e">
        <v>#N/A</v>
      </c>
      <c r="QVM27" s="24" t="e">
        <v>#N/A</v>
      </c>
      <c r="QVN27" s="24" t="e">
        <v>#N/A</v>
      </c>
      <c r="QVO27" s="24" t="e">
        <v>#N/A</v>
      </c>
      <c r="QVP27" s="24" t="e">
        <v>#N/A</v>
      </c>
      <c r="QVQ27" s="24" t="e">
        <v>#N/A</v>
      </c>
      <c r="QVR27" s="24" t="e">
        <v>#N/A</v>
      </c>
      <c r="QVS27" s="24" t="e">
        <v>#N/A</v>
      </c>
      <c r="QVT27" s="24" t="e">
        <v>#N/A</v>
      </c>
      <c r="QVU27" s="24" t="e">
        <v>#N/A</v>
      </c>
      <c r="QVV27" s="24" t="e">
        <v>#N/A</v>
      </c>
      <c r="QVW27" s="24" t="e">
        <v>#N/A</v>
      </c>
      <c r="QVX27" s="24" t="e">
        <v>#N/A</v>
      </c>
      <c r="QVY27" s="24" t="e">
        <v>#N/A</v>
      </c>
      <c r="QVZ27" s="24" t="e">
        <v>#N/A</v>
      </c>
      <c r="QWA27" s="24" t="e">
        <v>#N/A</v>
      </c>
      <c r="QWB27" s="24" t="e">
        <v>#N/A</v>
      </c>
      <c r="QWC27" s="24" t="e">
        <v>#N/A</v>
      </c>
      <c r="QWD27" s="24" t="e">
        <v>#N/A</v>
      </c>
      <c r="QWE27" s="24" t="e">
        <v>#N/A</v>
      </c>
      <c r="QWF27" s="24" t="e">
        <v>#N/A</v>
      </c>
      <c r="QWG27" s="24" t="e">
        <v>#N/A</v>
      </c>
      <c r="QWH27" s="24" t="e">
        <v>#N/A</v>
      </c>
      <c r="QWI27" s="24" t="e">
        <v>#N/A</v>
      </c>
      <c r="QWJ27" s="24" t="e">
        <v>#N/A</v>
      </c>
      <c r="QWK27" s="24" t="e">
        <v>#N/A</v>
      </c>
      <c r="QWL27" s="24" t="e">
        <v>#N/A</v>
      </c>
      <c r="QWM27" s="24" t="e">
        <v>#N/A</v>
      </c>
      <c r="QWN27" s="24" t="e">
        <v>#N/A</v>
      </c>
      <c r="QWO27" s="24" t="e">
        <v>#N/A</v>
      </c>
      <c r="QWP27" s="24" t="e">
        <v>#N/A</v>
      </c>
      <c r="QWQ27" s="24" t="e">
        <v>#N/A</v>
      </c>
      <c r="QWR27" s="24" t="e">
        <v>#N/A</v>
      </c>
      <c r="QWS27" s="24" t="e">
        <v>#N/A</v>
      </c>
      <c r="QWT27" s="24" t="e">
        <v>#N/A</v>
      </c>
      <c r="QWU27" s="24" t="e">
        <v>#N/A</v>
      </c>
      <c r="QWV27" s="24" t="e">
        <v>#N/A</v>
      </c>
      <c r="QWW27" s="24" t="e">
        <v>#N/A</v>
      </c>
      <c r="QWX27" s="24" t="e">
        <v>#N/A</v>
      </c>
      <c r="QWY27" s="24" t="e">
        <v>#N/A</v>
      </c>
      <c r="QWZ27" s="24" t="e">
        <v>#N/A</v>
      </c>
      <c r="QXA27" s="24" t="e">
        <v>#N/A</v>
      </c>
      <c r="QXB27" s="24" t="e">
        <v>#N/A</v>
      </c>
      <c r="QXC27" s="24" t="e">
        <v>#N/A</v>
      </c>
      <c r="QXD27" s="24" t="e">
        <v>#N/A</v>
      </c>
      <c r="QXE27" s="24" t="e">
        <v>#N/A</v>
      </c>
      <c r="QXF27" s="24" t="e">
        <v>#N/A</v>
      </c>
      <c r="QXG27" s="24" t="e">
        <v>#N/A</v>
      </c>
      <c r="QXH27" s="24" t="e">
        <v>#N/A</v>
      </c>
      <c r="QXI27" s="24" t="e">
        <v>#N/A</v>
      </c>
      <c r="QXJ27" s="24" t="e">
        <v>#N/A</v>
      </c>
      <c r="QXK27" s="24" t="e">
        <v>#N/A</v>
      </c>
      <c r="QXL27" s="24" t="e">
        <v>#N/A</v>
      </c>
      <c r="QXM27" s="24" t="e">
        <v>#N/A</v>
      </c>
      <c r="QXN27" s="24" t="e">
        <v>#N/A</v>
      </c>
      <c r="QXO27" s="24" t="e">
        <v>#N/A</v>
      </c>
      <c r="QXP27" s="24" t="e">
        <v>#N/A</v>
      </c>
      <c r="QXQ27" s="24" t="e">
        <v>#N/A</v>
      </c>
      <c r="QXR27" s="24" t="e">
        <v>#N/A</v>
      </c>
      <c r="QXS27" s="24" t="e">
        <v>#N/A</v>
      </c>
      <c r="QXT27" s="24" t="e">
        <v>#N/A</v>
      </c>
      <c r="QXU27" s="24" t="e">
        <v>#N/A</v>
      </c>
      <c r="QXV27" s="24" t="e">
        <v>#N/A</v>
      </c>
      <c r="QXW27" s="24" t="e">
        <v>#N/A</v>
      </c>
      <c r="QXX27" s="24" t="e">
        <v>#N/A</v>
      </c>
      <c r="QXY27" s="24" t="e">
        <v>#N/A</v>
      </c>
      <c r="QXZ27" s="24" t="e">
        <v>#N/A</v>
      </c>
      <c r="QYA27" s="24" t="e">
        <v>#N/A</v>
      </c>
      <c r="QYB27" s="24" t="e">
        <v>#N/A</v>
      </c>
      <c r="QYC27" s="24" t="e">
        <v>#N/A</v>
      </c>
      <c r="QYD27" s="24" t="e">
        <v>#N/A</v>
      </c>
      <c r="QYE27" s="24" t="e">
        <v>#N/A</v>
      </c>
      <c r="QYF27" s="24" t="e">
        <v>#N/A</v>
      </c>
      <c r="QYG27" s="24" t="e">
        <v>#N/A</v>
      </c>
      <c r="QYH27" s="24" t="e">
        <v>#N/A</v>
      </c>
      <c r="QYI27" s="24" t="e">
        <v>#N/A</v>
      </c>
      <c r="QYJ27" s="24" t="e">
        <v>#N/A</v>
      </c>
      <c r="QYK27" s="24" t="e">
        <v>#N/A</v>
      </c>
      <c r="QYL27" s="24" t="e">
        <v>#N/A</v>
      </c>
      <c r="QYM27" s="24" t="e">
        <v>#N/A</v>
      </c>
      <c r="QYN27" s="24" t="e">
        <v>#N/A</v>
      </c>
      <c r="QYO27" s="24" t="e">
        <v>#N/A</v>
      </c>
      <c r="QYP27" s="24" t="e">
        <v>#N/A</v>
      </c>
      <c r="QYQ27" s="24" t="e">
        <v>#N/A</v>
      </c>
      <c r="QYR27" s="24" t="e">
        <v>#N/A</v>
      </c>
      <c r="QYS27" s="24" t="e">
        <v>#N/A</v>
      </c>
      <c r="QYT27" s="24" t="e">
        <v>#N/A</v>
      </c>
      <c r="QYU27" s="24" t="e">
        <v>#N/A</v>
      </c>
      <c r="QYV27" s="24" t="e">
        <v>#N/A</v>
      </c>
      <c r="QYW27" s="24" t="e">
        <v>#N/A</v>
      </c>
      <c r="QYX27" s="24" t="e">
        <v>#N/A</v>
      </c>
      <c r="QYY27" s="24" t="e">
        <v>#N/A</v>
      </c>
      <c r="QYZ27" s="24" t="e">
        <v>#N/A</v>
      </c>
      <c r="QZA27" s="24" t="e">
        <v>#N/A</v>
      </c>
      <c r="QZB27" s="24" t="e">
        <v>#N/A</v>
      </c>
      <c r="QZC27" s="24" t="e">
        <v>#N/A</v>
      </c>
      <c r="QZD27" s="24" t="e">
        <v>#N/A</v>
      </c>
      <c r="QZE27" s="24" t="e">
        <v>#N/A</v>
      </c>
      <c r="QZF27" s="24" t="e">
        <v>#N/A</v>
      </c>
      <c r="QZG27" s="24" t="e">
        <v>#N/A</v>
      </c>
      <c r="QZH27" s="24" t="e">
        <v>#N/A</v>
      </c>
      <c r="QZI27" s="24" t="e">
        <v>#N/A</v>
      </c>
      <c r="QZJ27" s="24" t="e">
        <v>#N/A</v>
      </c>
      <c r="QZK27" s="24" t="e">
        <v>#N/A</v>
      </c>
      <c r="QZL27" s="24" t="e">
        <v>#N/A</v>
      </c>
      <c r="QZM27" s="24" t="e">
        <v>#N/A</v>
      </c>
      <c r="QZN27" s="24" t="e">
        <v>#N/A</v>
      </c>
      <c r="QZO27" s="24" t="e">
        <v>#N/A</v>
      </c>
      <c r="QZP27" s="24" t="e">
        <v>#N/A</v>
      </c>
      <c r="QZQ27" s="24" t="e">
        <v>#N/A</v>
      </c>
      <c r="QZR27" s="24" t="e">
        <v>#N/A</v>
      </c>
      <c r="QZS27" s="24" t="e">
        <v>#N/A</v>
      </c>
      <c r="QZT27" s="24" t="e">
        <v>#N/A</v>
      </c>
      <c r="QZU27" s="24" t="e">
        <v>#N/A</v>
      </c>
      <c r="QZV27" s="24" t="e">
        <v>#N/A</v>
      </c>
      <c r="QZW27" s="24" t="e">
        <v>#N/A</v>
      </c>
      <c r="QZX27" s="24" t="e">
        <v>#N/A</v>
      </c>
      <c r="QZY27" s="24" t="e">
        <v>#N/A</v>
      </c>
      <c r="QZZ27" s="24" t="e">
        <v>#N/A</v>
      </c>
      <c r="RAA27" s="24" t="e">
        <v>#N/A</v>
      </c>
      <c r="RAB27" s="24" t="e">
        <v>#N/A</v>
      </c>
      <c r="RAC27" s="24" t="e">
        <v>#N/A</v>
      </c>
      <c r="RAD27" s="24" t="e">
        <v>#N/A</v>
      </c>
      <c r="RAE27" s="24" t="e">
        <v>#N/A</v>
      </c>
      <c r="RAF27" s="24" t="e">
        <v>#N/A</v>
      </c>
      <c r="RAG27" s="24" t="e">
        <v>#N/A</v>
      </c>
      <c r="RAH27" s="24" t="e">
        <v>#N/A</v>
      </c>
      <c r="RAI27" s="24" t="e">
        <v>#N/A</v>
      </c>
      <c r="RAJ27" s="24" t="e">
        <v>#N/A</v>
      </c>
      <c r="RAK27" s="24" t="e">
        <v>#N/A</v>
      </c>
      <c r="RAL27" s="24" t="e">
        <v>#N/A</v>
      </c>
      <c r="RAM27" s="24" t="e">
        <v>#N/A</v>
      </c>
      <c r="RAN27" s="24" t="e">
        <v>#N/A</v>
      </c>
      <c r="RAO27" s="24" t="e">
        <v>#N/A</v>
      </c>
      <c r="RAP27" s="24" t="e">
        <v>#N/A</v>
      </c>
      <c r="RAQ27" s="24" t="e">
        <v>#N/A</v>
      </c>
      <c r="RAR27" s="24" t="e">
        <v>#N/A</v>
      </c>
      <c r="RAS27" s="24" t="e">
        <v>#N/A</v>
      </c>
      <c r="RAT27" s="24" t="e">
        <v>#N/A</v>
      </c>
      <c r="RAU27" s="24" t="e">
        <v>#N/A</v>
      </c>
      <c r="RAV27" s="24" t="e">
        <v>#N/A</v>
      </c>
      <c r="RAW27" s="24" t="e">
        <v>#N/A</v>
      </c>
      <c r="RAX27" s="24" t="e">
        <v>#N/A</v>
      </c>
      <c r="RAY27" s="24" t="e">
        <v>#N/A</v>
      </c>
      <c r="RAZ27" s="24" t="e">
        <v>#N/A</v>
      </c>
      <c r="RBA27" s="24" t="e">
        <v>#N/A</v>
      </c>
      <c r="RBB27" s="24" t="e">
        <v>#N/A</v>
      </c>
      <c r="RBC27" s="24" t="e">
        <v>#N/A</v>
      </c>
      <c r="RBD27" s="24" t="e">
        <v>#N/A</v>
      </c>
      <c r="RBE27" s="24" t="e">
        <v>#N/A</v>
      </c>
      <c r="RBF27" s="24" t="e">
        <v>#N/A</v>
      </c>
      <c r="RBG27" s="24" t="e">
        <v>#N/A</v>
      </c>
      <c r="RBH27" s="24" t="e">
        <v>#N/A</v>
      </c>
      <c r="RBI27" s="24" t="e">
        <v>#N/A</v>
      </c>
      <c r="RBJ27" s="24" t="e">
        <v>#N/A</v>
      </c>
      <c r="RBK27" s="24" t="e">
        <v>#N/A</v>
      </c>
      <c r="RBL27" s="24" t="e">
        <v>#N/A</v>
      </c>
      <c r="RBM27" s="24" t="e">
        <v>#N/A</v>
      </c>
      <c r="RBN27" s="24" t="e">
        <v>#N/A</v>
      </c>
      <c r="RBO27" s="24" t="e">
        <v>#N/A</v>
      </c>
      <c r="RBP27" s="24" t="e">
        <v>#N/A</v>
      </c>
      <c r="RBQ27" s="24" t="e">
        <v>#N/A</v>
      </c>
      <c r="RBR27" s="24" t="e">
        <v>#N/A</v>
      </c>
      <c r="RBS27" s="24" t="e">
        <v>#N/A</v>
      </c>
      <c r="RBT27" s="24" t="e">
        <v>#N/A</v>
      </c>
      <c r="RBU27" s="24" t="e">
        <v>#N/A</v>
      </c>
      <c r="RBV27" s="24" t="e">
        <v>#N/A</v>
      </c>
      <c r="RBW27" s="24" t="e">
        <v>#N/A</v>
      </c>
      <c r="RBX27" s="24" t="e">
        <v>#N/A</v>
      </c>
      <c r="RBY27" s="24" t="e">
        <v>#N/A</v>
      </c>
      <c r="RBZ27" s="24" t="e">
        <v>#N/A</v>
      </c>
      <c r="RCA27" s="24" t="e">
        <v>#N/A</v>
      </c>
      <c r="RCB27" s="24" t="e">
        <v>#N/A</v>
      </c>
      <c r="RCC27" s="24" t="e">
        <v>#N/A</v>
      </c>
      <c r="RCD27" s="24" t="e">
        <v>#N/A</v>
      </c>
      <c r="RCE27" s="24" t="e">
        <v>#N/A</v>
      </c>
      <c r="RCF27" s="24" t="e">
        <v>#N/A</v>
      </c>
      <c r="RCG27" s="24" t="e">
        <v>#N/A</v>
      </c>
      <c r="RCH27" s="24" t="e">
        <v>#N/A</v>
      </c>
      <c r="RCI27" s="24" t="e">
        <v>#N/A</v>
      </c>
      <c r="RCJ27" s="24" t="e">
        <v>#N/A</v>
      </c>
      <c r="RCK27" s="24" t="e">
        <v>#N/A</v>
      </c>
      <c r="RCL27" s="24" t="e">
        <v>#N/A</v>
      </c>
      <c r="RCM27" s="24" t="e">
        <v>#N/A</v>
      </c>
      <c r="RCN27" s="24" t="e">
        <v>#N/A</v>
      </c>
      <c r="RCO27" s="24" t="e">
        <v>#N/A</v>
      </c>
      <c r="RCP27" s="24" t="e">
        <v>#N/A</v>
      </c>
      <c r="RCQ27" s="24" t="e">
        <v>#N/A</v>
      </c>
      <c r="RCR27" s="24" t="e">
        <v>#N/A</v>
      </c>
      <c r="RCS27" s="24" t="e">
        <v>#N/A</v>
      </c>
      <c r="RCT27" s="24" t="e">
        <v>#N/A</v>
      </c>
      <c r="RCU27" s="24" t="e">
        <v>#N/A</v>
      </c>
      <c r="RCV27" s="24" t="e">
        <v>#N/A</v>
      </c>
      <c r="RCW27" s="24" t="e">
        <v>#N/A</v>
      </c>
      <c r="RCX27" s="24" t="e">
        <v>#N/A</v>
      </c>
      <c r="RCY27" s="24" t="e">
        <v>#N/A</v>
      </c>
      <c r="RCZ27" s="24" t="e">
        <v>#N/A</v>
      </c>
      <c r="RDA27" s="24" t="e">
        <v>#N/A</v>
      </c>
      <c r="RDB27" s="24" t="e">
        <v>#N/A</v>
      </c>
      <c r="RDC27" s="24" t="e">
        <v>#N/A</v>
      </c>
      <c r="RDD27" s="24" t="e">
        <v>#N/A</v>
      </c>
      <c r="RDE27" s="24" t="e">
        <v>#N/A</v>
      </c>
      <c r="RDF27" s="24" t="e">
        <v>#N/A</v>
      </c>
      <c r="RDG27" s="24" t="e">
        <v>#N/A</v>
      </c>
      <c r="RDH27" s="24" t="e">
        <v>#N/A</v>
      </c>
      <c r="RDI27" s="24" t="e">
        <v>#N/A</v>
      </c>
      <c r="RDJ27" s="24" t="e">
        <v>#N/A</v>
      </c>
      <c r="RDK27" s="24" t="e">
        <v>#N/A</v>
      </c>
      <c r="RDL27" s="24" t="e">
        <v>#N/A</v>
      </c>
      <c r="RDM27" s="24" t="e">
        <v>#N/A</v>
      </c>
      <c r="RDN27" s="24" t="e">
        <v>#N/A</v>
      </c>
      <c r="RDO27" s="24" t="e">
        <v>#N/A</v>
      </c>
      <c r="RDP27" s="24" t="e">
        <v>#N/A</v>
      </c>
      <c r="RDQ27" s="24" t="e">
        <v>#N/A</v>
      </c>
      <c r="RDR27" s="24" t="e">
        <v>#N/A</v>
      </c>
      <c r="RDS27" s="24" t="e">
        <v>#N/A</v>
      </c>
      <c r="RDT27" s="24" t="e">
        <v>#N/A</v>
      </c>
      <c r="RDU27" s="24" t="e">
        <v>#N/A</v>
      </c>
      <c r="RDV27" s="24" t="e">
        <v>#N/A</v>
      </c>
      <c r="RDW27" s="24" t="e">
        <v>#N/A</v>
      </c>
      <c r="RDX27" s="24" t="e">
        <v>#N/A</v>
      </c>
      <c r="RDY27" s="24" t="e">
        <v>#N/A</v>
      </c>
      <c r="RDZ27" s="24" t="e">
        <v>#N/A</v>
      </c>
      <c r="REA27" s="24" t="e">
        <v>#N/A</v>
      </c>
      <c r="REB27" s="24" t="e">
        <v>#N/A</v>
      </c>
      <c r="REC27" s="24" t="e">
        <v>#N/A</v>
      </c>
      <c r="RED27" s="24" t="e">
        <v>#N/A</v>
      </c>
      <c r="REE27" s="24" t="e">
        <v>#N/A</v>
      </c>
      <c r="REF27" s="24" t="e">
        <v>#N/A</v>
      </c>
      <c r="REG27" s="24" t="e">
        <v>#N/A</v>
      </c>
      <c r="REH27" s="24" t="e">
        <v>#N/A</v>
      </c>
      <c r="REI27" s="24" t="e">
        <v>#N/A</v>
      </c>
      <c r="REJ27" s="24" t="e">
        <v>#N/A</v>
      </c>
      <c r="REK27" s="24" t="e">
        <v>#N/A</v>
      </c>
      <c r="REL27" s="24" t="e">
        <v>#N/A</v>
      </c>
      <c r="REM27" s="24" t="e">
        <v>#N/A</v>
      </c>
      <c r="REN27" s="24" t="e">
        <v>#N/A</v>
      </c>
      <c r="REO27" s="24" t="e">
        <v>#N/A</v>
      </c>
      <c r="REP27" s="24" t="e">
        <v>#N/A</v>
      </c>
      <c r="REQ27" s="24" t="e">
        <v>#N/A</v>
      </c>
      <c r="RER27" s="24" t="e">
        <v>#N/A</v>
      </c>
      <c r="RES27" s="24" t="e">
        <v>#N/A</v>
      </c>
      <c r="RET27" s="24" t="e">
        <v>#N/A</v>
      </c>
      <c r="REU27" s="24" t="e">
        <v>#N/A</v>
      </c>
      <c r="REV27" s="24" t="e">
        <v>#N/A</v>
      </c>
      <c r="REW27" s="24" t="e">
        <v>#N/A</v>
      </c>
      <c r="REX27" s="24" t="e">
        <v>#N/A</v>
      </c>
      <c r="REY27" s="24" t="e">
        <v>#N/A</v>
      </c>
      <c r="REZ27" s="24" t="e">
        <v>#N/A</v>
      </c>
      <c r="RFA27" s="24" t="e">
        <v>#N/A</v>
      </c>
      <c r="RFB27" s="24" t="e">
        <v>#N/A</v>
      </c>
      <c r="RFC27" s="24" t="e">
        <v>#N/A</v>
      </c>
      <c r="RFD27" s="24" t="e">
        <v>#N/A</v>
      </c>
      <c r="RFE27" s="24" t="e">
        <v>#N/A</v>
      </c>
      <c r="RFF27" s="24" t="e">
        <v>#N/A</v>
      </c>
      <c r="RFG27" s="24" t="e">
        <v>#N/A</v>
      </c>
      <c r="RFH27" s="24" t="e">
        <v>#N/A</v>
      </c>
      <c r="RFI27" s="24" t="e">
        <v>#N/A</v>
      </c>
      <c r="RFJ27" s="24" t="e">
        <v>#N/A</v>
      </c>
      <c r="RFK27" s="24" t="e">
        <v>#N/A</v>
      </c>
      <c r="RFL27" s="24" t="e">
        <v>#N/A</v>
      </c>
      <c r="RFM27" s="24" t="e">
        <v>#N/A</v>
      </c>
      <c r="RFN27" s="24" t="e">
        <v>#N/A</v>
      </c>
      <c r="RFO27" s="24" t="e">
        <v>#N/A</v>
      </c>
      <c r="RFP27" s="24" t="e">
        <v>#N/A</v>
      </c>
      <c r="RFQ27" s="24" t="e">
        <v>#N/A</v>
      </c>
      <c r="RFR27" s="24" t="e">
        <v>#N/A</v>
      </c>
      <c r="RFS27" s="24" t="e">
        <v>#N/A</v>
      </c>
      <c r="RFT27" s="24" t="e">
        <v>#N/A</v>
      </c>
      <c r="RFU27" s="24" t="e">
        <v>#N/A</v>
      </c>
      <c r="RFV27" s="24" t="e">
        <v>#N/A</v>
      </c>
      <c r="RFW27" s="24" t="e">
        <v>#N/A</v>
      </c>
      <c r="RFX27" s="24" t="e">
        <v>#N/A</v>
      </c>
      <c r="RFY27" s="24" t="e">
        <v>#N/A</v>
      </c>
      <c r="RFZ27" s="24" t="e">
        <v>#N/A</v>
      </c>
      <c r="RGA27" s="24" t="e">
        <v>#N/A</v>
      </c>
      <c r="RGB27" s="24" t="e">
        <v>#N/A</v>
      </c>
      <c r="RGC27" s="24" t="e">
        <v>#N/A</v>
      </c>
      <c r="RGD27" s="24" t="e">
        <v>#N/A</v>
      </c>
      <c r="RGE27" s="24" t="e">
        <v>#N/A</v>
      </c>
      <c r="RGF27" s="24" t="e">
        <v>#N/A</v>
      </c>
      <c r="RGG27" s="24" t="e">
        <v>#N/A</v>
      </c>
      <c r="RGH27" s="24" t="e">
        <v>#N/A</v>
      </c>
      <c r="RGI27" s="24" t="e">
        <v>#N/A</v>
      </c>
      <c r="RGJ27" s="24" t="e">
        <v>#N/A</v>
      </c>
      <c r="RGK27" s="24" t="e">
        <v>#N/A</v>
      </c>
      <c r="RGL27" s="24" t="e">
        <v>#N/A</v>
      </c>
      <c r="RGM27" s="24" t="e">
        <v>#N/A</v>
      </c>
      <c r="RGN27" s="24" t="e">
        <v>#N/A</v>
      </c>
      <c r="RGO27" s="24" t="e">
        <v>#N/A</v>
      </c>
      <c r="RGP27" s="24" t="e">
        <v>#N/A</v>
      </c>
      <c r="RGQ27" s="24" t="e">
        <v>#N/A</v>
      </c>
      <c r="RGR27" s="24" t="e">
        <v>#N/A</v>
      </c>
      <c r="RGS27" s="24" t="e">
        <v>#N/A</v>
      </c>
      <c r="RGT27" s="24" t="e">
        <v>#N/A</v>
      </c>
      <c r="RGU27" s="24" t="e">
        <v>#N/A</v>
      </c>
      <c r="RGV27" s="24" t="e">
        <v>#N/A</v>
      </c>
      <c r="RGW27" s="24" t="e">
        <v>#N/A</v>
      </c>
      <c r="RGX27" s="24" t="e">
        <v>#N/A</v>
      </c>
      <c r="RGY27" s="24" t="e">
        <v>#N/A</v>
      </c>
      <c r="RGZ27" s="24" t="e">
        <v>#N/A</v>
      </c>
      <c r="RHA27" s="24" t="e">
        <v>#N/A</v>
      </c>
      <c r="RHB27" s="24" t="e">
        <v>#N/A</v>
      </c>
      <c r="RHC27" s="24" t="e">
        <v>#N/A</v>
      </c>
      <c r="RHD27" s="24" t="e">
        <v>#N/A</v>
      </c>
      <c r="RHE27" s="24" t="e">
        <v>#N/A</v>
      </c>
      <c r="RHF27" s="24" t="e">
        <v>#N/A</v>
      </c>
      <c r="RHG27" s="24" t="e">
        <v>#N/A</v>
      </c>
      <c r="RHH27" s="24" t="e">
        <v>#N/A</v>
      </c>
      <c r="RHI27" s="24" t="e">
        <v>#N/A</v>
      </c>
      <c r="RHJ27" s="24" t="e">
        <v>#N/A</v>
      </c>
      <c r="RHK27" s="24" t="e">
        <v>#N/A</v>
      </c>
      <c r="RHL27" s="24" t="e">
        <v>#N/A</v>
      </c>
      <c r="RHM27" s="24" t="e">
        <v>#N/A</v>
      </c>
      <c r="RHN27" s="24" t="e">
        <v>#N/A</v>
      </c>
      <c r="RHO27" s="24" t="e">
        <v>#N/A</v>
      </c>
      <c r="RHP27" s="24" t="e">
        <v>#N/A</v>
      </c>
      <c r="RHQ27" s="24" t="e">
        <v>#N/A</v>
      </c>
      <c r="RHR27" s="24" t="e">
        <v>#N/A</v>
      </c>
      <c r="RHS27" s="24" t="e">
        <v>#N/A</v>
      </c>
      <c r="RHT27" s="24" t="e">
        <v>#N/A</v>
      </c>
      <c r="RHU27" s="24" t="e">
        <v>#N/A</v>
      </c>
      <c r="RHV27" s="24" t="e">
        <v>#N/A</v>
      </c>
      <c r="RHW27" s="24" t="e">
        <v>#N/A</v>
      </c>
      <c r="RHX27" s="24" t="e">
        <v>#N/A</v>
      </c>
      <c r="RHY27" s="24" t="e">
        <v>#N/A</v>
      </c>
      <c r="RHZ27" s="24" t="e">
        <v>#N/A</v>
      </c>
      <c r="RIA27" s="24" t="e">
        <v>#N/A</v>
      </c>
      <c r="RIB27" s="24" t="e">
        <v>#N/A</v>
      </c>
      <c r="RIC27" s="24" t="e">
        <v>#N/A</v>
      </c>
      <c r="RID27" s="24" t="e">
        <v>#N/A</v>
      </c>
      <c r="RIE27" s="24" t="e">
        <v>#N/A</v>
      </c>
      <c r="RIF27" s="24" t="e">
        <v>#N/A</v>
      </c>
      <c r="RIG27" s="24" t="e">
        <v>#N/A</v>
      </c>
      <c r="RIH27" s="24" t="e">
        <v>#N/A</v>
      </c>
      <c r="RII27" s="24" t="e">
        <v>#N/A</v>
      </c>
      <c r="RIJ27" s="24" t="e">
        <v>#N/A</v>
      </c>
      <c r="RIK27" s="24" t="e">
        <v>#N/A</v>
      </c>
      <c r="RIL27" s="24" t="e">
        <v>#N/A</v>
      </c>
      <c r="RIM27" s="24" t="e">
        <v>#N/A</v>
      </c>
      <c r="RIN27" s="24" t="e">
        <v>#N/A</v>
      </c>
      <c r="RIO27" s="24" t="e">
        <v>#N/A</v>
      </c>
      <c r="RIP27" s="24" t="e">
        <v>#N/A</v>
      </c>
      <c r="RIQ27" s="24" t="e">
        <v>#N/A</v>
      </c>
      <c r="RIR27" s="24" t="e">
        <v>#N/A</v>
      </c>
      <c r="RIS27" s="24" t="e">
        <v>#N/A</v>
      </c>
      <c r="RIT27" s="24" t="e">
        <v>#N/A</v>
      </c>
      <c r="RIU27" s="24" t="e">
        <v>#N/A</v>
      </c>
      <c r="RIV27" s="24" t="e">
        <v>#N/A</v>
      </c>
      <c r="RIW27" s="24" t="e">
        <v>#N/A</v>
      </c>
      <c r="RIX27" s="24" t="e">
        <v>#N/A</v>
      </c>
      <c r="RIY27" s="24" t="e">
        <v>#N/A</v>
      </c>
      <c r="RIZ27" s="24" t="e">
        <v>#N/A</v>
      </c>
      <c r="RJA27" s="24" t="e">
        <v>#N/A</v>
      </c>
      <c r="RJB27" s="24" t="e">
        <v>#N/A</v>
      </c>
      <c r="RJC27" s="24" t="e">
        <v>#N/A</v>
      </c>
      <c r="RJD27" s="24" t="e">
        <v>#N/A</v>
      </c>
      <c r="RJE27" s="24" t="e">
        <v>#N/A</v>
      </c>
      <c r="RJF27" s="24" t="e">
        <v>#N/A</v>
      </c>
      <c r="RJG27" s="24" t="e">
        <v>#N/A</v>
      </c>
      <c r="RJH27" s="24" t="e">
        <v>#N/A</v>
      </c>
      <c r="RJI27" s="24" t="e">
        <v>#N/A</v>
      </c>
      <c r="RJJ27" s="24" t="e">
        <v>#N/A</v>
      </c>
      <c r="RJK27" s="24" t="e">
        <v>#N/A</v>
      </c>
      <c r="RJL27" s="24" t="e">
        <v>#N/A</v>
      </c>
      <c r="RJM27" s="24" t="e">
        <v>#N/A</v>
      </c>
      <c r="RJN27" s="24" t="e">
        <v>#N/A</v>
      </c>
      <c r="RJO27" s="24" t="e">
        <v>#N/A</v>
      </c>
      <c r="RJP27" s="24" t="e">
        <v>#N/A</v>
      </c>
      <c r="RJQ27" s="24" t="e">
        <v>#N/A</v>
      </c>
      <c r="RJR27" s="24" t="e">
        <v>#N/A</v>
      </c>
      <c r="RJS27" s="24" t="e">
        <v>#N/A</v>
      </c>
      <c r="RJT27" s="24" t="e">
        <v>#N/A</v>
      </c>
      <c r="RJU27" s="24" t="e">
        <v>#N/A</v>
      </c>
      <c r="RJV27" s="24" t="e">
        <v>#N/A</v>
      </c>
      <c r="RJW27" s="24" t="e">
        <v>#N/A</v>
      </c>
      <c r="RJX27" s="24" t="e">
        <v>#N/A</v>
      </c>
      <c r="RJY27" s="24" t="e">
        <v>#N/A</v>
      </c>
      <c r="RJZ27" s="24" t="e">
        <v>#N/A</v>
      </c>
      <c r="RKA27" s="24" t="e">
        <v>#N/A</v>
      </c>
      <c r="RKB27" s="24" t="e">
        <v>#N/A</v>
      </c>
      <c r="RKC27" s="24" t="e">
        <v>#N/A</v>
      </c>
      <c r="RKD27" s="24" t="e">
        <v>#N/A</v>
      </c>
      <c r="RKE27" s="24" t="e">
        <v>#N/A</v>
      </c>
      <c r="RKF27" s="24" t="e">
        <v>#N/A</v>
      </c>
      <c r="RKG27" s="24" t="e">
        <v>#N/A</v>
      </c>
      <c r="RKH27" s="24" t="e">
        <v>#N/A</v>
      </c>
      <c r="RKI27" s="24" t="e">
        <v>#N/A</v>
      </c>
      <c r="RKJ27" s="24" t="e">
        <v>#N/A</v>
      </c>
      <c r="RKK27" s="24" t="e">
        <v>#N/A</v>
      </c>
      <c r="RKL27" s="24" t="e">
        <v>#N/A</v>
      </c>
      <c r="RKM27" s="24" t="e">
        <v>#N/A</v>
      </c>
      <c r="RKN27" s="24" t="e">
        <v>#N/A</v>
      </c>
      <c r="RKO27" s="24" t="e">
        <v>#N/A</v>
      </c>
      <c r="RKP27" s="24" t="e">
        <v>#N/A</v>
      </c>
      <c r="RKQ27" s="24" t="e">
        <v>#N/A</v>
      </c>
      <c r="RKR27" s="24" t="e">
        <v>#N/A</v>
      </c>
      <c r="RKS27" s="24" t="e">
        <v>#N/A</v>
      </c>
      <c r="RKT27" s="24" t="e">
        <v>#N/A</v>
      </c>
      <c r="RKU27" s="24" t="e">
        <v>#N/A</v>
      </c>
      <c r="RKV27" s="24" t="e">
        <v>#N/A</v>
      </c>
      <c r="RKW27" s="24" t="e">
        <v>#N/A</v>
      </c>
      <c r="RKX27" s="24" t="e">
        <v>#N/A</v>
      </c>
      <c r="RKY27" s="24" t="e">
        <v>#N/A</v>
      </c>
      <c r="RKZ27" s="24" t="e">
        <v>#N/A</v>
      </c>
      <c r="RLA27" s="24" t="e">
        <v>#N/A</v>
      </c>
      <c r="RLB27" s="24" t="e">
        <v>#N/A</v>
      </c>
      <c r="RLC27" s="24" t="e">
        <v>#N/A</v>
      </c>
      <c r="RLD27" s="24" t="e">
        <v>#N/A</v>
      </c>
      <c r="RLE27" s="24" t="e">
        <v>#N/A</v>
      </c>
      <c r="RLF27" s="24" t="e">
        <v>#N/A</v>
      </c>
      <c r="RLG27" s="24" t="e">
        <v>#N/A</v>
      </c>
      <c r="RLH27" s="24" t="e">
        <v>#N/A</v>
      </c>
      <c r="RLI27" s="24" t="e">
        <v>#N/A</v>
      </c>
      <c r="RLJ27" s="24" t="e">
        <v>#N/A</v>
      </c>
      <c r="RLK27" s="24" t="e">
        <v>#N/A</v>
      </c>
      <c r="RLL27" s="24" t="e">
        <v>#N/A</v>
      </c>
      <c r="RLM27" s="24" t="e">
        <v>#N/A</v>
      </c>
      <c r="RLN27" s="24" t="e">
        <v>#N/A</v>
      </c>
      <c r="RLO27" s="24" t="e">
        <v>#N/A</v>
      </c>
      <c r="RLP27" s="24" t="e">
        <v>#N/A</v>
      </c>
      <c r="RLQ27" s="24" t="e">
        <v>#N/A</v>
      </c>
      <c r="RLR27" s="24" t="e">
        <v>#N/A</v>
      </c>
      <c r="RLS27" s="24" t="e">
        <v>#N/A</v>
      </c>
      <c r="RLT27" s="24" t="e">
        <v>#N/A</v>
      </c>
      <c r="RLU27" s="24" t="e">
        <v>#N/A</v>
      </c>
      <c r="RLV27" s="24" t="e">
        <v>#N/A</v>
      </c>
      <c r="RLW27" s="24" t="e">
        <v>#N/A</v>
      </c>
      <c r="RLX27" s="24" t="e">
        <v>#N/A</v>
      </c>
      <c r="RLY27" s="24" t="e">
        <v>#N/A</v>
      </c>
      <c r="RLZ27" s="24" t="e">
        <v>#N/A</v>
      </c>
      <c r="RMA27" s="24" t="e">
        <v>#N/A</v>
      </c>
      <c r="RMB27" s="24" t="e">
        <v>#N/A</v>
      </c>
      <c r="RMC27" s="24" t="e">
        <v>#N/A</v>
      </c>
      <c r="RMD27" s="24" t="e">
        <v>#N/A</v>
      </c>
      <c r="RME27" s="24" t="e">
        <v>#N/A</v>
      </c>
      <c r="RMF27" s="24" t="e">
        <v>#N/A</v>
      </c>
      <c r="RMG27" s="24" t="e">
        <v>#N/A</v>
      </c>
      <c r="RMH27" s="24" t="e">
        <v>#N/A</v>
      </c>
      <c r="RMI27" s="24" t="e">
        <v>#N/A</v>
      </c>
      <c r="RMJ27" s="24" t="e">
        <v>#N/A</v>
      </c>
      <c r="RMK27" s="24" t="e">
        <v>#N/A</v>
      </c>
      <c r="RML27" s="24" t="e">
        <v>#N/A</v>
      </c>
      <c r="RMM27" s="24" t="e">
        <v>#N/A</v>
      </c>
      <c r="RMN27" s="24" t="e">
        <v>#N/A</v>
      </c>
      <c r="RMO27" s="24" t="e">
        <v>#N/A</v>
      </c>
      <c r="RMP27" s="24" t="e">
        <v>#N/A</v>
      </c>
      <c r="RMQ27" s="24" t="e">
        <v>#N/A</v>
      </c>
      <c r="RMR27" s="24" t="e">
        <v>#N/A</v>
      </c>
      <c r="RMS27" s="24" t="e">
        <v>#N/A</v>
      </c>
      <c r="RMT27" s="24" t="e">
        <v>#N/A</v>
      </c>
      <c r="RMU27" s="24" t="e">
        <v>#N/A</v>
      </c>
      <c r="RMV27" s="24" t="e">
        <v>#N/A</v>
      </c>
      <c r="RMW27" s="24" t="e">
        <v>#N/A</v>
      </c>
      <c r="RMX27" s="24" t="e">
        <v>#N/A</v>
      </c>
      <c r="RMY27" s="24" t="e">
        <v>#N/A</v>
      </c>
      <c r="RMZ27" s="24" t="e">
        <v>#N/A</v>
      </c>
      <c r="RNA27" s="24" t="e">
        <v>#N/A</v>
      </c>
      <c r="RNB27" s="24" t="e">
        <v>#N/A</v>
      </c>
      <c r="RNC27" s="24" t="e">
        <v>#N/A</v>
      </c>
      <c r="RND27" s="24" t="e">
        <v>#N/A</v>
      </c>
      <c r="RNE27" s="24" t="e">
        <v>#N/A</v>
      </c>
      <c r="RNF27" s="24" t="e">
        <v>#N/A</v>
      </c>
      <c r="RNG27" s="24" t="e">
        <v>#N/A</v>
      </c>
      <c r="RNH27" s="24" t="e">
        <v>#N/A</v>
      </c>
      <c r="RNI27" s="24" t="e">
        <v>#N/A</v>
      </c>
      <c r="RNJ27" s="24" t="e">
        <v>#N/A</v>
      </c>
      <c r="RNK27" s="24" t="e">
        <v>#N/A</v>
      </c>
      <c r="RNL27" s="24" t="e">
        <v>#N/A</v>
      </c>
      <c r="RNM27" s="24" t="e">
        <v>#N/A</v>
      </c>
      <c r="RNN27" s="24" t="e">
        <v>#N/A</v>
      </c>
      <c r="RNO27" s="24" t="e">
        <v>#N/A</v>
      </c>
      <c r="RNP27" s="24" t="e">
        <v>#N/A</v>
      </c>
      <c r="RNQ27" s="24" t="e">
        <v>#N/A</v>
      </c>
      <c r="RNR27" s="24" t="e">
        <v>#N/A</v>
      </c>
      <c r="RNS27" s="24" t="e">
        <v>#N/A</v>
      </c>
      <c r="RNT27" s="24" t="e">
        <v>#N/A</v>
      </c>
      <c r="RNU27" s="24" t="e">
        <v>#N/A</v>
      </c>
      <c r="RNV27" s="24" t="e">
        <v>#N/A</v>
      </c>
      <c r="RNW27" s="24" t="e">
        <v>#N/A</v>
      </c>
      <c r="RNX27" s="24" t="e">
        <v>#N/A</v>
      </c>
      <c r="RNY27" s="24" t="e">
        <v>#N/A</v>
      </c>
      <c r="RNZ27" s="24" t="e">
        <v>#N/A</v>
      </c>
      <c r="ROA27" s="24" t="e">
        <v>#N/A</v>
      </c>
      <c r="ROB27" s="24" t="e">
        <v>#N/A</v>
      </c>
      <c r="ROC27" s="24" t="e">
        <v>#N/A</v>
      </c>
      <c r="ROD27" s="24" t="e">
        <v>#N/A</v>
      </c>
      <c r="ROE27" s="24" t="e">
        <v>#N/A</v>
      </c>
      <c r="ROF27" s="24" t="e">
        <v>#N/A</v>
      </c>
      <c r="ROG27" s="24" t="e">
        <v>#N/A</v>
      </c>
      <c r="ROH27" s="24" t="e">
        <v>#N/A</v>
      </c>
      <c r="ROI27" s="24" t="e">
        <v>#N/A</v>
      </c>
      <c r="ROJ27" s="24" t="e">
        <v>#N/A</v>
      </c>
      <c r="ROK27" s="24" t="e">
        <v>#N/A</v>
      </c>
      <c r="ROL27" s="24" t="e">
        <v>#N/A</v>
      </c>
      <c r="ROM27" s="24" t="e">
        <v>#N/A</v>
      </c>
      <c r="RON27" s="24" t="e">
        <v>#N/A</v>
      </c>
      <c r="ROO27" s="24" t="e">
        <v>#N/A</v>
      </c>
      <c r="ROP27" s="24" t="e">
        <v>#N/A</v>
      </c>
      <c r="ROQ27" s="24" t="e">
        <v>#N/A</v>
      </c>
      <c r="ROR27" s="24" t="e">
        <v>#N/A</v>
      </c>
      <c r="ROS27" s="24" t="e">
        <v>#N/A</v>
      </c>
      <c r="ROT27" s="24" t="e">
        <v>#N/A</v>
      </c>
      <c r="ROU27" s="24" t="e">
        <v>#N/A</v>
      </c>
      <c r="ROV27" s="24" t="e">
        <v>#N/A</v>
      </c>
      <c r="ROW27" s="24" t="e">
        <v>#N/A</v>
      </c>
      <c r="ROX27" s="24" t="e">
        <v>#N/A</v>
      </c>
      <c r="ROY27" s="24" t="e">
        <v>#N/A</v>
      </c>
      <c r="ROZ27" s="24" t="e">
        <v>#N/A</v>
      </c>
      <c r="RPA27" s="24" t="e">
        <v>#N/A</v>
      </c>
      <c r="RPB27" s="24" t="e">
        <v>#N/A</v>
      </c>
      <c r="RPC27" s="24" t="e">
        <v>#N/A</v>
      </c>
      <c r="RPD27" s="24" t="e">
        <v>#N/A</v>
      </c>
      <c r="RPE27" s="24" t="e">
        <v>#N/A</v>
      </c>
      <c r="RPF27" s="24" t="e">
        <v>#N/A</v>
      </c>
      <c r="RPG27" s="24" t="e">
        <v>#N/A</v>
      </c>
      <c r="RPH27" s="24" t="e">
        <v>#N/A</v>
      </c>
      <c r="RPI27" s="24" t="e">
        <v>#N/A</v>
      </c>
      <c r="RPJ27" s="24" t="e">
        <v>#N/A</v>
      </c>
      <c r="RPK27" s="24" t="e">
        <v>#N/A</v>
      </c>
      <c r="RPL27" s="24" t="e">
        <v>#N/A</v>
      </c>
      <c r="RPM27" s="24" t="e">
        <v>#N/A</v>
      </c>
      <c r="RPN27" s="24" t="e">
        <v>#N/A</v>
      </c>
      <c r="RPO27" s="24" t="e">
        <v>#N/A</v>
      </c>
      <c r="RPP27" s="24" t="e">
        <v>#N/A</v>
      </c>
      <c r="RPQ27" s="24" t="e">
        <v>#N/A</v>
      </c>
      <c r="RPR27" s="24" t="e">
        <v>#N/A</v>
      </c>
      <c r="RPS27" s="24" t="e">
        <v>#N/A</v>
      </c>
      <c r="RPT27" s="24" t="e">
        <v>#N/A</v>
      </c>
      <c r="RPU27" s="24" t="e">
        <v>#N/A</v>
      </c>
      <c r="RPV27" s="24" t="e">
        <v>#N/A</v>
      </c>
      <c r="RPW27" s="24" t="e">
        <v>#N/A</v>
      </c>
      <c r="RPX27" s="24" t="e">
        <v>#N/A</v>
      </c>
      <c r="RPY27" s="24" t="e">
        <v>#N/A</v>
      </c>
      <c r="RPZ27" s="24" t="e">
        <v>#N/A</v>
      </c>
      <c r="RQA27" s="24" t="e">
        <v>#N/A</v>
      </c>
      <c r="RQB27" s="24" t="e">
        <v>#N/A</v>
      </c>
      <c r="RQC27" s="24" t="e">
        <v>#N/A</v>
      </c>
      <c r="RQD27" s="24" t="e">
        <v>#N/A</v>
      </c>
      <c r="RQE27" s="24" t="e">
        <v>#N/A</v>
      </c>
      <c r="RQF27" s="24" t="e">
        <v>#N/A</v>
      </c>
      <c r="RQG27" s="24" t="e">
        <v>#N/A</v>
      </c>
      <c r="RQH27" s="24" t="e">
        <v>#N/A</v>
      </c>
      <c r="RQI27" s="24" t="e">
        <v>#N/A</v>
      </c>
      <c r="RQJ27" s="24" t="e">
        <v>#N/A</v>
      </c>
      <c r="RQK27" s="24" t="e">
        <v>#N/A</v>
      </c>
      <c r="RQL27" s="24" t="e">
        <v>#N/A</v>
      </c>
      <c r="RQM27" s="24" t="e">
        <v>#N/A</v>
      </c>
      <c r="RQN27" s="24" t="e">
        <v>#N/A</v>
      </c>
      <c r="RQO27" s="24" t="e">
        <v>#N/A</v>
      </c>
      <c r="RQP27" s="24" t="e">
        <v>#N/A</v>
      </c>
      <c r="RQQ27" s="24" t="e">
        <v>#N/A</v>
      </c>
      <c r="RQR27" s="24" t="e">
        <v>#N/A</v>
      </c>
      <c r="RQS27" s="24" t="e">
        <v>#N/A</v>
      </c>
      <c r="RQT27" s="24" t="e">
        <v>#N/A</v>
      </c>
      <c r="RQU27" s="24" t="e">
        <v>#N/A</v>
      </c>
      <c r="RQV27" s="24" t="e">
        <v>#N/A</v>
      </c>
      <c r="RQW27" s="24" t="e">
        <v>#N/A</v>
      </c>
      <c r="RQX27" s="24" t="e">
        <v>#N/A</v>
      </c>
      <c r="RQY27" s="24" t="e">
        <v>#N/A</v>
      </c>
      <c r="RQZ27" s="24" t="e">
        <v>#N/A</v>
      </c>
      <c r="RRA27" s="24" t="e">
        <v>#N/A</v>
      </c>
      <c r="RRB27" s="24" t="e">
        <v>#N/A</v>
      </c>
      <c r="RRC27" s="24" t="e">
        <v>#N/A</v>
      </c>
      <c r="RRD27" s="24" t="e">
        <v>#N/A</v>
      </c>
      <c r="RRE27" s="24" t="e">
        <v>#N/A</v>
      </c>
      <c r="RRF27" s="24" t="e">
        <v>#N/A</v>
      </c>
      <c r="RRG27" s="24" t="e">
        <v>#N/A</v>
      </c>
      <c r="RRH27" s="24" t="e">
        <v>#N/A</v>
      </c>
      <c r="RRI27" s="24" t="e">
        <v>#N/A</v>
      </c>
      <c r="RRJ27" s="24" t="e">
        <v>#N/A</v>
      </c>
      <c r="RRK27" s="24" t="e">
        <v>#N/A</v>
      </c>
      <c r="RRL27" s="24" t="e">
        <v>#N/A</v>
      </c>
      <c r="RRM27" s="24" t="e">
        <v>#N/A</v>
      </c>
      <c r="RRN27" s="24" t="e">
        <v>#N/A</v>
      </c>
      <c r="RRO27" s="24" t="e">
        <v>#N/A</v>
      </c>
      <c r="RRP27" s="24" t="e">
        <v>#N/A</v>
      </c>
      <c r="RRQ27" s="24" t="e">
        <v>#N/A</v>
      </c>
      <c r="RRR27" s="24" t="e">
        <v>#N/A</v>
      </c>
      <c r="RRS27" s="24" t="e">
        <v>#N/A</v>
      </c>
      <c r="RRT27" s="24" t="e">
        <v>#N/A</v>
      </c>
      <c r="RRU27" s="24" t="e">
        <v>#N/A</v>
      </c>
      <c r="RRV27" s="24" t="e">
        <v>#N/A</v>
      </c>
      <c r="RRW27" s="24" t="e">
        <v>#N/A</v>
      </c>
      <c r="RRX27" s="24" t="e">
        <v>#N/A</v>
      </c>
      <c r="RRY27" s="24" t="e">
        <v>#N/A</v>
      </c>
      <c r="RRZ27" s="24" t="e">
        <v>#N/A</v>
      </c>
      <c r="RSA27" s="24" t="e">
        <v>#N/A</v>
      </c>
      <c r="RSB27" s="24" t="e">
        <v>#N/A</v>
      </c>
      <c r="RSC27" s="24" t="e">
        <v>#N/A</v>
      </c>
      <c r="RSD27" s="24" t="e">
        <v>#N/A</v>
      </c>
      <c r="RSE27" s="24" t="e">
        <v>#N/A</v>
      </c>
      <c r="RSF27" s="24" t="e">
        <v>#N/A</v>
      </c>
      <c r="RSG27" s="24" t="e">
        <v>#N/A</v>
      </c>
      <c r="RSH27" s="24" t="e">
        <v>#N/A</v>
      </c>
      <c r="RSI27" s="24" t="e">
        <v>#N/A</v>
      </c>
      <c r="RSJ27" s="24" t="e">
        <v>#N/A</v>
      </c>
      <c r="RSK27" s="24" t="e">
        <v>#N/A</v>
      </c>
      <c r="RSL27" s="24" t="e">
        <v>#N/A</v>
      </c>
      <c r="RSM27" s="24" t="e">
        <v>#N/A</v>
      </c>
      <c r="RSN27" s="24" t="e">
        <v>#N/A</v>
      </c>
      <c r="RSO27" s="24" t="e">
        <v>#N/A</v>
      </c>
      <c r="RSP27" s="24" t="e">
        <v>#N/A</v>
      </c>
      <c r="RSQ27" s="24" t="e">
        <v>#N/A</v>
      </c>
      <c r="RSR27" s="24" t="e">
        <v>#N/A</v>
      </c>
      <c r="RSS27" s="24" t="e">
        <v>#N/A</v>
      </c>
      <c r="RST27" s="24" t="e">
        <v>#N/A</v>
      </c>
      <c r="RSU27" s="24" t="e">
        <v>#N/A</v>
      </c>
      <c r="RSV27" s="24" t="e">
        <v>#N/A</v>
      </c>
      <c r="RSW27" s="24" t="e">
        <v>#N/A</v>
      </c>
      <c r="RSX27" s="24" t="e">
        <v>#N/A</v>
      </c>
      <c r="RSY27" s="24" t="e">
        <v>#N/A</v>
      </c>
      <c r="RSZ27" s="24" t="e">
        <v>#N/A</v>
      </c>
      <c r="RTA27" s="24" t="e">
        <v>#N/A</v>
      </c>
      <c r="RTB27" s="24" t="e">
        <v>#N/A</v>
      </c>
      <c r="RTC27" s="24" t="e">
        <v>#N/A</v>
      </c>
      <c r="RTD27" s="24" t="e">
        <v>#N/A</v>
      </c>
      <c r="RTE27" s="24" t="e">
        <v>#N/A</v>
      </c>
      <c r="RTF27" s="24" t="e">
        <v>#N/A</v>
      </c>
      <c r="RTG27" s="24" t="e">
        <v>#N/A</v>
      </c>
      <c r="RTH27" s="24" t="e">
        <v>#N/A</v>
      </c>
      <c r="RTI27" s="24" t="e">
        <v>#N/A</v>
      </c>
      <c r="RTJ27" s="24" t="e">
        <v>#N/A</v>
      </c>
      <c r="RTK27" s="24" t="e">
        <v>#N/A</v>
      </c>
      <c r="RTL27" s="24" t="e">
        <v>#N/A</v>
      </c>
      <c r="RTM27" s="24" t="e">
        <v>#N/A</v>
      </c>
      <c r="RTN27" s="24" t="e">
        <v>#N/A</v>
      </c>
      <c r="RTO27" s="24" t="e">
        <v>#N/A</v>
      </c>
      <c r="RTP27" s="24" t="e">
        <v>#N/A</v>
      </c>
      <c r="RTQ27" s="24" t="e">
        <v>#N/A</v>
      </c>
      <c r="RTR27" s="24" t="e">
        <v>#N/A</v>
      </c>
      <c r="RTS27" s="24" t="e">
        <v>#N/A</v>
      </c>
      <c r="RTT27" s="24" t="e">
        <v>#N/A</v>
      </c>
      <c r="RTU27" s="24" t="e">
        <v>#N/A</v>
      </c>
      <c r="RTV27" s="24" t="e">
        <v>#N/A</v>
      </c>
      <c r="RTW27" s="24" t="e">
        <v>#N/A</v>
      </c>
      <c r="RTX27" s="24" t="e">
        <v>#N/A</v>
      </c>
      <c r="RTY27" s="24" t="e">
        <v>#N/A</v>
      </c>
      <c r="RTZ27" s="24" t="e">
        <v>#N/A</v>
      </c>
      <c r="RUA27" s="24" t="e">
        <v>#N/A</v>
      </c>
      <c r="RUB27" s="24" t="e">
        <v>#N/A</v>
      </c>
      <c r="RUC27" s="24" t="e">
        <v>#N/A</v>
      </c>
      <c r="RUD27" s="24" t="e">
        <v>#N/A</v>
      </c>
      <c r="RUE27" s="24" t="e">
        <v>#N/A</v>
      </c>
      <c r="RUF27" s="24" t="e">
        <v>#N/A</v>
      </c>
      <c r="RUG27" s="24" t="e">
        <v>#N/A</v>
      </c>
      <c r="RUH27" s="24" t="e">
        <v>#N/A</v>
      </c>
      <c r="RUI27" s="24" t="e">
        <v>#N/A</v>
      </c>
      <c r="RUJ27" s="24" t="e">
        <v>#N/A</v>
      </c>
      <c r="RUK27" s="24" t="e">
        <v>#N/A</v>
      </c>
      <c r="RUL27" s="24" t="e">
        <v>#N/A</v>
      </c>
      <c r="RUM27" s="24" t="e">
        <v>#N/A</v>
      </c>
      <c r="RUN27" s="24" t="e">
        <v>#N/A</v>
      </c>
      <c r="RUO27" s="24" t="e">
        <v>#N/A</v>
      </c>
      <c r="RUP27" s="24" t="e">
        <v>#N/A</v>
      </c>
      <c r="RUQ27" s="24" t="e">
        <v>#N/A</v>
      </c>
      <c r="RUR27" s="24" t="e">
        <v>#N/A</v>
      </c>
      <c r="RUS27" s="24" t="e">
        <v>#N/A</v>
      </c>
      <c r="RUT27" s="24" t="e">
        <v>#N/A</v>
      </c>
      <c r="RUU27" s="24" t="e">
        <v>#N/A</v>
      </c>
      <c r="RUV27" s="24" t="e">
        <v>#N/A</v>
      </c>
      <c r="RUW27" s="24" t="e">
        <v>#N/A</v>
      </c>
      <c r="RUX27" s="24" t="e">
        <v>#N/A</v>
      </c>
      <c r="RUY27" s="24" t="e">
        <v>#N/A</v>
      </c>
      <c r="RUZ27" s="24" t="e">
        <v>#N/A</v>
      </c>
      <c r="RVA27" s="24" t="e">
        <v>#N/A</v>
      </c>
      <c r="RVB27" s="24" t="e">
        <v>#N/A</v>
      </c>
      <c r="RVC27" s="24" t="e">
        <v>#N/A</v>
      </c>
      <c r="RVD27" s="24" t="e">
        <v>#N/A</v>
      </c>
      <c r="RVE27" s="24" t="e">
        <v>#N/A</v>
      </c>
      <c r="RVF27" s="24" t="e">
        <v>#N/A</v>
      </c>
      <c r="RVG27" s="24" t="e">
        <v>#N/A</v>
      </c>
      <c r="RVH27" s="24" t="e">
        <v>#N/A</v>
      </c>
      <c r="RVI27" s="24" t="e">
        <v>#N/A</v>
      </c>
      <c r="RVJ27" s="24" t="e">
        <v>#N/A</v>
      </c>
      <c r="RVK27" s="24" t="e">
        <v>#N/A</v>
      </c>
      <c r="RVL27" s="24" t="e">
        <v>#N/A</v>
      </c>
      <c r="RVM27" s="24" t="e">
        <v>#N/A</v>
      </c>
      <c r="RVN27" s="24" t="e">
        <v>#N/A</v>
      </c>
      <c r="RVO27" s="24" t="e">
        <v>#N/A</v>
      </c>
      <c r="RVP27" s="24" t="e">
        <v>#N/A</v>
      </c>
      <c r="RVQ27" s="24" t="e">
        <v>#N/A</v>
      </c>
      <c r="RVR27" s="24" t="e">
        <v>#N/A</v>
      </c>
      <c r="RVS27" s="24" t="e">
        <v>#N/A</v>
      </c>
      <c r="RVT27" s="24" t="e">
        <v>#N/A</v>
      </c>
      <c r="RVU27" s="24" t="e">
        <v>#N/A</v>
      </c>
      <c r="RVV27" s="24" t="e">
        <v>#N/A</v>
      </c>
      <c r="RVW27" s="24" t="e">
        <v>#N/A</v>
      </c>
      <c r="RVX27" s="24" t="e">
        <v>#N/A</v>
      </c>
      <c r="RVY27" s="24" t="e">
        <v>#N/A</v>
      </c>
      <c r="RVZ27" s="24" t="e">
        <v>#N/A</v>
      </c>
      <c r="RWA27" s="24" t="e">
        <v>#N/A</v>
      </c>
      <c r="RWB27" s="24" t="e">
        <v>#N/A</v>
      </c>
      <c r="RWC27" s="24" t="e">
        <v>#N/A</v>
      </c>
      <c r="RWD27" s="24" t="e">
        <v>#N/A</v>
      </c>
      <c r="RWE27" s="24" t="e">
        <v>#N/A</v>
      </c>
      <c r="RWF27" s="24" t="e">
        <v>#N/A</v>
      </c>
      <c r="RWG27" s="24" t="e">
        <v>#N/A</v>
      </c>
      <c r="RWH27" s="24" t="e">
        <v>#N/A</v>
      </c>
      <c r="RWI27" s="24" t="e">
        <v>#N/A</v>
      </c>
      <c r="RWJ27" s="24" t="e">
        <v>#N/A</v>
      </c>
      <c r="RWK27" s="24" t="e">
        <v>#N/A</v>
      </c>
      <c r="RWL27" s="24" t="e">
        <v>#N/A</v>
      </c>
      <c r="RWM27" s="24" t="e">
        <v>#N/A</v>
      </c>
      <c r="RWN27" s="24" t="e">
        <v>#N/A</v>
      </c>
      <c r="RWO27" s="24" t="e">
        <v>#N/A</v>
      </c>
      <c r="RWP27" s="24" t="e">
        <v>#N/A</v>
      </c>
      <c r="RWQ27" s="24" t="e">
        <v>#N/A</v>
      </c>
      <c r="RWR27" s="24" t="e">
        <v>#N/A</v>
      </c>
      <c r="RWS27" s="24" t="e">
        <v>#N/A</v>
      </c>
      <c r="RWT27" s="24" t="e">
        <v>#N/A</v>
      </c>
      <c r="RWU27" s="24" t="e">
        <v>#N/A</v>
      </c>
      <c r="RWV27" s="24" t="e">
        <v>#N/A</v>
      </c>
      <c r="RWW27" s="24" t="e">
        <v>#N/A</v>
      </c>
      <c r="RWX27" s="24" t="e">
        <v>#N/A</v>
      </c>
      <c r="RWY27" s="24" t="e">
        <v>#N/A</v>
      </c>
      <c r="RWZ27" s="24" t="e">
        <v>#N/A</v>
      </c>
      <c r="RXA27" s="24" t="e">
        <v>#N/A</v>
      </c>
      <c r="RXB27" s="24" t="e">
        <v>#N/A</v>
      </c>
      <c r="RXC27" s="24" t="e">
        <v>#N/A</v>
      </c>
      <c r="RXD27" s="24" t="e">
        <v>#N/A</v>
      </c>
      <c r="RXE27" s="24" t="e">
        <v>#N/A</v>
      </c>
      <c r="RXF27" s="24" t="e">
        <v>#N/A</v>
      </c>
      <c r="RXG27" s="24" t="e">
        <v>#N/A</v>
      </c>
      <c r="RXH27" s="24" t="e">
        <v>#N/A</v>
      </c>
      <c r="RXI27" s="24" t="e">
        <v>#N/A</v>
      </c>
      <c r="RXJ27" s="24" t="e">
        <v>#N/A</v>
      </c>
      <c r="RXK27" s="24" t="e">
        <v>#N/A</v>
      </c>
      <c r="RXL27" s="24" t="e">
        <v>#N/A</v>
      </c>
      <c r="RXM27" s="24" t="e">
        <v>#N/A</v>
      </c>
      <c r="RXN27" s="24" t="e">
        <v>#N/A</v>
      </c>
      <c r="RXO27" s="24" t="e">
        <v>#N/A</v>
      </c>
      <c r="RXP27" s="24" t="e">
        <v>#N/A</v>
      </c>
      <c r="RXQ27" s="24" t="e">
        <v>#N/A</v>
      </c>
      <c r="RXR27" s="24" t="e">
        <v>#N/A</v>
      </c>
      <c r="RXS27" s="24" t="e">
        <v>#N/A</v>
      </c>
      <c r="RXT27" s="24" t="e">
        <v>#N/A</v>
      </c>
      <c r="RXU27" s="24" t="e">
        <v>#N/A</v>
      </c>
      <c r="RXV27" s="24" t="e">
        <v>#N/A</v>
      </c>
      <c r="RXW27" s="24" t="e">
        <v>#N/A</v>
      </c>
      <c r="RXX27" s="24" t="e">
        <v>#N/A</v>
      </c>
      <c r="RXY27" s="24" t="e">
        <v>#N/A</v>
      </c>
      <c r="RXZ27" s="24" t="e">
        <v>#N/A</v>
      </c>
      <c r="RYA27" s="24" t="e">
        <v>#N/A</v>
      </c>
      <c r="RYB27" s="24" t="e">
        <v>#N/A</v>
      </c>
      <c r="RYC27" s="24" t="e">
        <v>#N/A</v>
      </c>
      <c r="RYD27" s="24" t="e">
        <v>#N/A</v>
      </c>
      <c r="RYE27" s="24" t="e">
        <v>#N/A</v>
      </c>
      <c r="RYF27" s="24" t="e">
        <v>#N/A</v>
      </c>
      <c r="RYG27" s="24" t="e">
        <v>#N/A</v>
      </c>
      <c r="RYH27" s="24" t="e">
        <v>#N/A</v>
      </c>
      <c r="RYI27" s="24" t="e">
        <v>#N/A</v>
      </c>
      <c r="RYJ27" s="24" t="e">
        <v>#N/A</v>
      </c>
      <c r="RYK27" s="24" t="e">
        <v>#N/A</v>
      </c>
      <c r="RYL27" s="24" t="e">
        <v>#N/A</v>
      </c>
      <c r="RYM27" s="24" t="e">
        <v>#N/A</v>
      </c>
      <c r="RYN27" s="24" t="e">
        <v>#N/A</v>
      </c>
      <c r="RYO27" s="24" t="e">
        <v>#N/A</v>
      </c>
      <c r="RYP27" s="24" t="e">
        <v>#N/A</v>
      </c>
      <c r="RYQ27" s="24" t="e">
        <v>#N/A</v>
      </c>
      <c r="RYR27" s="24" t="e">
        <v>#N/A</v>
      </c>
      <c r="RYS27" s="24" t="e">
        <v>#N/A</v>
      </c>
      <c r="RYT27" s="24" t="e">
        <v>#N/A</v>
      </c>
      <c r="RYU27" s="24" t="e">
        <v>#N/A</v>
      </c>
      <c r="RYV27" s="24" t="e">
        <v>#N/A</v>
      </c>
      <c r="RYW27" s="24" t="e">
        <v>#N/A</v>
      </c>
      <c r="RYX27" s="24" t="e">
        <v>#N/A</v>
      </c>
      <c r="RYY27" s="24" t="e">
        <v>#N/A</v>
      </c>
      <c r="RYZ27" s="24" t="e">
        <v>#N/A</v>
      </c>
      <c r="RZA27" s="24" t="e">
        <v>#N/A</v>
      </c>
      <c r="RZB27" s="24" t="e">
        <v>#N/A</v>
      </c>
      <c r="RZC27" s="24" t="e">
        <v>#N/A</v>
      </c>
      <c r="RZD27" s="24" t="e">
        <v>#N/A</v>
      </c>
      <c r="RZE27" s="24" t="e">
        <v>#N/A</v>
      </c>
      <c r="RZF27" s="24" t="e">
        <v>#N/A</v>
      </c>
      <c r="RZG27" s="24" t="e">
        <v>#N/A</v>
      </c>
      <c r="RZH27" s="24" t="e">
        <v>#N/A</v>
      </c>
      <c r="RZI27" s="24" t="e">
        <v>#N/A</v>
      </c>
      <c r="RZJ27" s="24" t="e">
        <v>#N/A</v>
      </c>
      <c r="RZK27" s="24" t="e">
        <v>#N/A</v>
      </c>
      <c r="RZL27" s="24" t="e">
        <v>#N/A</v>
      </c>
      <c r="RZM27" s="24" t="e">
        <v>#N/A</v>
      </c>
      <c r="RZN27" s="24" t="e">
        <v>#N/A</v>
      </c>
      <c r="RZO27" s="24" t="e">
        <v>#N/A</v>
      </c>
      <c r="RZP27" s="24" t="e">
        <v>#N/A</v>
      </c>
      <c r="RZQ27" s="24" t="e">
        <v>#N/A</v>
      </c>
      <c r="RZR27" s="24" t="e">
        <v>#N/A</v>
      </c>
      <c r="RZS27" s="24" t="e">
        <v>#N/A</v>
      </c>
      <c r="RZT27" s="24" t="e">
        <v>#N/A</v>
      </c>
      <c r="RZU27" s="24" t="e">
        <v>#N/A</v>
      </c>
      <c r="RZV27" s="24" t="e">
        <v>#N/A</v>
      </c>
      <c r="RZW27" s="24" t="e">
        <v>#N/A</v>
      </c>
      <c r="RZX27" s="24" t="e">
        <v>#N/A</v>
      </c>
      <c r="RZY27" s="24" t="e">
        <v>#N/A</v>
      </c>
      <c r="RZZ27" s="24" t="e">
        <v>#N/A</v>
      </c>
      <c r="SAA27" s="24" t="e">
        <v>#N/A</v>
      </c>
      <c r="SAB27" s="24" t="e">
        <v>#N/A</v>
      </c>
      <c r="SAC27" s="24" t="e">
        <v>#N/A</v>
      </c>
      <c r="SAD27" s="24" t="e">
        <v>#N/A</v>
      </c>
      <c r="SAE27" s="24" t="e">
        <v>#N/A</v>
      </c>
      <c r="SAF27" s="24" t="e">
        <v>#N/A</v>
      </c>
      <c r="SAG27" s="24" t="e">
        <v>#N/A</v>
      </c>
      <c r="SAH27" s="24" t="e">
        <v>#N/A</v>
      </c>
      <c r="SAI27" s="24" t="e">
        <v>#N/A</v>
      </c>
      <c r="SAJ27" s="24" t="e">
        <v>#N/A</v>
      </c>
      <c r="SAK27" s="24" t="e">
        <v>#N/A</v>
      </c>
      <c r="SAL27" s="24" t="e">
        <v>#N/A</v>
      </c>
      <c r="SAM27" s="24" t="e">
        <v>#N/A</v>
      </c>
      <c r="SAN27" s="24" t="e">
        <v>#N/A</v>
      </c>
      <c r="SAO27" s="24" t="e">
        <v>#N/A</v>
      </c>
      <c r="SAP27" s="24" t="e">
        <v>#N/A</v>
      </c>
      <c r="SAQ27" s="24" t="e">
        <v>#N/A</v>
      </c>
      <c r="SAR27" s="24" t="e">
        <v>#N/A</v>
      </c>
      <c r="SAS27" s="24" t="e">
        <v>#N/A</v>
      </c>
      <c r="SAT27" s="24" t="e">
        <v>#N/A</v>
      </c>
      <c r="SAU27" s="24" t="e">
        <v>#N/A</v>
      </c>
      <c r="SAV27" s="24" t="e">
        <v>#N/A</v>
      </c>
      <c r="SAW27" s="24" t="e">
        <v>#N/A</v>
      </c>
      <c r="SAX27" s="24" t="e">
        <v>#N/A</v>
      </c>
      <c r="SAY27" s="24" t="e">
        <v>#N/A</v>
      </c>
      <c r="SAZ27" s="24" t="e">
        <v>#N/A</v>
      </c>
      <c r="SBA27" s="24" t="e">
        <v>#N/A</v>
      </c>
      <c r="SBB27" s="24" t="e">
        <v>#N/A</v>
      </c>
      <c r="SBC27" s="24" t="e">
        <v>#N/A</v>
      </c>
      <c r="SBD27" s="24" t="e">
        <v>#N/A</v>
      </c>
      <c r="SBE27" s="24" t="e">
        <v>#N/A</v>
      </c>
      <c r="SBF27" s="24" t="e">
        <v>#N/A</v>
      </c>
      <c r="SBG27" s="24" t="e">
        <v>#N/A</v>
      </c>
      <c r="SBH27" s="24" t="e">
        <v>#N/A</v>
      </c>
      <c r="SBI27" s="24" t="e">
        <v>#N/A</v>
      </c>
      <c r="SBJ27" s="24" t="e">
        <v>#N/A</v>
      </c>
      <c r="SBK27" s="24" t="e">
        <v>#N/A</v>
      </c>
      <c r="SBL27" s="24" t="e">
        <v>#N/A</v>
      </c>
      <c r="SBM27" s="24" t="e">
        <v>#N/A</v>
      </c>
      <c r="SBN27" s="24" t="e">
        <v>#N/A</v>
      </c>
      <c r="SBO27" s="24" t="e">
        <v>#N/A</v>
      </c>
      <c r="SBP27" s="24" t="e">
        <v>#N/A</v>
      </c>
      <c r="SBQ27" s="24" t="e">
        <v>#N/A</v>
      </c>
      <c r="SBR27" s="24" t="e">
        <v>#N/A</v>
      </c>
      <c r="SBS27" s="24" t="e">
        <v>#N/A</v>
      </c>
      <c r="SBT27" s="24" t="e">
        <v>#N/A</v>
      </c>
      <c r="SBU27" s="24" t="e">
        <v>#N/A</v>
      </c>
      <c r="SBV27" s="24" t="e">
        <v>#N/A</v>
      </c>
      <c r="SBW27" s="24" t="e">
        <v>#N/A</v>
      </c>
      <c r="SBX27" s="24" t="e">
        <v>#N/A</v>
      </c>
      <c r="SBY27" s="24" t="e">
        <v>#N/A</v>
      </c>
      <c r="SBZ27" s="24" t="e">
        <v>#N/A</v>
      </c>
      <c r="SCA27" s="24" t="e">
        <v>#N/A</v>
      </c>
      <c r="SCB27" s="24" t="e">
        <v>#N/A</v>
      </c>
      <c r="SCC27" s="24" t="e">
        <v>#N/A</v>
      </c>
      <c r="SCD27" s="24" t="e">
        <v>#N/A</v>
      </c>
      <c r="SCE27" s="24" t="e">
        <v>#N/A</v>
      </c>
      <c r="SCF27" s="24" t="e">
        <v>#N/A</v>
      </c>
      <c r="SCG27" s="24" t="e">
        <v>#N/A</v>
      </c>
      <c r="SCH27" s="24" t="e">
        <v>#N/A</v>
      </c>
      <c r="SCI27" s="24" t="e">
        <v>#N/A</v>
      </c>
      <c r="SCJ27" s="24" t="e">
        <v>#N/A</v>
      </c>
      <c r="SCK27" s="24" t="e">
        <v>#N/A</v>
      </c>
      <c r="SCL27" s="24" t="e">
        <v>#N/A</v>
      </c>
      <c r="SCM27" s="24" t="e">
        <v>#N/A</v>
      </c>
      <c r="SCN27" s="24" t="e">
        <v>#N/A</v>
      </c>
      <c r="SCO27" s="24" t="e">
        <v>#N/A</v>
      </c>
      <c r="SCP27" s="24" t="e">
        <v>#N/A</v>
      </c>
      <c r="SCQ27" s="24" t="e">
        <v>#N/A</v>
      </c>
      <c r="SCR27" s="24" t="e">
        <v>#N/A</v>
      </c>
      <c r="SCS27" s="24" t="e">
        <v>#N/A</v>
      </c>
      <c r="SCT27" s="24" t="e">
        <v>#N/A</v>
      </c>
      <c r="SCU27" s="24" t="e">
        <v>#N/A</v>
      </c>
      <c r="SCV27" s="24" t="e">
        <v>#N/A</v>
      </c>
      <c r="SCW27" s="24" t="e">
        <v>#N/A</v>
      </c>
      <c r="SCX27" s="24" t="e">
        <v>#N/A</v>
      </c>
      <c r="SCY27" s="24" t="e">
        <v>#N/A</v>
      </c>
      <c r="SCZ27" s="24" t="e">
        <v>#N/A</v>
      </c>
      <c r="SDA27" s="24" t="e">
        <v>#N/A</v>
      </c>
      <c r="SDB27" s="24" t="e">
        <v>#N/A</v>
      </c>
      <c r="SDC27" s="24" t="e">
        <v>#N/A</v>
      </c>
      <c r="SDD27" s="24" t="e">
        <v>#N/A</v>
      </c>
      <c r="SDE27" s="24" t="e">
        <v>#N/A</v>
      </c>
      <c r="SDF27" s="24" t="e">
        <v>#N/A</v>
      </c>
      <c r="SDG27" s="24" t="e">
        <v>#N/A</v>
      </c>
      <c r="SDH27" s="24" t="e">
        <v>#N/A</v>
      </c>
      <c r="SDI27" s="24" t="e">
        <v>#N/A</v>
      </c>
      <c r="SDJ27" s="24" t="e">
        <v>#N/A</v>
      </c>
      <c r="SDK27" s="24" t="e">
        <v>#N/A</v>
      </c>
      <c r="SDL27" s="24" t="e">
        <v>#N/A</v>
      </c>
      <c r="SDM27" s="24" t="e">
        <v>#N/A</v>
      </c>
      <c r="SDN27" s="24" t="e">
        <v>#N/A</v>
      </c>
      <c r="SDO27" s="24" t="e">
        <v>#N/A</v>
      </c>
      <c r="SDP27" s="24" t="e">
        <v>#N/A</v>
      </c>
      <c r="SDQ27" s="24" t="e">
        <v>#N/A</v>
      </c>
      <c r="SDR27" s="24" t="e">
        <v>#N/A</v>
      </c>
      <c r="SDS27" s="24" t="e">
        <v>#N/A</v>
      </c>
      <c r="SDT27" s="24" t="e">
        <v>#N/A</v>
      </c>
      <c r="SDU27" s="24" t="e">
        <v>#N/A</v>
      </c>
      <c r="SDV27" s="24" t="e">
        <v>#N/A</v>
      </c>
      <c r="SDW27" s="24" t="e">
        <v>#N/A</v>
      </c>
      <c r="SDX27" s="24" t="e">
        <v>#N/A</v>
      </c>
      <c r="SDY27" s="24" t="e">
        <v>#N/A</v>
      </c>
      <c r="SDZ27" s="24" t="e">
        <v>#N/A</v>
      </c>
      <c r="SEA27" s="24" t="e">
        <v>#N/A</v>
      </c>
      <c r="SEB27" s="24" t="e">
        <v>#N/A</v>
      </c>
      <c r="SEC27" s="24" t="e">
        <v>#N/A</v>
      </c>
      <c r="SED27" s="24" t="e">
        <v>#N/A</v>
      </c>
      <c r="SEE27" s="24" t="e">
        <v>#N/A</v>
      </c>
      <c r="SEF27" s="24" t="e">
        <v>#N/A</v>
      </c>
      <c r="SEG27" s="24" t="e">
        <v>#N/A</v>
      </c>
      <c r="SEH27" s="24" t="e">
        <v>#N/A</v>
      </c>
      <c r="SEI27" s="24" t="e">
        <v>#N/A</v>
      </c>
      <c r="SEJ27" s="24" t="e">
        <v>#N/A</v>
      </c>
      <c r="SEK27" s="24" t="e">
        <v>#N/A</v>
      </c>
      <c r="SEL27" s="24" t="e">
        <v>#N/A</v>
      </c>
      <c r="SEM27" s="24" t="e">
        <v>#N/A</v>
      </c>
      <c r="SEN27" s="24" t="e">
        <v>#N/A</v>
      </c>
      <c r="SEO27" s="24" t="e">
        <v>#N/A</v>
      </c>
      <c r="SEP27" s="24" t="e">
        <v>#N/A</v>
      </c>
      <c r="SEQ27" s="24" t="e">
        <v>#N/A</v>
      </c>
      <c r="SER27" s="24" t="e">
        <v>#N/A</v>
      </c>
      <c r="SES27" s="24" t="e">
        <v>#N/A</v>
      </c>
      <c r="SET27" s="24" t="e">
        <v>#N/A</v>
      </c>
      <c r="SEU27" s="24" t="e">
        <v>#N/A</v>
      </c>
      <c r="SEV27" s="24" t="e">
        <v>#N/A</v>
      </c>
      <c r="SEW27" s="24" t="e">
        <v>#N/A</v>
      </c>
      <c r="SEX27" s="24" t="e">
        <v>#N/A</v>
      </c>
      <c r="SEY27" s="24" t="e">
        <v>#N/A</v>
      </c>
      <c r="SEZ27" s="24" t="e">
        <v>#N/A</v>
      </c>
      <c r="SFA27" s="24" t="e">
        <v>#N/A</v>
      </c>
      <c r="SFB27" s="24" t="e">
        <v>#N/A</v>
      </c>
      <c r="SFC27" s="24" t="e">
        <v>#N/A</v>
      </c>
      <c r="SFD27" s="24" t="e">
        <v>#N/A</v>
      </c>
      <c r="SFE27" s="24" t="e">
        <v>#N/A</v>
      </c>
      <c r="SFF27" s="24" t="e">
        <v>#N/A</v>
      </c>
      <c r="SFG27" s="24" t="e">
        <v>#N/A</v>
      </c>
      <c r="SFH27" s="24" t="e">
        <v>#N/A</v>
      </c>
      <c r="SFI27" s="24" t="e">
        <v>#N/A</v>
      </c>
      <c r="SFJ27" s="24" t="e">
        <v>#N/A</v>
      </c>
      <c r="SFK27" s="24" t="e">
        <v>#N/A</v>
      </c>
      <c r="SFL27" s="24" t="e">
        <v>#N/A</v>
      </c>
      <c r="SFM27" s="24" t="e">
        <v>#N/A</v>
      </c>
      <c r="SFN27" s="24" t="e">
        <v>#N/A</v>
      </c>
      <c r="SFO27" s="24" t="e">
        <v>#N/A</v>
      </c>
      <c r="SFP27" s="24" t="e">
        <v>#N/A</v>
      </c>
      <c r="SFQ27" s="24" t="e">
        <v>#N/A</v>
      </c>
      <c r="SFR27" s="24" t="e">
        <v>#N/A</v>
      </c>
      <c r="SFS27" s="24" t="e">
        <v>#N/A</v>
      </c>
      <c r="SFT27" s="24" t="e">
        <v>#N/A</v>
      </c>
      <c r="SFU27" s="24" t="e">
        <v>#N/A</v>
      </c>
      <c r="SFV27" s="24" t="e">
        <v>#N/A</v>
      </c>
      <c r="SFW27" s="24" t="e">
        <v>#N/A</v>
      </c>
      <c r="SFX27" s="24" t="e">
        <v>#N/A</v>
      </c>
      <c r="SFY27" s="24" t="e">
        <v>#N/A</v>
      </c>
      <c r="SFZ27" s="24" t="e">
        <v>#N/A</v>
      </c>
      <c r="SGA27" s="24" t="e">
        <v>#N/A</v>
      </c>
      <c r="SGB27" s="24" t="e">
        <v>#N/A</v>
      </c>
      <c r="SGC27" s="24" t="e">
        <v>#N/A</v>
      </c>
      <c r="SGD27" s="24" t="e">
        <v>#N/A</v>
      </c>
      <c r="SGE27" s="24" t="e">
        <v>#N/A</v>
      </c>
      <c r="SGF27" s="24" t="e">
        <v>#N/A</v>
      </c>
      <c r="SGG27" s="24" t="e">
        <v>#N/A</v>
      </c>
      <c r="SGH27" s="24" t="e">
        <v>#N/A</v>
      </c>
      <c r="SGI27" s="24" t="e">
        <v>#N/A</v>
      </c>
      <c r="SGJ27" s="24" t="e">
        <v>#N/A</v>
      </c>
      <c r="SGK27" s="24" t="e">
        <v>#N/A</v>
      </c>
      <c r="SGL27" s="24" t="e">
        <v>#N/A</v>
      </c>
      <c r="SGM27" s="24" t="e">
        <v>#N/A</v>
      </c>
      <c r="SGN27" s="24" t="e">
        <v>#N/A</v>
      </c>
      <c r="SGO27" s="24" t="e">
        <v>#N/A</v>
      </c>
      <c r="SGP27" s="24" t="e">
        <v>#N/A</v>
      </c>
      <c r="SGQ27" s="24" t="e">
        <v>#N/A</v>
      </c>
      <c r="SGR27" s="24" t="e">
        <v>#N/A</v>
      </c>
      <c r="SGS27" s="24" t="e">
        <v>#N/A</v>
      </c>
      <c r="SGT27" s="24" t="e">
        <v>#N/A</v>
      </c>
      <c r="SGU27" s="24" t="e">
        <v>#N/A</v>
      </c>
      <c r="SGV27" s="24" t="e">
        <v>#N/A</v>
      </c>
      <c r="SGW27" s="24" t="e">
        <v>#N/A</v>
      </c>
      <c r="SGX27" s="24" t="e">
        <v>#N/A</v>
      </c>
      <c r="SGY27" s="24" t="e">
        <v>#N/A</v>
      </c>
      <c r="SGZ27" s="24" t="e">
        <v>#N/A</v>
      </c>
      <c r="SHA27" s="24" t="e">
        <v>#N/A</v>
      </c>
      <c r="SHB27" s="24" t="e">
        <v>#N/A</v>
      </c>
      <c r="SHC27" s="24" t="e">
        <v>#N/A</v>
      </c>
      <c r="SHD27" s="24" t="e">
        <v>#N/A</v>
      </c>
      <c r="SHE27" s="24" t="e">
        <v>#N/A</v>
      </c>
      <c r="SHF27" s="24" t="e">
        <v>#N/A</v>
      </c>
      <c r="SHG27" s="24" t="e">
        <v>#N/A</v>
      </c>
      <c r="SHH27" s="24" t="e">
        <v>#N/A</v>
      </c>
      <c r="SHI27" s="24" t="e">
        <v>#N/A</v>
      </c>
      <c r="SHJ27" s="24" t="e">
        <v>#N/A</v>
      </c>
      <c r="SHK27" s="24" t="e">
        <v>#N/A</v>
      </c>
      <c r="SHL27" s="24" t="e">
        <v>#N/A</v>
      </c>
      <c r="SHM27" s="24" t="e">
        <v>#N/A</v>
      </c>
      <c r="SHN27" s="24" t="e">
        <v>#N/A</v>
      </c>
      <c r="SHO27" s="24" t="e">
        <v>#N/A</v>
      </c>
      <c r="SHP27" s="24" t="e">
        <v>#N/A</v>
      </c>
      <c r="SHQ27" s="24" t="e">
        <v>#N/A</v>
      </c>
      <c r="SHR27" s="24" t="e">
        <v>#N/A</v>
      </c>
      <c r="SHS27" s="24" t="e">
        <v>#N/A</v>
      </c>
      <c r="SHT27" s="24" t="e">
        <v>#N/A</v>
      </c>
      <c r="SHU27" s="24" t="e">
        <v>#N/A</v>
      </c>
      <c r="SHV27" s="24" t="e">
        <v>#N/A</v>
      </c>
      <c r="SHW27" s="24" t="e">
        <v>#N/A</v>
      </c>
      <c r="SHX27" s="24" t="e">
        <v>#N/A</v>
      </c>
      <c r="SHY27" s="24" t="e">
        <v>#N/A</v>
      </c>
      <c r="SHZ27" s="24" t="e">
        <v>#N/A</v>
      </c>
      <c r="SIA27" s="24" t="e">
        <v>#N/A</v>
      </c>
      <c r="SIB27" s="24" t="e">
        <v>#N/A</v>
      </c>
      <c r="SIC27" s="24" t="e">
        <v>#N/A</v>
      </c>
      <c r="SID27" s="24" t="e">
        <v>#N/A</v>
      </c>
      <c r="SIE27" s="24" t="e">
        <v>#N/A</v>
      </c>
      <c r="SIF27" s="24" t="e">
        <v>#N/A</v>
      </c>
      <c r="SIG27" s="24" t="e">
        <v>#N/A</v>
      </c>
      <c r="SIH27" s="24" t="e">
        <v>#N/A</v>
      </c>
      <c r="SII27" s="24" t="e">
        <v>#N/A</v>
      </c>
      <c r="SIJ27" s="24" t="e">
        <v>#N/A</v>
      </c>
      <c r="SIK27" s="24" t="e">
        <v>#N/A</v>
      </c>
      <c r="SIL27" s="24" t="e">
        <v>#N/A</v>
      </c>
      <c r="SIM27" s="24" t="e">
        <v>#N/A</v>
      </c>
      <c r="SIN27" s="24" t="e">
        <v>#N/A</v>
      </c>
      <c r="SIO27" s="24" t="e">
        <v>#N/A</v>
      </c>
      <c r="SIP27" s="24" t="e">
        <v>#N/A</v>
      </c>
      <c r="SIQ27" s="24" t="e">
        <v>#N/A</v>
      </c>
      <c r="SIR27" s="24" t="e">
        <v>#N/A</v>
      </c>
      <c r="SIS27" s="24" t="e">
        <v>#N/A</v>
      </c>
      <c r="SIT27" s="24" t="e">
        <v>#N/A</v>
      </c>
      <c r="SIU27" s="24" t="e">
        <v>#N/A</v>
      </c>
      <c r="SIV27" s="24" t="e">
        <v>#N/A</v>
      </c>
      <c r="SIW27" s="24" t="e">
        <v>#N/A</v>
      </c>
      <c r="SIX27" s="24" t="e">
        <v>#N/A</v>
      </c>
      <c r="SIY27" s="24" t="e">
        <v>#N/A</v>
      </c>
      <c r="SIZ27" s="24" t="e">
        <v>#N/A</v>
      </c>
      <c r="SJA27" s="24" t="e">
        <v>#N/A</v>
      </c>
      <c r="SJB27" s="24" t="e">
        <v>#N/A</v>
      </c>
      <c r="SJC27" s="24" t="e">
        <v>#N/A</v>
      </c>
      <c r="SJD27" s="24" t="e">
        <v>#N/A</v>
      </c>
      <c r="SJE27" s="24" t="e">
        <v>#N/A</v>
      </c>
      <c r="SJF27" s="24" t="e">
        <v>#N/A</v>
      </c>
      <c r="SJG27" s="24" t="e">
        <v>#N/A</v>
      </c>
      <c r="SJH27" s="24" t="e">
        <v>#N/A</v>
      </c>
      <c r="SJI27" s="24" t="e">
        <v>#N/A</v>
      </c>
      <c r="SJJ27" s="24" t="e">
        <v>#N/A</v>
      </c>
      <c r="SJK27" s="24" t="e">
        <v>#N/A</v>
      </c>
      <c r="SJL27" s="24" t="e">
        <v>#N/A</v>
      </c>
      <c r="SJM27" s="24" t="e">
        <v>#N/A</v>
      </c>
      <c r="SJN27" s="24" t="e">
        <v>#N/A</v>
      </c>
      <c r="SJO27" s="24" t="e">
        <v>#N/A</v>
      </c>
      <c r="SJP27" s="24" t="e">
        <v>#N/A</v>
      </c>
      <c r="SJQ27" s="24" t="e">
        <v>#N/A</v>
      </c>
      <c r="SJR27" s="24" t="e">
        <v>#N/A</v>
      </c>
      <c r="SJS27" s="24" t="e">
        <v>#N/A</v>
      </c>
      <c r="SJT27" s="24" t="e">
        <v>#N/A</v>
      </c>
      <c r="SJU27" s="24" t="e">
        <v>#N/A</v>
      </c>
      <c r="SJV27" s="24" t="e">
        <v>#N/A</v>
      </c>
      <c r="SJW27" s="24" t="e">
        <v>#N/A</v>
      </c>
      <c r="SJX27" s="24" t="e">
        <v>#N/A</v>
      </c>
      <c r="SJY27" s="24" t="e">
        <v>#N/A</v>
      </c>
      <c r="SJZ27" s="24" t="e">
        <v>#N/A</v>
      </c>
      <c r="SKA27" s="24" t="e">
        <v>#N/A</v>
      </c>
      <c r="SKB27" s="24" t="e">
        <v>#N/A</v>
      </c>
      <c r="SKC27" s="24" t="e">
        <v>#N/A</v>
      </c>
      <c r="SKD27" s="24" t="e">
        <v>#N/A</v>
      </c>
      <c r="SKE27" s="24" t="e">
        <v>#N/A</v>
      </c>
      <c r="SKF27" s="24" t="e">
        <v>#N/A</v>
      </c>
      <c r="SKG27" s="24" t="e">
        <v>#N/A</v>
      </c>
      <c r="SKH27" s="24" t="e">
        <v>#N/A</v>
      </c>
      <c r="SKI27" s="24" t="e">
        <v>#N/A</v>
      </c>
      <c r="SKJ27" s="24" t="e">
        <v>#N/A</v>
      </c>
      <c r="SKK27" s="24" t="e">
        <v>#N/A</v>
      </c>
      <c r="SKL27" s="24" t="e">
        <v>#N/A</v>
      </c>
      <c r="SKM27" s="24" t="e">
        <v>#N/A</v>
      </c>
      <c r="SKN27" s="24" t="e">
        <v>#N/A</v>
      </c>
      <c r="SKO27" s="24" t="e">
        <v>#N/A</v>
      </c>
      <c r="SKP27" s="24" t="e">
        <v>#N/A</v>
      </c>
      <c r="SKQ27" s="24" t="e">
        <v>#N/A</v>
      </c>
      <c r="SKR27" s="24" t="e">
        <v>#N/A</v>
      </c>
      <c r="SKS27" s="24" t="e">
        <v>#N/A</v>
      </c>
      <c r="SKT27" s="24" t="e">
        <v>#N/A</v>
      </c>
      <c r="SKU27" s="24" t="e">
        <v>#N/A</v>
      </c>
      <c r="SKV27" s="24" t="e">
        <v>#N/A</v>
      </c>
      <c r="SKW27" s="24" t="e">
        <v>#N/A</v>
      </c>
      <c r="SKX27" s="24" t="e">
        <v>#N/A</v>
      </c>
      <c r="SKY27" s="24" t="e">
        <v>#N/A</v>
      </c>
      <c r="SKZ27" s="24" t="e">
        <v>#N/A</v>
      </c>
      <c r="SLA27" s="24" t="e">
        <v>#N/A</v>
      </c>
      <c r="SLB27" s="24" t="e">
        <v>#N/A</v>
      </c>
      <c r="SLC27" s="24" t="e">
        <v>#N/A</v>
      </c>
      <c r="SLD27" s="24" t="e">
        <v>#N/A</v>
      </c>
      <c r="SLE27" s="24" t="e">
        <v>#N/A</v>
      </c>
      <c r="SLF27" s="24" t="e">
        <v>#N/A</v>
      </c>
      <c r="SLG27" s="24" t="e">
        <v>#N/A</v>
      </c>
      <c r="SLH27" s="24" t="e">
        <v>#N/A</v>
      </c>
      <c r="SLI27" s="24" t="e">
        <v>#N/A</v>
      </c>
      <c r="SLJ27" s="24" t="e">
        <v>#N/A</v>
      </c>
      <c r="SLK27" s="24" t="e">
        <v>#N/A</v>
      </c>
      <c r="SLL27" s="24" t="e">
        <v>#N/A</v>
      </c>
      <c r="SLM27" s="24" t="e">
        <v>#N/A</v>
      </c>
      <c r="SLN27" s="24" t="e">
        <v>#N/A</v>
      </c>
      <c r="SLO27" s="24" t="e">
        <v>#N/A</v>
      </c>
      <c r="SLP27" s="24" t="e">
        <v>#N/A</v>
      </c>
      <c r="SLQ27" s="24" t="e">
        <v>#N/A</v>
      </c>
      <c r="SLR27" s="24" t="e">
        <v>#N/A</v>
      </c>
      <c r="SLS27" s="24" t="e">
        <v>#N/A</v>
      </c>
      <c r="SLT27" s="24" t="e">
        <v>#N/A</v>
      </c>
      <c r="SLU27" s="24" t="e">
        <v>#N/A</v>
      </c>
      <c r="SLV27" s="24" t="e">
        <v>#N/A</v>
      </c>
      <c r="SLW27" s="24" t="e">
        <v>#N/A</v>
      </c>
      <c r="SLX27" s="24" t="e">
        <v>#N/A</v>
      </c>
      <c r="SLY27" s="24" t="e">
        <v>#N/A</v>
      </c>
      <c r="SLZ27" s="24" t="e">
        <v>#N/A</v>
      </c>
      <c r="SMA27" s="24" t="e">
        <v>#N/A</v>
      </c>
      <c r="SMB27" s="24" t="e">
        <v>#N/A</v>
      </c>
      <c r="SMC27" s="24" t="e">
        <v>#N/A</v>
      </c>
      <c r="SMD27" s="24" t="e">
        <v>#N/A</v>
      </c>
      <c r="SME27" s="24" t="e">
        <v>#N/A</v>
      </c>
      <c r="SMF27" s="24" t="e">
        <v>#N/A</v>
      </c>
      <c r="SMG27" s="24" t="e">
        <v>#N/A</v>
      </c>
      <c r="SMH27" s="24" t="e">
        <v>#N/A</v>
      </c>
      <c r="SMI27" s="24" t="e">
        <v>#N/A</v>
      </c>
      <c r="SMJ27" s="24" t="e">
        <v>#N/A</v>
      </c>
      <c r="SMK27" s="24" t="e">
        <v>#N/A</v>
      </c>
      <c r="SML27" s="24" t="e">
        <v>#N/A</v>
      </c>
      <c r="SMM27" s="24" t="e">
        <v>#N/A</v>
      </c>
      <c r="SMN27" s="24" t="e">
        <v>#N/A</v>
      </c>
      <c r="SMO27" s="24" t="e">
        <v>#N/A</v>
      </c>
      <c r="SMP27" s="24" t="e">
        <v>#N/A</v>
      </c>
      <c r="SMQ27" s="24" t="e">
        <v>#N/A</v>
      </c>
      <c r="SMR27" s="24" t="e">
        <v>#N/A</v>
      </c>
      <c r="SMS27" s="24" t="e">
        <v>#N/A</v>
      </c>
      <c r="SMT27" s="24" t="e">
        <v>#N/A</v>
      </c>
      <c r="SMU27" s="24" t="e">
        <v>#N/A</v>
      </c>
      <c r="SMV27" s="24" t="e">
        <v>#N/A</v>
      </c>
      <c r="SMW27" s="24" t="e">
        <v>#N/A</v>
      </c>
      <c r="SMX27" s="24" t="e">
        <v>#N/A</v>
      </c>
      <c r="SMY27" s="24" t="e">
        <v>#N/A</v>
      </c>
      <c r="SMZ27" s="24" t="e">
        <v>#N/A</v>
      </c>
      <c r="SNA27" s="24" t="e">
        <v>#N/A</v>
      </c>
      <c r="SNB27" s="24" t="e">
        <v>#N/A</v>
      </c>
      <c r="SNC27" s="24" t="e">
        <v>#N/A</v>
      </c>
      <c r="SND27" s="24" t="e">
        <v>#N/A</v>
      </c>
      <c r="SNE27" s="24" t="e">
        <v>#N/A</v>
      </c>
      <c r="SNF27" s="24" t="e">
        <v>#N/A</v>
      </c>
      <c r="SNG27" s="24" t="e">
        <v>#N/A</v>
      </c>
      <c r="SNH27" s="24" t="e">
        <v>#N/A</v>
      </c>
      <c r="SNI27" s="24" t="e">
        <v>#N/A</v>
      </c>
      <c r="SNJ27" s="24" t="e">
        <v>#N/A</v>
      </c>
      <c r="SNK27" s="24" t="e">
        <v>#N/A</v>
      </c>
      <c r="SNL27" s="24" t="e">
        <v>#N/A</v>
      </c>
      <c r="SNM27" s="24" t="e">
        <v>#N/A</v>
      </c>
      <c r="SNN27" s="24" t="e">
        <v>#N/A</v>
      </c>
      <c r="SNO27" s="24" t="e">
        <v>#N/A</v>
      </c>
      <c r="SNP27" s="24" t="e">
        <v>#N/A</v>
      </c>
      <c r="SNQ27" s="24" t="e">
        <v>#N/A</v>
      </c>
      <c r="SNR27" s="24" t="e">
        <v>#N/A</v>
      </c>
      <c r="SNS27" s="24" t="e">
        <v>#N/A</v>
      </c>
      <c r="SNT27" s="24" t="e">
        <v>#N/A</v>
      </c>
      <c r="SNU27" s="24" t="e">
        <v>#N/A</v>
      </c>
      <c r="SNV27" s="24" t="e">
        <v>#N/A</v>
      </c>
      <c r="SNW27" s="24" t="e">
        <v>#N/A</v>
      </c>
      <c r="SNX27" s="24" t="e">
        <v>#N/A</v>
      </c>
      <c r="SNY27" s="24" t="e">
        <v>#N/A</v>
      </c>
      <c r="SNZ27" s="24" t="e">
        <v>#N/A</v>
      </c>
      <c r="SOA27" s="24" t="e">
        <v>#N/A</v>
      </c>
      <c r="SOB27" s="24" t="e">
        <v>#N/A</v>
      </c>
      <c r="SOC27" s="24" t="e">
        <v>#N/A</v>
      </c>
      <c r="SOD27" s="24" t="e">
        <v>#N/A</v>
      </c>
      <c r="SOE27" s="24" t="e">
        <v>#N/A</v>
      </c>
      <c r="SOF27" s="24" t="e">
        <v>#N/A</v>
      </c>
      <c r="SOG27" s="24" t="e">
        <v>#N/A</v>
      </c>
      <c r="SOH27" s="24" t="e">
        <v>#N/A</v>
      </c>
      <c r="SOI27" s="24" t="e">
        <v>#N/A</v>
      </c>
      <c r="SOJ27" s="24" t="e">
        <v>#N/A</v>
      </c>
      <c r="SOK27" s="24" t="e">
        <v>#N/A</v>
      </c>
      <c r="SOL27" s="24" t="e">
        <v>#N/A</v>
      </c>
      <c r="SOM27" s="24" t="e">
        <v>#N/A</v>
      </c>
      <c r="SON27" s="24" t="e">
        <v>#N/A</v>
      </c>
      <c r="SOO27" s="24" t="e">
        <v>#N/A</v>
      </c>
      <c r="SOP27" s="24" t="e">
        <v>#N/A</v>
      </c>
      <c r="SOQ27" s="24" t="e">
        <v>#N/A</v>
      </c>
      <c r="SOR27" s="24" t="e">
        <v>#N/A</v>
      </c>
      <c r="SOS27" s="24" t="e">
        <v>#N/A</v>
      </c>
      <c r="SOT27" s="24" t="e">
        <v>#N/A</v>
      </c>
      <c r="SOU27" s="24" t="e">
        <v>#N/A</v>
      </c>
      <c r="SOV27" s="24" t="e">
        <v>#N/A</v>
      </c>
      <c r="SOW27" s="24" t="e">
        <v>#N/A</v>
      </c>
      <c r="SOX27" s="24" t="e">
        <v>#N/A</v>
      </c>
      <c r="SOY27" s="24" t="e">
        <v>#N/A</v>
      </c>
      <c r="SOZ27" s="24" t="e">
        <v>#N/A</v>
      </c>
      <c r="SPA27" s="24" t="e">
        <v>#N/A</v>
      </c>
      <c r="SPB27" s="24" t="e">
        <v>#N/A</v>
      </c>
      <c r="SPC27" s="24" t="e">
        <v>#N/A</v>
      </c>
      <c r="SPD27" s="24" t="e">
        <v>#N/A</v>
      </c>
      <c r="SPE27" s="24" t="e">
        <v>#N/A</v>
      </c>
      <c r="SPF27" s="24" t="e">
        <v>#N/A</v>
      </c>
      <c r="SPG27" s="24" t="e">
        <v>#N/A</v>
      </c>
      <c r="SPH27" s="24" t="e">
        <v>#N/A</v>
      </c>
      <c r="SPI27" s="24" t="e">
        <v>#N/A</v>
      </c>
      <c r="SPJ27" s="24" t="e">
        <v>#N/A</v>
      </c>
      <c r="SPK27" s="24" t="e">
        <v>#N/A</v>
      </c>
      <c r="SPL27" s="24" t="e">
        <v>#N/A</v>
      </c>
      <c r="SPM27" s="24" t="e">
        <v>#N/A</v>
      </c>
      <c r="SPN27" s="24" t="e">
        <v>#N/A</v>
      </c>
      <c r="SPO27" s="24" t="e">
        <v>#N/A</v>
      </c>
      <c r="SPP27" s="24" t="e">
        <v>#N/A</v>
      </c>
      <c r="SPQ27" s="24" t="e">
        <v>#N/A</v>
      </c>
      <c r="SPR27" s="24" t="e">
        <v>#N/A</v>
      </c>
      <c r="SPS27" s="24" t="e">
        <v>#N/A</v>
      </c>
      <c r="SPT27" s="24" t="e">
        <v>#N/A</v>
      </c>
      <c r="SPU27" s="24" t="e">
        <v>#N/A</v>
      </c>
      <c r="SPV27" s="24" t="e">
        <v>#N/A</v>
      </c>
      <c r="SPW27" s="24" t="e">
        <v>#N/A</v>
      </c>
      <c r="SPX27" s="24" t="e">
        <v>#N/A</v>
      </c>
      <c r="SPY27" s="24" t="e">
        <v>#N/A</v>
      </c>
      <c r="SPZ27" s="24" t="e">
        <v>#N/A</v>
      </c>
      <c r="SQA27" s="24" t="e">
        <v>#N/A</v>
      </c>
      <c r="SQB27" s="24" t="e">
        <v>#N/A</v>
      </c>
      <c r="SQC27" s="24" t="e">
        <v>#N/A</v>
      </c>
      <c r="SQD27" s="24" t="e">
        <v>#N/A</v>
      </c>
      <c r="SQE27" s="24" t="e">
        <v>#N/A</v>
      </c>
      <c r="SQF27" s="24" t="e">
        <v>#N/A</v>
      </c>
      <c r="SQG27" s="24" t="e">
        <v>#N/A</v>
      </c>
      <c r="SQH27" s="24" t="e">
        <v>#N/A</v>
      </c>
      <c r="SQI27" s="24" t="e">
        <v>#N/A</v>
      </c>
      <c r="SQJ27" s="24" t="e">
        <v>#N/A</v>
      </c>
      <c r="SQK27" s="24" t="e">
        <v>#N/A</v>
      </c>
      <c r="SQL27" s="24" t="e">
        <v>#N/A</v>
      </c>
      <c r="SQM27" s="24" t="e">
        <v>#N/A</v>
      </c>
      <c r="SQN27" s="24" t="e">
        <v>#N/A</v>
      </c>
      <c r="SQO27" s="24" t="e">
        <v>#N/A</v>
      </c>
      <c r="SQP27" s="24" t="e">
        <v>#N/A</v>
      </c>
      <c r="SQQ27" s="24" t="e">
        <v>#N/A</v>
      </c>
      <c r="SQR27" s="24" t="e">
        <v>#N/A</v>
      </c>
      <c r="SQS27" s="24" t="e">
        <v>#N/A</v>
      </c>
      <c r="SQT27" s="24" t="e">
        <v>#N/A</v>
      </c>
      <c r="SQU27" s="24" t="e">
        <v>#N/A</v>
      </c>
      <c r="SQV27" s="24" t="e">
        <v>#N/A</v>
      </c>
      <c r="SQW27" s="24" t="e">
        <v>#N/A</v>
      </c>
      <c r="SQX27" s="24" t="e">
        <v>#N/A</v>
      </c>
      <c r="SQY27" s="24" t="e">
        <v>#N/A</v>
      </c>
      <c r="SQZ27" s="24" t="e">
        <v>#N/A</v>
      </c>
      <c r="SRA27" s="24" t="e">
        <v>#N/A</v>
      </c>
      <c r="SRB27" s="24" t="e">
        <v>#N/A</v>
      </c>
      <c r="SRC27" s="24" t="e">
        <v>#N/A</v>
      </c>
      <c r="SRD27" s="24" t="e">
        <v>#N/A</v>
      </c>
      <c r="SRE27" s="24" t="e">
        <v>#N/A</v>
      </c>
      <c r="SRF27" s="24" t="e">
        <v>#N/A</v>
      </c>
      <c r="SRG27" s="24" t="e">
        <v>#N/A</v>
      </c>
      <c r="SRH27" s="24" t="e">
        <v>#N/A</v>
      </c>
      <c r="SRI27" s="24" t="e">
        <v>#N/A</v>
      </c>
      <c r="SRJ27" s="24" t="e">
        <v>#N/A</v>
      </c>
      <c r="SRK27" s="24" t="e">
        <v>#N/A</v>
      </c>
      <c r="SRL27" s="24" t="e">
        <v>#N/A</v>
      </c>
      <c r="SRM27" s="24" t="e">
        <v>#N/A</v>
      </c>
      <c r="SRN27" s="24" t="e">
        <v>#N/A</v>
      </c>
      <c r="SRO27" s="24" t="e">
        <v>#N/A</v>
      </c>
      <c r="SRP27" s="24" t="e">
        <v>#N/A</v>
      </c>
      <c r="SRQ27" s="24" t="e">
        <v>#N/A</v>
      </c>
      <c r="SRR27" s="24" t="e">
        <v>#N/A</v>
      </c>
      <c r="SRS27" s="24" t="e">
        <v>#N/A</v>
      </c>
      <c r="SRT27" s="24" t="e">
        <v>#N/A</v>
      </c>
      <c r="SRU27" s="24" t="e">
        <v>#N/A</v>
      </c>
      <c r="SRV27" s="24" t="e">
        <v>#N/A</v>
      </c>
      <c r="SRW27" s="24" t="e">
        <v>#N/A</v>
      </c>
      <c r="SRX27" s="24" t="e">
        <v>#N/A</v>
      </c>
      <c r="SRY27" s="24" t="e">
        <v>#N/A</v>
      </c>
      <c r="SRZ27" s="24" t="e">
        <v>#N/A</v>
      </c>
      <c r="SSA27" s="24" t="e">
        <v>#N/A</v>
      </c>
      <c r="SSB27" s="24" t="e">
        <v>#N/A</v>
      </c>
      <c r="SSC27" s="24" t="e">
        <v>#N/A</v>
      </c>
      <c r="SSD27" s="24" t="e">
        <v>#N/A</v>
      </c>
      <c r="SSE27" s="24" t="e">
        <v>#N/A</v>
      </c>
      <c r="SSF27" s="24" t="e">
        <v>#N/A</v>
      </c>
      <c r="SSG27" s="24" t="e">
        <v>#N/A</v>
      </c>
      <c r="SSH27" s="24" t="e">
        <v>#N/A</v>
      </c>
      <c r="SSI27" s="24" t="e">
        <v>#N/A</v>
      </c>
      <c r="SSJ27" s="24" t="e">
        <v>#N/A</v>
      </c>
      <c r="SSK27" s="24" t="e">
        <v>#N/A</v>
      </c>
      <c r="SSL27" s="24" t="e">
        <v>#N/A</v>
      </c>
      <c r="SSM27" s="24" t="e">
        <v>#N/A</v>
      </c>
      <c r="SSN27" s="24" t="e">
        <v>#N/A</v>
      </c>
      <c r="SSO27" s="24" t="e">
        <v>#N/A</v>
      </c>
      <c r="SSP27" s="24" t="e">
        <v>#N/A</v>
      </c>
      <c r="SSQ27" s="24" t="e">
        <v>#N/A</v>
      </c>
      <c r="SSR27" s="24" t="e">
        <v>#N/A</v>
      </c>
      <c r="SSS27" s="24" t="e">
        <v>#N/A</v>
      </c>
      <c r="SST27" s="24" t="e">
        <v>#N/A</v>
      </c>
      <c r="SSU27" s="24" t="e">
        <v>#N/A</v>
      </c>
      <c r="SSV27" s="24" t="e">
        <v>#N/A</v>
      </c>
      <c r="SSW27" s="24" t="e">
        <v>#N/A</v>
      </c>
      <c r="SSX27" s="24" t="e">
        <v>#N/A</v>
      </c>
      <c r="SSY27" s="24" t="e">
        <v>#N/A</v>
      </c>
      <c r="SSZ27" s="24" t="e">
        <v>#N/A</v>
      </c>
      <c r="STA27" s="24" t="e">
        <v>#N/A</v>
      </c>
      <c r="STB27" s="24" t="e">
        <v>#N/A</v>
      </c>
      <c r="STC27" s="24" t="e">
        <v>#N/A</v>
      </c>
      <c r="STD27" s="24" t="e">
        <v>#N/A</v>
      </c>
      <c r="STE27" s="24" t="e">
        <v>#N/A</v>
      </c>
      <c r="STF27" s="24" t="e">
        <v>#N/A</v>
      </c>
      <c r="STG27" s="24" t="e">
        <v>#N/A</v>
      </c>
      <c r="STH27" s="24" t="e">
        <v>#N/A</v>
      </c>
      <c r="STI27" s="24" t="e">
        <v>#N/A</v>
      </c>
      <c r="STJ27" s="24" t="e">
        <v>#N/A</v>
      </c>
      <c r="STK27" s="24" t="e">
        <v>#N/A</v>
      </c>
      <c r="STL27" s="24" t="e">
        <v>#N/A</v>
      </c>
      <c r="STM27" s="24" t="e">
        <v>#N/A</v>
      </c>
      <c r="STN27" s="24" t="e">
        <v>#N/A</v>
      </c>
      <c r="STO27" s="24" t="e">
        <v>#N/A</v>
      </c>
      <c r="STP27" s="24" t="e">
        <v>#N/A</v>
      </c>
      <c r="STQ27" s="24" t="e">
        <v>#N/A</v>
      </c>
      <c r="STR27" s="24" t="e">
        <v>#N/A</v>
      </c>
      <c r="STS27" s="24" t="e">
        <v>#N/A</v>
      </c>
      <c r="STT27" s="24" t="e">
        <v>#N/A</v>
      </c>
      <c r="STU27" s="24" t="e">
        <v>#N/A</v>
      </c>
      <c r="STV27" s="24" t="e">
        <v>#N/A</v>
      </c>
      <c r="STW27" s="24" t="e">
        <v>#N/A</v>
      </c>
      <c r="STX27" s="24" t="e">
        <v>#N/A</v>
      </c>
      <c r="STY27" s="24" t="e">
        <v>#N/A</v>
      </c>
      <c r="STZ27" s="24" t="e">
        <v>#N/A</v>
      </c>
      <c r="SUA27" s="24" t="e">
        <v>#N/A</v>
      </c>
      <c r="SUB27" s="24" t="e">
        <v>#N/A</v>
      </c>
      <c r="SUC27" s="24" t="e">
        <v>#N/A</v>
      </c>
      <c r="SUD27" s="24" t="e">
        <v>#N/A</v>
      </c>
      <c r="SUE27" s="24" t="e">
        <v>#N/A</v>
      </c>
      <c r="SUF27" s="24" t="e">
        <v>#N/A</v>
      </c>
      <c r="SUG27" s="24" t="e">
        <v>#N/A</v>
      </c>
      <c r="SUH27" s="24" t="e">
        <v>#N/A</v>
      </c>
      <c r="SUI27" s="24" t="e">
        <v>#N/A</v>
      </c>
      <c r="SUJ27" s="24" t="e">
        <v>#N/A</v>
      </c>
      <c r="SUK27" s="24" t="e">
        <v>#N/A</v>
      </c>
      <c r="SUL27" s="24" t="e">
        <v>#N/A</v>
      </c>
      <c r="SUM27" s="24" t="e">
        <v>#N/A</v>
      </c>
      <c r="SUN27" s="24" t="e">
        <v>#N/A</v>
      </c>
      <c r="SUO27" s="24" t="e">
        <v>#N/A</v>
      </c>
      <c r="SUP27" s="24" t="e">
        <v>#N/A</v>
      </c>
      <c r="SUQ27" s="24" t="e">
        <v>#N/A</v>
      </c>
      <c r="SUR27" s="24" t="e">
        <v>#N/A</v>
      </c>
      <c r="SUS27" s="24" t="e">
        <v>#N/A</v>
      </c>
      <c r="SUT27" s="24" t="e">
        <v>#N/A</v>
      </c>
      <c r="SUU27" s="24" t="e">
        <v>#N/A</v>
      </c>
      <c r="SUV27" s="24" t="e">
        <v>#N/A</v>
      </c>
      <c r="SUW27" s="24" t="e">
        <v>#N/A</v>
      </c>
      <c r="SUX27" s="24" t="e">
        <v>#N/A</v>
      </c>
      <c r="SUY27" s="24" t="e">
        <v>#N/A</v>
      </c>
      <c r="SUZ27" s="24" t="e">
        <v>#N/A</v>
      </c>
      <c r="SVA27" s="24" t="e">
        <v>#N/A</v>
      </c>
      <c r="SVB27" s="24" t="e">
        <v>#N/A</v>
      </c>
      <c r="SVC27" s="24" t="e">
        <v>#N/A</v>
      </c>
      <c r="SVD27" s="24" t="e">
        <v>#N/A</v>
      </c>
      <c r="SVE27" s="24" t="e">
        <v>#N/A</v>
      </c>
      <c r="SVF27" s="24" t="e">
        <v>#N/A</v>
      </c>
      <c r="SVG27" s="24" t="e">
        <v>#N/A</v>
      </c>
      <c r="SVH27" s="24" t="e">
        <v>#N/A</v>
      </c>
      <c r="SVI27" s="24" t="e">
        <v>#N/A</v>
      </c>
      <c r="SVJ27" s="24" t="e">
        <v>#N/A</v>
      </c>
      <c r="SVK27" s="24" t="e">
        <v>#N/A</v>
      </c>
      <c r="SVL27" s="24" t="e">
        <v>#N/A</v>
      </c>
      <c r="SVM27" s="24" t="e">
        <v>#N/A</v>
      </c>
      <c r="SVN27" s="24" t="e">
        <v>#N/A</v>
      </c>
      <c r="SVO27" s="24" t="e">
        <v>#N/A</v>
      </c>
      <c r="SVP27" s="24" t="e">
        <v>#N/A</v>
      </c>
      <c r="SVQ27" s="24" t="e">
        <v>#N/A</v>
      </c>
      <c r="SVR27" s="24" t="e">
        <v>#N/A</v>
      </c>
      <c r="SVS27" s="24" t="e">
        <v>#N/A</v>
      </c>
      <c r="SVT27" s="24" t="e">
        <v>#N/A</v>
      </c>
      <c r="SVU27" s="24" t="e">
        <v>#N/A</v>
      </c>
      <c r="SVV27" s="24" t="e">
        <v>#N/A</v>
      </c>
      <c r="SVW27" s="24" t="e">
        <v>#N/A</v>
      </c>
      <c r="SVX27" s="24" t="e">
        <v>#N/A</v>
      </c>
      <c r="SVY27" s="24" t="e">
        <v>#N/A</v>
      </c>
      <c r="SVZ27" s="24" t="e">
        <v>#N/A</v>
      </c>
      <c r="SWA27" s="24" t="e">
        <v>#N/A</v>
      </c>
      <c r="SWB27" s="24" t="e">
        <v>#N/A</v>
      </c>
      <c r="SWC27" s="24" t="e">
        <v>#N/A</v>
      </c>
      <c r="SWD27" s="24" t="e">
        <v>#N/A</v>
      </c>
      <c r="SWE27" s="24" t="e">
        <v>#N/A</v>
      </c>
      <c r="SWF27" s="24" t="e">
        <v>#N/A</v>
      </c>
      <c r="SWG27" s="24" t="e">
        <v>#N/A</v>
      </c>
      <c r="SWH27" s="24" t="e">
        <v>#N/A</v>
      </c>
      <c r="SWI27" s="24" t="e">
        <v>#N/A</v>
      </c>
      <c r="SWJ27" s="24" t="e">
        <v>#N/A</v>
      </c>
      <c r="SWK27" s="24" t="e">
        <v>#N/A</v>
      </c>
      <c r="SWL27" s="24" t="e">
        <v>#N/A</v>
      </c>
      <c r="SWM27" s="24" t="e">
        <v>#N/A</v>
      </c>
      <c r="SWN27" s="24" t="e">
        <v>#N/A</v>
      </c>
      <c r="SWO27" s="24" t="e">
        <v>#N/A</v>
      </c>
      <c r="SWP27" s="24" t="e">
        <v>#N/A</v>
      </c>
      <c r="SWQ27" s="24" t="e">
        <v>#N/A</v>
      </c>
      <c r="SWR27" s="24" t="e">
        <v>#N/A</v>
      </c>
      <c r="SWS27" s="24" t="e">
        <v>#N/A</v>
      </c>
      <c r="SWT27" s="24" t="e">
        <v>#N/A</v>
      </c>
      <c r="SWU27" s="24" t="e">
        <v>#N/A</v>
      </c>
      <c r="SWV27" s="24" t="e">
        <v>#N/A</v>
      </c>
      <c r="SWW27" s="24" t="e">
        <v>#N/A</v>
      </c>
      <c r="SWX27" s="24" t="e">
        <v>#N/A</v>
      </c>
      <c r="SWY27" s="24" t="e">
        <v>#N/A</v>
      </c>
      <c r="SWZ27" s="24" t="e">
        <v>#N/A</v>
      </c>
      <c r="SXA27" s="24" t="e">
        <v>#N/A</v>
      </c>
      <c r="SXB27" s="24" t="e">
        <v>#N/A</v>
      </c>
      <c r="SXC27" s="24" t="e">
        <v>#N/A</v>
      </c>
      <c r="SXD27" s="24" t="e">
        <v>#N/A</v>
      </c>
      <c r="SXE27" s="24" t="e">
        <v>#N/A</v>
      </c>
      <c r="SXF27" s="24" t="e">
        <v>#N/A</v>
      </c>
      <c r="SXG27" s="24" t="e">
        <v>#N/A</v>
      </c>
      <c r="SXH27" s="24" t="e">
        <v>#N/A</v>
      </c>
      <c r="SXI27" s="24" t="e">
        <v>#N/A</v>
      </c>
      <c r="SXJ27" s="24" t="e">
        <v>#N/A</v>
      </c>
      <c r="SXK27" s="24" t="e">
        <v>#N/A</v>
      </c>
      <c r="SXL27" s="24" t="e">
        <v>#N/A</v>
      </c>
      <c r="SXM27" s="24" t="e">
        <v>#N/A</v>
      </c>
      <c r="SXN27" s="24" t="e">
        <v>#N/A</v>
      </c>
      <c r="SXO27" s="24" t="e">
        <v>#N/A</v>
      </c>
      <c r="SXP27" s="24" t="e">
        <v>#N/A</v>
      </c>
      <c r="SXQ27" s="24" t="e">
        <v>#N/A</v>
      </c>
      <c r="SXR27" s="24" t="e">
        <v>#N/A</v>
      </c>
      <c r="SXS27" s="24" t="e">
        <v>#N/A</v>
      </c>
      <c r="SXT27" s="24" t="e">
        <v>#N/A</v>
      </c>
      <c r="SXU27" s="24" t="e">
        <v>#N/A</v>
      </c>
      <c r="SXV27" s="24" t="e">
        <v>#N/A</v>
      </c>
      <c r="SXW27" s="24" t="e">
        <v>#N/A</v>
      </c>
      <c r="SXX27" s="24" t="e">
        <v>#N/A</v>
      </c>
      <c r="SXY27" s="24" t="e">
        <v>#N/A</v>
      </c>
      <c r="SXZ27" s="24" t="e">
        <v>#N/A</v>
      </c>
      <c r="SYA27" s="24" t="e">
        <v>#N/A</v>
      </c>
      <c r="SYB27" s="24" t="e">
        <v>#N/A</v>
      </c>
      <c r="SYC27" s="24" t="e">
        <v>#N/A</v>
      </c>
      <c r="SYD27" s="24" t="e">
        <v>#N/A</v>
      </c>
      <c r="SYE27" s="24" t="e">
        <v>#N/A</v>
      </c>
      <c r="SYF27" s="24" t="e">
        <v>#N/A</v>
      </c>
      <c r="SYG27" s="24" t="e">
        <v>#N/A</v>
      </c>
      <c r="SYH27" s="24" t="e">
        <v>#N/A</v>
      </c>
      <c r="SYI27" s="24" t="e">
        <v>#N/A</v>
      </c>
      <c r="SYJ27" s="24" t="e">
        <v>#N/A</v>
      </c>
      <c r="SYK27" s="24" t="e">
        <v>#N/A</v>
      </c>
      <c r="SYL27" s="24" t="e">
        <v>#N/A</v>
      </c>
      <c r="SYM27" s="24" t="e">
        <v>#N/A</v>
      </c>
      <c r="SYN27" s="24" t="e">
        <v>#N/A</v>
      </c>
      <c r="SYO27" s="24" t="e">
        <v>#N/A</v>
      </c>
      <c r="SYP27" s="24" t="e">
        <v>#N/A</v>
      </c>
      <c r="SYQ27" s="24" t="e">
        <v>#N/A</v>
      </c>
      <c r="SYR27" s="24" t="e">
        <v>#N/A</v>
      </c>
      <c r="SYS27" s="24" t="e">
        <v>#N/A</v>
      </c>
      <c r="SYT27" s="24" t="e">
        <v>#N/A</v>
      </c>
      <c r="SYU27" s="24" t="e">
        <v>#N/A</v>
      </c>
      <c r="SYV27" s="24" t="e">
        <v>#N/A</v>
      </c>
      <c r="SYW27" s="24" t="e">
        <v>#N/A</v>
      </c>
      <c r="SYX27" s="24" t="e">
        <v>#N/A</v>
      </c>
      <c r="SYY27" s="24" t="e">
        <v>#N/A</v>
      </c>
      <c r="SYZ27" s="24" t="e">
        <v>#N/A</v>
      </c>
      <c r="SZA27" s="24" t="e">
        <v>#N/A</v>
      </c>
      <c r="SZB27" s="24" t="e">
        <v>#N/A</v>
      </c>
      <c r="SZC27" s="24" t="e">
        <v>#N/A</v>
      </c>
      <c r="SZD27" s="24" t="e">
        <v>#N/A</v>
      </c>
      <c r="SZE27" s="24" t="e">
        <v>#N/A</v>
      </c>
      <c r="SZF27" s="24" t="e">
        <v>#N/A</v>
      </c>
      <c r="SZG27" s="24" t="e">
        <v>#N/A</v>
      </c>
      <c r="SZH27" s="24" t="e">
        <v>#N/A</v>
      </c>
      <c r="SZI27" s="24" t="e">
        <v>#N/A</v>
      </c>
      <c r="SZJ27" s="24" t="e">
        <v>#N/A</v>
      </c>
      <c r="SZK27" s="24" t="e">
        <v>#N/A</v>
      </c>
      <c r="SZL27" s="24" t="e">
        <v>#N/A</v>
      </c>
      <c r="SZM27" s="24" t="e">
        <v>#N/A</v>
      </c>
      <c r="SZN27" s="24" t="e">
        <v>#N/A</v>
      </c>
      <c r="SZO27" s="24" t="e">
        <v>#N/A</v>
      </c>
      <c r="SZP27" s="24" t="e">
        <v>#N/A</v>
      </c>
      <c r="SZQ27" s="24" t="e">
        <v>#N/A</v>
      </c>
      <c r="SZR27" s="24" t="e">
        <v>#N/A</v>
      </c>
      <c r="SZS27" s="24" t="e">
        <v>#N/A</v>
      </c>
      <c r="SZT27" s="24" t="e">
        <v>#N/A</v>
      </c>
      <c r="SZU27" s="24" t="e">
        <v>#N/A</v>
      </c>
      <c r="SZV27" s="24" t="e">
        <v>#N/A</v>
      </c>
      <c r="SZW27" s="24" t="e">
        <v>#N/A</v>
      </c>
      <c r="SZX27" s="24" t="e">
        <v>#N/A</v>
      </c>
      <c r="SZY27" s="24" t="e">
        <v>#N/A</v>
      </c>
      <c r="SZZ27" s="24" t="e">
        <v>#N/A</v>
      </c>
      <c r="TAA27" s="24" t="e">
        <v>#N/A</v>
      </c>
      <c r="TAB27" s="24" t="e">
        <v>#N/A</v>
      </c>
      <c r="TAC27" s="24" t="e">
        <v>#N/A</v>
      </c>
      <c r="TAD27" s="24" t="e">
        <v>#N/A</v>
      </c>
      <c r="TAE27" s="24" t="e">
        <v>#N/A</v>
      </c>
      <c r="TAF27" s="24" t="e">
        <v>#N/A</v>
      </c>
      <c r="TAG27" s="24" t="e">
        <v>#N/A</v>
      </c>
      <c r="TAH27" s="24" t="e">
        <v>#N/A</v>
      </c>
      <c r="TAI27" s="24" t="e">
        <v>#N/A</v>
      </c>
      <c r="TAJ27" s="24" t="e">
        <v>#N/A</v>
      </c>
      <c r="TAK27" s="24" t="e">
        <v>#N/A</v>
      </c>
      <c r="TAL27" s="24" t="e">
        <v>#N/A</v>
      </c>
      <c r="TAM27" s="24" t="e">
        <v>#N/A</v>
      </c>
      <c r="TAN27" s="24" t="e">
        <v>#N/A</v>
      </c>
      <c r="TAO27" s="24" t="e">
        <v>#N/A</v>
      </c>
      <c r="TAP27" s="24" t="e">
        <v>#N/A</v>
      </c>
      <c r="TAQ27" s="24" t="e">
        <v>#N/A</v>
      </c>
      <c r="TAR27" s="24" t="e">
        <v>#N/A</v>
      </c>
      <c r="TAS27" s="24" t="e">
        <v>#N/A</v>
      </c>
      <c r="TAT27" s="24" t="e">
        <v>#N/A</v>
      </c>
      <c r="TAU27" s="24" t="e">
        <v>#N/A</v>
      </c>
      <c r="TAV27" s="24" t="e">
        <v>#N/A</v>
      </c>
      <c r="TAW27" s="24" t="e">
        <v>#N/A</v>
      </c>
      <c r="TAX27" s="24" t="e">
        <v>#N/A</v>
      </c>
      <c r="TAY27" s="24" t="e">
        <v>#N/A</v>
      </c>
      <c r="TAZ27" s="24" t="e">
        <v>#N/A</v>
      </c>
      <c r="TBA27" s="24" t="e">
        <v>#N/A</v>
      </c>
      <c r="TBB27" s="24" t="e">
        <v>#N/A</v>
      </c>
      <c r="TBC27" s="24" t="e">
        <v>#N/A</v>
      </c>
      <c r="TBD27" s="24" t="e">
        <v>#N/A</v>
      </c>
      <c r="TBE27" s="24" t="e">
        <v>#N/A</v>
      </c>
      <c r="TBF27" s="24" t="e">
        <v>#N/A</v>
      </c>
      <c r="TBG27" s="24" t="e">
        <v>#N/A</v>
      </c>
      <c r="TBH27" s="24" t="e">
        <v>#N/A</v>
      </c>
      <c r="TBI27" s="24" t="e">
        <v>#N/A</v>
      </c>
      <c r="TBJ27" s="24" t="e">
        <v>#N/A</v>
      </c>
      <c r="TBK27" s="24" t="e">
        <v>#N/A</v>
      </c>
      <c r="TBL27" s="24" t="e">
        <v>#N/A</v>
      </c>
      <c r="TBM27" s="24" t="e">
        <v>#N/A</v>
      </c>
      <c r="TBN27" s="24" t="e">
        <v>#N/A</v>
      </c>
      <c r="TBO27" s="24" t="e">
        <v>#N/A</v>
      </c>
      <c r="TBP27" s="24" t="e">
        <v>#N/A</v>
      </c>
      <c r="TBQ27" s="24" t="e">
        <v>#N/A</v>
      </c>
      <c r="TBR27" s="24" t="e">
        <v>#N/A</v>
      </c>
      <c r="TBS27" s="24" t="e">
        <v>#N/A</v>
      </c>
      <c r="TBT27" s="24" t="e">
        <v>#N/A</v>
      </c>
      <c r="TBU27" s="24" t="e">
        <v>#N/A</v>
      </c>
      <c r="TBV27" s="24" t="e">
        <v>#N/A</v>
      </c>
      <c r="TBW27" s="24" t="e">
        <v>#N/A</v>
      </c>
      <c r="TBX27" s="24" t="e">
        <v>#N/A</v>
      </c>
      <c r="TBY27" s="24" t="e">
        <v>#N/A</v>
      </c>
      <c r="TBZ27" s="24" t="e">
        <v>#N/A</v>
      </c>
      <c r="TCA27" s="24" t="e">
        <v>#N/A</v>
      </c>
      <c r="TCB27" s="24" t="e">
        <v>#N/A</v>
      </c>
      <c r="TCC27" s="24" t="e">
        <v>#N/A</v>
      </c>
      <c r="TCD27" s="24" t="e">
        <v>#N/A</v>
      </c>
      <c r="TCE27" s="24" t="e">
        <v>#N/A</v>
      </c>
      <c r="TCF27" s="24" t="e">
        <v>#N/A</v>
      </c>
      <c r="TCG27" s="24" t="e">
        <v>#N/A</v>
      </c>
      <c r="TCH27" s="24" t="e">
        <v>#N/A</v>
      </c>
      <c r="TCI27" s="24" t="e">
        <v>#N/A</v>
      </c>
      <c r="TCJ27" s="24" t="e">
        <v>#N/A</v>
      </c>
      <c r="TCK27" s="24" t="e">
        <v>#N/A</v>
      </c>
      <c r="TCL27" s="24" t="e">
        <v>#N/A</v>
      </c>
      <c r="TCM27" s="24" t="e">
        <v>#N/A</v>
      </c>
      <c r="TCN27" s="24" t="e">
        <v>#N/A</v>
      </c>
      <c r="TCO27" s="24" t="e">
        <v>#N/A</v>
      </c>
      <c r="TCP27" s="24" t="e">
        <v>#N/A</v>
      </c>
      <c r="TCQ27" s="24" t="e">
        <v>#N/A</v>
      </c>
      <c r="TCR27" s="24" t="e">
        <v>#N/A</v>
      </c>
      <c r="TCS27" s="24" t="e">
        <v>#N/A</v>
      </c>
      <c r="TCT27" s="24" t="e">
        <v>#N/A</v>
      </c>
      <c r="TCU27" s="24" t="e">
        <v>#N/A</v>
      </c>
      <c r="TCV27" s="24" t="e">
        <v>#N/A</v>
      </c>
      <c r="TCW27" s="24" t="e">
        <v>#N/A</v>
      </c>
      <c r="TCX27" s="24" t="e">
        <v>#N/A</v>
      </c>
      <c r="TCY27" s="24" t="e">
        <v>#N/A</v>
      </c>
      <c r="TCZ27" s="24" t="e">
        <v>#N/A</v>
      </c>
      <c r="TDA27" s="24" t="e">
        <v>#N/A</v>
      </c>
      <c r="TDB27" s="24" t="e">
        <v>#N/A</v>
      </c>
      <c r="TDC27" s="24" t="e">
        <v>#N/A</v>
      </c>
      <c r="TDD27" s="24" t="e">
        <v>#N/A</v>
      </c>
      <c r="TDE27" s="24" t="e">
        <v>#N/A</v>
      </c>
      <c r="TDF27" s="24" t="e">
        <v>#N/A</v>
      </c>
      <c r="TDG27" s="24" t="e">
        <v>#N/A</v>
      </c>
      <c r="TDH27" s="24" t="e">
        <v>#N/A</v>
      </c>
      <c r="TDI27" s="24" t="e">
        <v>#N/A</v>
      </c>
      <c r="TDJ27" s="24" t="e">
        <v>#N/A</v>
      </c>
      <c r="TDK27" s="24" t="e">
        <v>#N/A</v>
      </c>
      <c r="TDL27" s="24" t="e">
        <v>#N/A</v>
      </c>
      <c r="TDM27" s="24" t="e">
        <v>#N/A</v>
      </c>
      <c r="TDN27" s="24" t="e">
        <v>#N/A</v>
      </c>
      <c r="TDO27" s="24" t="e">
        <v>#N/A</v>
      </c>
      <c r="TDP27" s="24" t="e">
        <v>#N/A</v>
      </c>
      <c r="TDQ27" s="24" t="e">
        <v>#N/A</v>
      </c>
      <c r="TDR27" s="24" t="e">
        <v>#N/A</v>
      </c>
      <c r="TDS27" s="24" t="e">
        <v>#N/A</v>
      </c>
      <c r="TDT27" s="24" t="e">
        <v>#N/A</v>
      </c>
      <c r="TDU27" s="24" t="e">
        <v>#N/A</v>
      </c>
      <c r="TDV27" s="24" t="e">
        <v>#N/A</v>
      </c>
      <c r="TDW27" s="24" t="e">
        <v>#N/A</v>
      </c>
      <c r="TDX27" s="24" t="e">
        <v>#N/A</v>
      </c>
      <c r="TDY27" s="24" t="e">
        <v>#N/A</v>
      </c>
      <c r="TDZ27" s="24" t="e">
        <v>#N/A</v>
      </c>
      <c r="TEA27" s="24" t="e">
        <v>#N/A</v>
      </c>
      <c r="TEB27" s="24" t="e">
        <v>#N/A</v>
      </c>
      <c r="TEC27" s="24" t="e">
        <v>#N/A</v>
      </c>
      <c r="TED27" s="24" t="e">
        <v>#N/A</v>
      </c>
      <c r="TEE27" s="24" t="e">
        <v>#N/A</v>
      </c>
      <c r="TEF27" s="24" t="e">
        <v>#N/A</v>
      </c>
      <c r="TEG27" s="24" t="e">
        <v>#N/A</v>
      </c>
      <c r="TEH27" s="24" t="e">
        <v>#N/A</v>
      </c>
      <c r="TEI27" s="24" t="e">
        <v>#N/A</v>
      </c>
      <c r="TEJ27" s="24" t="e">
        <v>#N/A</v>
      </c>
      <c r="TEK27" s="24" t="e">
        <v>#N/A</v>
      </c>
      <c r="TEL27" s="24" t="e">
        <v>#N/A</v>
      </c>
      <c r="TEM27" s="24" t="e">
        <v>#N/A</v>
      </c>
      <c r="TEN27" s="24" t="e">
        <v>#N/A</v>
      </c>
      <c r="TEO27" s="24" t="e">
        <v>#N/A</v>
      </c>
      <c r="TEP27" s="24" t="e">
        <v>#N/A</v>
      </c>
      <c r="TEQ27" s="24" t="e">
        <v>#N/A</v>
      </c>
      <c r="TER27" s="24" t="e">
        <v>#N/A</v>
      </c>
      <c r="TES27" s="24" t="e">
        <v>#N/A</v>
      </c>
      <c r="TET27" s="24" t="e">
        <v>#N/A</v>
      </c>
      <c r="TEU27" s="24" t="e">
        <v>#N/A</v>
      </c>
      <c r="TEV27" s="24" t="e">
        <v>#N/A</v>
      </c>
      <c r="TEW27" s="24" t="e">
        <v>#N/A</v>
      </c>
      <c r="TEX27" s="24" t="e">
        <v>#N/A</v>
      </c>
      <c r="TEY27" s="24" t="e">
        <v>#N/A</v>
      </c>
      <c r="TEZ27" s="24" t="e">
        <v>#N/A</v>
      </c>
      <c r="TFA27" s="24" t="e">
        <v>#N/A</v>
      </c>
      <c r="TFB27" s="24" t="e">
        <v>#N/A</v>
      </c>
      <c r="TFC27" s="24" t="e">
        <v>#N/A</v>
      </c>
      <c r="TFD27" s="24" t="e">
        <v>#N/A</v>
      </c>
      <c r="TFE27" s="24" t="e">
        <v>#N/A</v>
      </c>
      <c r="TFF27" s="24" t="e">
        <v>#N/A</v>
      </c>
      <c r="TFG27" s="24" t="e">
        <v>#N/A</v>
      </c>
      <c r="TFH27" s="24" t="e">
        <v>#N/A</v>
      </c>
      <c r="TFI27" s="24" t="e">
        <v>#N/A</v>
      </c>
      <c r="TFJ27" s="24" t="e">
        <v>#N/A</v>
      </c>
      <c r="TFK27" s="24" t="e">
        <v>#N/A</v>
      </c>
      <c r="TFL27" s="24" t="e">
        <v>#N/A</v>
      </c>
      <c r="TFM27" s="24" t="e">
        <v>#N/A</v>
      </c>
      <c r="TFN27" s="24" t="e">
        <v>#N/A</v>
      </c>
      <c r="TFO27" s="24" t="e">
        <v>#N/A</v>
      </c>
      <c r="TFP27" s="24" t="e">
        <v>#N/A</v>
      </c>
      <c r="TFQ27" s="24" t="e">
        <v>#N/A</v>
      </c>
      <c r="TFR27" s="24" t="e">
        <v>#N/A</v>
      </c>
      <c r="TFS27" s="24" t="e">
        <v>#N/A</v>
      </c>
      <c r="TFT27" s="24" t="e">
        <v>#N/A</v>
      </c>
      <c r="TFU27" s="24" t="e">
        <v>#N/A</v>
      </c>
      <c r="TFV27" s="24" t="e">
        <v>#N/A</v>
      </c>
      <c r="TFW27" s="24" t="e">
        <v>#N/A</v>
      </c>
      <c r="TFX27" s="24" t="e">
        <v>#N/A</v>
      </c>
      <c r="TFY27" s="24" t="e">
        <v>#N/A</v>
      </c>
      <c r="TFZ27" s="24" t="e">
        <v>#N/A</v>
      </c>
      <c r="TGA27" s="24" t="e">
        <v>#N/A</v>
      </c>
      <c r="TGB27" s="24" t="e">
        <v>#N/A</v>
      </c>
      <c r="TGC27" s="24" t="e">
        <v>#N/A</v>
      </c>
      <c r="TGD27" s="24" t="e">
        <v>#N/A</v>
      </c>
      <c r="TGE27" s="24" t="e">
        <v>#N/A</v>
      </c>
      <c r="TGF27" s="24" t="e">
        <v>#N/A</v>
      </c>
      <c r="TGG27" s="24" t="e">
        <v>#N/A</v>
      </c>
      <c r="TGH27" s="24" t="e">
        <v>#N/A</v>
      </c>
      <c r="TGI27" s="24" t="e">
        <v>#N/A</v>
      </c>
      <c r="TGJ27" s="24" t="e">
        <v>#N/A</v>
      </c>
      <c r="TGK27" s="24" t="e">
        <v>#N/A</v>
      </c>
      <c r="TGL27" s="24" t="e">
        <v>#N/A</v>
      </c>
      <c r="TGM27" s="24" t="e">
        <v>#N/A</v>
      </c>
      <c r="TGN27" s="24" t="e">
        <v>#N/A</v>
      </c>
      <c r="TGO27" s="24" t="e">
        <v>#N/A</v>
      </c>
      <c r="TGP27" s="24" t="e">
        <v>#N/A</v>
      </c>
      <c r="TGQ27" s="24" t="e">
        <v>#N/A</v>
      </c>
      <c r="TGR27" s="24" t="e">
        <v>#N/A</v>
      </c>
      <c r="TGS27" s="24" t="e">
        <v>#N/A</v>
      </c>
      <c r="TGT27" s="24" t="e">
        <v>#N/A</v>
      </c>
      <c r="TGU27" s="24" t="e">
        <v>#N/A</v>
      </c>
      <c r="TGV27" s="24" t="e">
        <v>#N/A</v>
      </c>
      <c r="TGW27" s="24" t="e">
        <v>#N/A</v>
      </c>
      <c r="TGX27" s="24" t="e">
        <v>#N/A</v>
      </c>
      <c r="TGY27" s="24" t="e">
        <v>#N/A</v>
      </c>
      <c r="TGZ27" s="24" t="e">
        <v>#N/A</v>
      </c>
      <c r="THA27" s="24" t="e">
        <v>#N/A</v>
      </c>
      <c r="THB27" s="24" t="e">
        <v>#N/A</v>
      </c>
      <c r="THC27" s="24" t="e">
        <v>#N/A</v>
      </c>
      <c r="THD27" s="24" t="e">
        <v>#N/A</v>
      </c>
      <c r="THE27" s="24" t="e">
        <v>#N/A</v>
      </c>
      <c r="THF27" s="24" t="e">
        <v>#N/A</v>
      </c>
      <c r="THG27" s="24" t="e">
        <v>#N/A</v>
      </c>
      <c r="THH27" s="24" t="e">
        <v>#N/A</v>
      </c>
      <c r="THI27" s="24" t="e">
        <v>#N/A</v>
      </c>
      <c r="THJ27" s="24" t="e">
        <v>#N/A</v>
      </c>
      <c r="THK27" s="24" t="e">
        <v>#N/A</v>
      </c>
      <c r="THL27" s="24" t="e">
        <v>#N/A</v>
      </c>
      <c r="THM27" s="24" t="e">
        <v>#N/A</v>
      </c>
      <c r="THN27" s="24" t="e">
        <v>#N/A</v>
      </c>
      <c r="THO27" s="24" t="e">
        <v>#N/A</v>
      </c>
      <c r="THP27" s="24" t="e">
        <v>#N/A</v>
      </c>
      <c r="THQ27" s="24" t="e">
        <v>#N/A</v>
      </c>
      <c r="THR27" s="24" t="e">
        <v>#N/A</v>
      </c>
      <c r="THS27" s="24" t="e">
        <v>#N/A</v>
      </c>
      <c r="THT27" s="24" t="e">
        <v>#N/A</v>
      </c>
      <c r="THU27" s="24" t="e">
        <v>#N/A</v>
      </c>
      <c r="THV27" s="24" t="e">
        <v>#N/A</v>
      </c>
      <c r="THW27" s="24" t="e">
        <v>#N/A</v>
      </c>
      <c r="THX27" s="24" t="e">
        <v>#N/A</v>
      </c>
      <c r="THY27" s="24" t="e">
        <v>#N/A</v>
      </c>
      <c r="THZ27" s="24" t="e">
        <v>#N/A</v>
      </c>
      <c r="TIA27" s="24" t="e">
        <v>#N/A</v>
      </c>
      <c r="TIB27" s="24" t="e">
        <v>#N/A</v>
      </c>
      <c r="TIC27" s="24" t="e">
        <v>#N/A</v>
      </c>
      <c r="TID27" s="24" t="e">
        <v>#N/A</v>
      </c>
      <c r="TIE27" s="24" t="e">
        <v>#N/A</v>
      </c>
      <c r="TIF27" s="24" t="e">
        <v>#N/A</v>
      </c>
      <c r="TIG27" s="24" t="e">
        <v>#N/A</v>
      </c>
      <c r="TIH27" s="24" t="e">
        <v>#N/A</v>
      </c>
      <c r="TII27" s="24" t="e">
        <v>#N/A</v>
      </c>
      <c r="TIJ27" s="24" t="e">
        <v>#N/A</v>
      </c>
      <c r="TIK27" s="24" t="e">
        <v>#N/A</v>
      </c>
      <c r="TIL27" s="24" t="e">
        <v>#N/A</v>
      </c>
      <c r="TIM27" s="24" t="e">
        <v>#N/A</v>
      </c>
      <c r="TIN27" s="24" t="e">
        <v>#N/A</v>
      </c>
      <c r="TIO27" s="24" t="e">
        <v>#N/A</v>
      </c>
      <c r="TIP27" s="24" t="e">
        <v>#N/A</v>
      </c>
      <c r="TIQ27" s="24" t="e">
        <v>#N/A</v>
      </c>
      <c r="TIR27" s="24" t="e">
        <v>#N/A</v>
      </c>
      <c r="TIS27" s="24" t="e">
        <v>#N/A</v>
      </c>
      <c r="TIT27" s="24" t="e">
        <v>#N/A</v>
      </c>
      <c r="TIU27" s="24" t="e">
        <v>#N/A</v>
      </c>
      <c r="TIV27" s="24" t="e">
        <v>#N/A</v>
      </c>
      <c r="TIW27" s="24" t="e">
        <v>#N/A</v>
      </c>
      <c r="TIX27" s="24" t="e">
        <v>#N/A</v>
      </c>
      <c r="TIY27" s="24" t="e">
        <v>#N/A</v>
      </c>
      <c r="TIZ27" s="24" t="e">
        <v>#N/A</v>
      </c>
      <c r="TJA27" s="24" t="e">
        <v>#N/A</v>
      </c>
      <c r="TJB27" s="24" t="e">
        <v>#N/A</v>
      </c>
      <c r="TJC27" s="24" t="e">
        <v>#N/A</v>
      </c>
      <c r="TJD27" s="24" t="e">
        <v>#N/A</v>
      </c>
      <c r="TJE27" s="24" t="e">
        <v>#N/A</v>
      </c>
      <c r="TJF27" s="24" t="e">
        <v>#N/A</v>
      </c>
      <c r="TJG27" s="24" t="e">
        <v>#N/A</v>
      </c>
      <c r="TJH27" s="24" t="e">
        <v>#N/A</v>
      </c>
      <c r="TJI27" s="24" t="e">
        <v>#N/A</v>
      </c>
      <c r="TJJ27" s="24" t="e">
        <v>#N/A</v>
      </c>
      <c r="TJK27" s="24" t="e">
        <v>#N/A</v>
      </c>
      <c r="TJL27" s="24" t="e">
        <v>#N/A</v>
      </c>
      <c r="TJM27" s="24" t="e">
        <v>#N/A</v>
      </c>
      <c r="TJN27" s="24" t="e">
        <v>#N/A</v>
      </c>
      <c r="TJO27" s="24" t="e">
        <v>#N/A</v>
      </c>
      <c r="TJP27" s="24" t="e">
        <v>#N/A</v>
      </c>
      <c r="TJQ27" s="24" t="e">
        <v>#N/A</v>
      </c>
      <c r="TJR27" s="24" t="e">
        <v>#N/A</v>
      </c>
      <c r="TJS27" s="24" t="e">
        <v>#N/A</v>
      </c>
      <c r="TJT27" s="24" t="e">
        <v>#N/A</v>
      </c>
      <c r="TJU27" s="24" t="e">
        <v>#N/A</v>
      </c>
      <c r="TJV27" s="24" t="e">
        <v>#N/A</v>
      </c>
      <c r="TJW27" s="24" t="e">
        <v>#N/A</v>
      </c>
      <c r="TJX27" s="24" t="e">
        <v>#N/A</v>
      </c>
      <c r="TJY27" s="24" t="e">
        <v>#N/A</v>
      </c>
      <c r="TJZ27" s="24" t="e">
        <v>#N/A</v>
      </c>
      <c r="TKA27" s="24" t="e">
        <v>#N/A</v>
      </c>
      <c r="TKB27" s="24" t="e">
        <v>#N/A</v>
      </c>
      <c r="TKC27" s="24" t="e">
        <v>#N/A</v>
      </c>
      <c r="TKD27" s="24" t="e">
        <v>#N/A</v>
      </c>
      <c r="TKE27" s="24" t="e">
        <v>#N/A</v>
      </c>
      <c r="TKF27" s="24" t="e">
        <v>#N/A</v>
      </c>
      <c r="TKG27" s="24" t="e">
        <v>#N/A</v>
      </c>
      <c r="TKH27" s="24" t="e">
        <v>#N/A</v>
      </c>
      <c r="TKI27" s="24" t="e">
        <v>#N/A</v>
      </c>
      <c r="TKJ27" s="24" t="e">
        <v>#N/A</v>
      </c>
      <c r="TKK27" s="24" t="e">
        <v>#N/A</v>
      </c>
      <c r="TKL27" s="24" t="e">
        <v>#N/A</v>
      </c>
      <c r="TKM27" s="24" t="e">
        <v>#N/A</v>
      </c>
      <c r="TKN27" s="24" t="e">
        <v>#N/A</v>
      </c>
      <c r="TKO27" s="24" t="e">
        <v>#N/A</v>
      </c>
      <c r="TKP27" s="24" t="e">
        <v>#N/A</v>
      </c>
      <c r="TKQ27" s="24" t="e">
        <v>#N/A</v>
      </c>
      <c r="TKR27" s="24" t="e">
        <v>#N/A</v>
      </c>
      <c r="TKS27" s="24" t="e">
        <v>#N/A</v>
      </c>
      <c r="TKT27" s="24" t="e">
        <v>#N/A</v>
      </c>
      <c r="TKU27" s="24" t="e">
        <v>#N/A</v>
      </c>
      <c r="TKV27" s="24" t="e">
        <v>#N/A</v>
      </c>
      <c r="TKW27" s="24" t="e">
        <v>#N/A</v>
      </c>
      <c r="TKX27" s="24" t="e">
        <v>#N/A</v>
      </c>
      <c r="TKY27" s="24" t="e">
        <v>#N/A</v>
      </c>
      <c r="TKZ27" s="24" t="e">
        <v>#N/A</v>
      </c>
      <c r="TLA27" s="24" t="e">
        <v>#N/A</v>
      </c>
      <c r="TLB27" s="24" t="e">
        <v>#N/A</v>
      </c>
      <c r="TLC27" s="24" t="e">
        <v>#N/A</v>
      </c>
      <c r="TLD27" s="24" t="e">
        <v>#N/A</v>
      </c>
      <c r="TLE27" s="24" t="e">
        <v>#N/A</v>
      </c>
      <c r="TLF27" s="24" t="e">
        <v>#N/A</v>
      </c>
      <c r="TLG27" s="24" t="e">
        <v>#N/A</v>
      </c>
      <c r="TLH27" s="24" t="e">
        <v>#N/A</v>
      </c>
      <c r="TLI27" s="24" t="e">
        <v>#N/A</v>
      </c>
      <c r="TLJ27" s="24" t="e">
        <v>#N/A</v>
      </c>
      <c r="TLK27" s="24" t="e">
        <v>#N/A</v>
      </c>
      <c r="TLL27" s="24" t="e">
        <v>#N/A</v>
      </c>
      <c r="TLM27" s="24" t="e">
        <v>#N/A</v>
      </c>
      <c r="TLN27" s="24" t="e">
        <v>#N/A</v>
      </c>
      <c r="TLO27" s="24" t="e">
        <v>#N/A</v>
      </c>
      <c r="TLP27" s="24" t="e">
        <v>#N/A</v>
      </c>
      <c r="TLQ27" s="24" t="e">
        <v>#N/A</v>
      </c>
      <c r="TLR27" s="24" t="e">
        <v>#N/A</v>
      </c>
      <c r="TLS27" s="24" t="e">
        <v>#N/A</v>
      </c>
      <c r="TLT27" s="24" t="e">
        <v>#N/A</v>
      </c>
      <c r="TLU27" s="24" t="e">
        <v>#N/A</v>
      </c>
      <c r="TLV27" s="24" t="e">
        <v>#N/A</v>
      </c>
      <c r="TLW27" s="24" t="e">
        <v>#N/A</v>
      </c>
      <c r="TLX27" s="24" t="e">
        <v>#N/A</v>
      </c>
      <c r="TLY27" s="24" t="e">
        <v>#N/A</v>
      </c>
      <c r="TLZ27" s="24" t="e">
        <v>#N/A</v>
      </c>
      <c r="TMA27" s="24" t="e">
        <v>#N/A</v>
      </c>
      <c r="TMB27" s="24" t="e">
        <v>#N/A</v>
      </c>
      <c r="TMC27" s="24" t="e">
        <v>#N/A</v>
      </c>
      <c r="TMD27" s="24" t="e">
        <v>#N/A</v>
      </c>
      <c r="TME27" s="24" t="e">
        <v>#N/A</v>
      </c>
      <c r="TMF27" s="24" t="e">
        <v>#N/A</v>
      </c>
      <c r="TMG27" s="24" t="e">
        <v>#N/A</v>
      </c>
      <c r="TMH27" s="24" t="e">
        <v>#N/A</v>
      </c>
      <c r="TMI27" s="24" t="e">
        <v>#N/A</v>
      </c>
      <c r="TMJ27" s="24" t="e">
        <v>#N/A</v>
      </c>
      <c r="TMK27" s="24" t="e">
        <v>#N/A</v>
      </c>
      <c r="TML27" s="24" t="e">
        <v>#N/A</v>
      </c>
      <c r="TMM27" s="24" t="e">
        <v>#N/A</v>
      </c>
      <c r="TMN27" s="24" t="e">
        <v>#N/A</v>
      </c>
      <c r="TMO27" s="24" t="e">
        <v>#N/A</v>
      </c>
      <c r="TMP27" s="24" t="e">
        <v>#N/A</v>
      </c>
      <c r="TMQ27" s="24" t="e">
        <v>#N/A</v>
      </c>
      <c r="TMR27" s="24" t="e">
        <v>#N/A</v>
      </c>
      <c r="TMS27" s="24" t="e">
        <v>#N/A</v>
      </c>
      <c r="TMT27" s="24" t="e">
        <v>#N/A</v>
      </c>
      <c r="TMU27" s="24" t="e">
        <v>#N/A</v>
      </c>
      <c r="TMV27" s="24" t="e">
        <v>#N/A</v>
      </c>
      <c r="TMW27" s="24" t="e">
        <v>#N/A</v>
      </c>
      <c r="TMX27" s="24" t="e">
        <v>#N/A</v>
      </c>
      <c r="TMY27" s="24" t="e">
        <v>#N/A</v>
      </c>
      <c r="TMZ27" s="24" t="e">
        <v>#N/A</v>
      </c>
      <c r="TNA27" s="24" t="e">
        <v>#N/A</v>
      </c>
      <c r="TNB27" s="24" t="e">
        <v>#N/A</v>
      </c>
      <c r="TNC27" s="24" t="e">
        <v>#N/A</v>
      </c>
      <c r="TND27" s="24" t="e">
        <v>#N/A</v>
      </c>
      <c r="TNE27" s="24" t="e">
        <v>#N/A</v>
      </c>
      <c r="TNF27" s="24" t="e">
        <v>#N/A</v>
      </c>
      <c r="TNG27" s="24" t="e">
        <v>#N/A</v>
      </c>
      <c r="TNH27" s="24" t="e">
        <v>#N/A</v>
      </c>
      <c r="TNI27" s="24" t="e">
        <v>#N/A</v>
      </c>
      <c r="TNJ27" s="24" t="e">
        <v>#N/A</v>
      </c>
      <c r="TNK27" s="24" t="e">
        <v>#N/A</v>
      </c>
      <c r="TNL27" s="24" t="e">
        <v>#N/A</v>
      </c>
      <c r="TNM27" s="24" t="e">
        <v>#N/A</v>
      </c>
      <c r="TNN27" s="24" t="e">
        <v>#N/A</v>
      </c>
      <c r="TNO27" s="24" t="e">
        <v>#N/A</v>
      </c>
      <c r="TNP27" s="24" t="e">
        <v>#N/A</v>
      </c>
      <c r="TNQ27" s="24" t="e">
        <v>#N/A</v>
      </c>
      <c r="TNR27" s="24" t="e">
        <v>#N/A</v>
      </c>
      <c r="TNS27" s="24" t="e">
        <v>#N/A</v>
      </c>
      <c r="TNT27" s="24" t="e">
        <v>#N/A</v>
      </c>
      <c r="TNU27" s="24" t="e">
        <v>#N/A</v>
      </c>
      <c r="TNV27" s="24" t="e">
        <v>#N/A</v>
      </c>
      <c r="TNW27" s="24" t="e">
        <v>#N/A</v>
      </c>
      <c r="TNX27" s="24" t="e">
        <v>#N/A</v>
      </c>
      <c r="TNY27" s="24" t="e">
        <v>#N/A</v>
      </c>
      <c r="TNZ27" s="24" t="e">
        <v>#N/A</v>
      </c>
      <c r="TOA27" s="24" t="e">
        <v>#N/A</v>
      </c>
      <c r="TOB27" s="24" t="e">
        <v>#N/A</v>
      </c>
      <c r="TOC27" s="24" t="e">
        <v>#N/A</v>
      </c>
      <c r="TOD27" s="24" t="e">
        <v>#N/A</v>
      </c>
      <c r="TOE27" s="24" t="e">
        <v>#N/A</v>
      </c>
      <c r="TOF27" s="24" t="e">
        <v>#N/A</v>
      </c>
      <c r="TOG27" s="24" t="e">
        <v>#N/A</v>
      </c>
      <c r="TOH27" s="24" t="e">
        <v>#N/A</v>
      </c>
      <c r="TOI27" s="24" t="e">
        <v>#N/A</v>
      </c>
      <c r="TOJ27" s="24" t="e">
        <v>#N/A</v>
      </c>
      <c r="TOK27" s="24" t="e">
        <v>#N/A</v>
      </c>
      <c r="TOL27" s="24" t="e">
        <v>#N/A</v>
      </c>
      <c r="TOM27" s="24" t="e">
        <v>#N/A</v>
      </c>
      <c r="TON27" s="24" t="e">
        <v>#N/A</v>
      </c>
      <c r="TOO27" s="24" t="e">
        <v>#N/A</v>
      </c>
      <c r="TOP27" s="24" t="e">
        <v>#N/A</v>
      </c>
      <c r="TOQ27" s="24" t="e">
        <v>#N/A</v>
      </c>
      <c r="TOR27" s="24" t="e">
        <v>#N/A</v>
      </c>
      <c r="TOS27" s="24" t="e">
        <v>#N/A</v>
      </c>
      <c r="TOT27" s="24" t="e">
        <v>#N/A</v>
      </c>
      <c r="TOU27" s="24" t="e">
        <v>#N/A</v>
      </c>
      <c r="TOV27" s="24" t="e">
        <v>#N/A</v>
      </c>
      <c r="TOW27" s="24" t="e">
        <v>#N/A</v>
      </c>
      <c r="TOX27" s="24" t="e">
        <v>#N/A</v>
      </c>
      <c r="TOY27" s="24" t="e">
        <v>#N/A</v>
      </c>
      <c r="TOZ27" s="24" t="e">
        <v>#N/A</v>
      </c>
      <c r="TPA27" s="24" t="e">
        <v>#N/A</v>
      </c>
      <c r="TPB27" s="24" t="e">
        <v>#N/A</v>
      </c>
      <c r="TPC27" s="24" t="e">
        <v>#N/A</v>
      </c>
      <c r="TPD27" s="24" t="e">
        <v>#N/A</v>
      </c>
      <c r="TPE27" s="24" t="e">
        <v>#N/A</v>
      </c>
      <c r="TPF27" s="24" t="e">
        <v>#N/A</v>
      </c>
      <c r="TPG27" s="24" t="e">
        <v>#N/A</v>
      </c>
      <c r="TPH27" s="24" t="e">
        <v>#N/A</v>
      </c>
      <c r="TPI27" s="24" t="e">
        <v>#N/A</v>
      </c>
      <c r="TPJ27" s="24" t="e">
        <v>#N/A</v>
      </c>
      <c r="TPK27" s="24" t="e">
        <v>#N/A</v>
      </c>
      <c r="TPL27" s="24" t="e">
        <v>#N/A</v>
      </c>
      <c r="TPM27" s="24" t="e">
        <v>#N/A</v>
      </c>
      <c r="TPN27" s="24" t="e">
        <v>#N/A</v>
      </c>
      <c r="TPO27" s="24" t="e">
        <v>#N/A</v>
      </c>
      <c r="TPP27" s="24" t="e">
        <v>#N/A</v>
      </c>
      <c r="TPQ27" s="24" t="e">
        <v>#N/A</v>
      </c>
      <c r="TPR27" s="24" t="e">
        <v>#N/A</v>
      </c>
      <c r="TPS27" s="24" t="e">
        <v>#N/A</v>
      </c>
      <c r="TPT27" s="24" t="e">
        <v>#N/A</v>
      </c>
      <c r="TPU27" s="24" t="e">
        <v>#N/A</v>
      </c>
      <c r="TPV27" s="24" t="e">
        <v>#N/A</v>
      </c>
      <c r="TPW27" s="24" t="e">
        <v>#N/A</v>
      </c>
      <c r="TPX27" s="24" t="e">
        <v>#N/A</v>
      </c>
      <c r="TPY27" s="24" t="e">
        <v>#N/A</v>
      </c>
      <c r="TPZ27" s="24" t="e">
        <v>#N/A</v>
      </c>
      <c r="TQA27" s="24" t="e">
        <v>#N/A</v>
      </c>
      <c r="TQB27" s="24" t="e">
        <v>#N/A</v>
      </c>
      <c r="TQC27" s="24" t="e">
        <v>#N/A</v>
      </c>
      <c r="TQD27" s="24" t="e">
        <v>#N/A</v>
      </c>
      <c r="TQE27" s="24" t="e">
        <v>#N/A</v>
      </c>
      <c r="TQF27" s="24" t="e">
        <v>#N/A</v>
      </c>
      <c r="TQG27" s="24" t="e">
        <v>#N/A</v>
      </c>
      <c r="TQH27" s="24" t="e">
        <v>#N/A</v>
      </c>
      <c r="TQI27" s="24" t="e">
        <v>#N/A</v>
      </c>
      <c r="TQJ27" s="24" t="e">
        <v>#N/A</v>
      </c>
      <c r="TQK27" s="24" t="e">
        <v>#N/A</v>
      </c>
      <c r="TQL27" s="24" t="e">
        <v>#N/A</v>
      </c>
      <c r="TQM27" s="24" t="e">
        <v>#N/A</v>
      </c>
      <c r="TQN27" s="24" t="e">
        <v>#N/A</v>
      </c>
      <c r="TQO27" s="24" t="e">
        <v>#N/A</v>
      </c>
      <c r="TQP27" s="24" t="e">
        <v>#N/A</v>
      </c>
      <c r="TQQ27" s="24" t="e">
        <v>#N/A</v>
      </c>
      <c r="TQR27" s="24" t="e">
        <v>#N/A</v>
      </c>
      <c r="TQS27" s="24" t="e">
        <v>#N/A</v>
      </c>
      <c r="TQT27" s="24" t="e">
        <v>#N/A</v>
      </c>
      <c r="TQU27" s="24" t="e">
        <v>#N/A</v>
      </c>
      <c r="TQV27" s="24" t="e">
        <v>#N/A</v>
      </c>
      <c r="TQW27" s="24" t="e">
        <v>#N/A</v>
      </c>
      <c r="TQX27" s="24" t="e">
        <v>#N/A</v>
      </c>
      <c r="TQY27" s="24" t="e">
        <v>#N/A</v>
      </c>
      <c r="TQZ27" s="24" t="e">
        <v>#N/A</v>
      </c>
      <c r="TRA27" s="24" t="e">
        <v>#N/A</v>
      </c>
      <c r="TRB27" s="24" t="e">
        <v>#N/A</v>
      </c>
      <c r="TRC27" s="24" t="e">
        <v>#N/A</v>
      </c>
      <c r="TRD27" s="24" t="e">
        <v>#N/A</v>
      </c>
      <c r="TRE27" s="24" t="e">
        <v>#N/A</v>
      </c>
      <c r="TRF27" s="24" t="e">
        <v>#N/A</v>
      </c>
      <c r="TRG27" s="24" t="e">
        <v>#N/A</v>
      </c>
      <c r="TRH27" s="24" t="e">
        <v>#N/A</v>
      </c>
      <c r="TRI27" s="24" t="e">
        <v>#N/A</v>
      </c>
      <c r="TRJ27" s="24" t="e">
        <v>#N/A</v>
      </c>
      <c r="TRK27" s="24" t="e">
        <v>#N/A</v>
      </c>
      <c r="TRL27" s="24" t="e">
        <v>#N/A</v>
      </c>
      <c r="TRM27" s="24" t="e">
        <v>#N/A</v>
      </c>
      <c r="TRN27" s="24" t="e">
        <v>#N/A</v>
      </c>
      <c r="TRO27" s="24" t="e">
        <v>#N/A</v>
      </c>
      <c r="TRP27" s="24" t="e">
        <v>#N/A</v>
      </c>
      <c r="TRQ27" s="24" t="e">
        <v>#N/A</v>
      </c>
      <c r="TRR27" s="24" t="e">
        <v>#N/A</v>
      </c>
      <c r="TRS27" s="24" t="e">
        <v>#N/A</v>
      </c>
      <c r="TRT27" s="24" t="e">
        <v>#N/A</v>
      </c>
      <c r="TRU27" s="24" t="e">
        <v>#N/A</v>
      </c>
      <c r="TRV27" s="24" t="e">
        <v>#N/A</v>
      </c>
      <c r="TRW27" s="24" t="e">
        <v>#N/A</v>
      </c>
      <c r="TRX27" s="24" t="e">
        <v>#N/A</v>
      </c>
      <c r="TRY27" s="24" t="e">
        <v>#N/A</v>
      </c>
      <c r="TRZ27" s="24" t="e">
        <v>#N/A</v>
      </c>
      <c r="TSA27" s="24" t="e">
        <v>#N/A</v>
      </c>
      <c r="TSB27" s="24" t="e">
        <v>#N/A</v>
      </c>
      <c r="TSC27" s="24" t="e">
        <v>#N/A</v>
      </c>
      <c r="TSD27" s="24" t="e">
        <v>#N/A</v>
      </c>
      <c r="TSE27" s="24" t="e">
        <v>#N/A</v>
      </c>
      <c r="TSF27" s="24" t="e">
        <v>#N/A</v>
      </c>
      <c r="TSG27" s="24" t="e">
        <v>#N/A</v>
      </c>
      <c r="TSH27" s="24" t="e">
        <v>#N/A</v>
      </c>
      <c r="TSI27" s="24" t="e">
        <v>#N/A</v>
      </c>
      <c r="TSJ27" s="24" t="e">
        <v>#N/A</v>
      </c>
      <c r="TSK27" s="24" t="e">
        <v>#N/A</v>
      </c>
      <c r="TSL27" s="24" t="e">
        <v>#N/A</v>
      </c>
      <c r="TSM27" s="24" t="e">
        <v>#N/A</v>
      </c>
      <c r="TSN27" s="24" t="e">
        <v>#N/A</v>
      </c>
      <c r="TSO27" s="24" t="e">
        <v>#N/A</v>
      </c>
      <c r="TSP27" s="24" t="e">
        <v>#N/A</v>
      </c>
      <c r="TSQ27" s="24" t="e">
        <v>#N/A</v>
      </c>
      <c r="TSR27" s="24" t="e">
        <v>#N/A</v>
      </c>
      <c r="TSS27" s="24" t="e">
        <v>#N/A</v>
      </c>
      <c r="TST27" s="24" t="e">
        <v>#N/A</v>
      </c>
      <c r="TSU27" s="24" t="e">
        <v>#N/A</v>
      </c>
      <c r="TSV27" s="24" t="e">
        <v>#N/A</v>
      </c>
      <c r="TSW27" s="24" t="e">
        <v>#N/A</v>
      </c>
      <c r="TSX27" s="24" t="e">
        <v>#N/A</v>
      </c>
      <c r="TSY27" s="24" t="e">
        <v>#N/A</v>
      </c>
      <c r="TSZ27" s="24" t="e">
        <v>#N/A</v>
      </c>
      <c r="TTA27" s="24" t="e">
        <v>#N/A</v>
      </c>
      <c r="TTB27" s="24" t="e">
        <v>#N/A</v>
      </c>
      <c r="TTC27" s="24" t="e">
        <v>#N/A</v>
      </c>
      <c r="TTD27" s="24" t="e">
        <v>#N/A</v>
      </c>
      <c r="TTE27" s="24" t="e">
        <v>#N/A</v>
      </c>
      <c r="TTF27" s="24" t="e">
        <v>#N/A</v>
      </c>
      <c r="TTG27" s="24" t="e">
        <v>#N/A</v>
      </c>
      <c r="TTH27" s="24" t="e">
        <v>#N/A</v>
      </c>
      <c r="TTI27" s="24" t="e">
        <v>#N/A</v>
      </c>
      <c r="TTJ27" s="24" t="e">
        <v>#N/A</v>
      </c>
      <c r="TTK27" s="24" t="e">
        <v>#N/A</v>
      </c>
      <c r="TTL27" s="24" t="e">
        <v>#N/A</v>
      </c>
      <c r="TTM27" s="24" t="e">
        <v>#N/A</v>
      </c>
      <c r="TTN27" s="24" t="e">
        <v>#N/A</v>
      </c>
      <c r="TTO27" s="24" t="e">
        <v>#N/A</v>
      </c>
      <c r="TTP27" s="24" t="e">
        <v>#N/A</v>
      </c>
      <c r="TTQ27" s="24" t="e">
        <v>#N/A</v>
      </c>
      <c r="TTR27" s="24" t="e">
        <v>#N/A</v>
      </c>
      <c r="TTS27" s="24" t="e">
        <v>#N/A</v>
      </c>
      <c r="TTT27" s="24" t="e">
        <v>#N/A</v>
      </c>
      <c r="TTU27" s="24" t="e">
        <v>#N/A</v>
      </c>
      <c r="TTV27" s="24" t="e">
        <v>#N/A</v>
      </c>
      <c r="TTW27" s="24" t="e">
        <v>#N/A</v>
      </c>
      <c r="TTX27" s="24" t="e">
        <v>#N/A</v>
      </c>
      <c r="TTY27" s="24" t="e">
        <v>#N/A</v>
      </c>
      <c r="TTZ27" s="24" t="e">
        <v>#N/A</v>
      </c>
      <c r="TUA27" s="24" t="e">
        <v>#N/A</v>
      </c>
      <c r="TUB27" s="24" t="e">
        <v>#N/A</v>
      </c>
      <c r="TUC27" s="24" t="e">
        <v>#N/A</v>
      </c>
      <c r="TUD27" s="24" t="e">
        <v>#N/A</v>
      </c>
      <c r="TUE27" s="24" t="e">
        <v>#N/A</v>
      </c>
      <c r="TUF27" s="24" t="e">
        <v>#N/A</v>
      </c>
      <c r="TUG27" s="24" t="e">
        <v>#N/A</v>
      </c>
      <c r="TUH27" s="24" t="e">
        <v>#N/A</v>
      </c>
      <c r="TUI27" s="24" t="e">
        <v>#N/A</v>
      </c>
      <c r="TUJ27" s="24" t="e">
        <v>#N/A</v>
      </c>
      <c r="TUK27" s="24" t="e">
        <v>#N/A</v>
      </c>
      <c r="TUL27" s="24" t="e">
        <v>#N/A</v>
      </c>
      <c r="TUM27" s="24" t="e">
        <v>#N/A</v>
      </c>
      <c r="TUN27" s="24" t="e">
        <v>#N/A</v>
      </c>
      <c r="TUO27" s="24" t="e">
        <v>#N/A</v>
      </c>
      <c r="TUP27" s="24" t="e">
        <v>#N/A</v>
      </c>
      <c r="TUQ27" s="24" t="e">
        <v>#N/A</v>
      </c>
      <c r="TUR27" s="24" t="e">
        <v>#N/A</v>
      </c>
      <c r="TUS27" s="24" t="e">
        <v>#N/A</v>
      </c>
      <c r="TUT27" s="24" t="e">
        <v>#N/A</v>
      </c>
      <c r="TUU27" s="24" t="e">
        <v>#N/A</v>
      </c>
      <c r="TUV27" s="24" t="e">
        <v>#N/A</v>
      </c>
      <c r="TUW27" s="24" t="e">
        <v>#N/A</v>
      </c>
      <c r="TUX27" s="24" t="e">
        <v>#N/A</v>
      </c>
      <c r="TUY27" s="24" t="e">
        <v>#N/A</v>
      </c>
      <c r="TUZ27" s="24" t="e">
        <v>#N/A</v>
      </c>
      <c r="TVA27" s="24" t="e">
        <v>#N/A</v>
      </c>
      <c r="TVB27" s="24" t="e">
        <v>#N/A</v>
      </c>
      <c r="TVC27" s="24" t="e">
        <v>#N/A</v>
      </c>
      <c r="TVD27" s="24" t="e">
        <v>#N/A</v>
      </c>
      <c r="TVE27" s="24" t="e">
        <v>#N/A</v>
      </c>
      <c r="TVF27" s="24" t="e">
        <v>#N/A</v>
      </c>
      <c r="TVG27" s="24" t="e">
        <v>#N/A</v>
      </c>
      <c r="TVH27" s="24" t="e">
        <v>#N/A</v>
      </c>
      <c r="TVI27" s="24" t="e">
        <v>#N/A</v>
      </c>
      <c r="TVJ27" s="24" t="e">
        <v>#N/A</v>
      </c>
      <c r="TVK27" s="24" t="e">
        <v>#N/A</v>
      </c>
      <c r="TVL27" s="24" t="e">
        <v>#N/A</v>
      </c>
      <c r="TVM27" s="24" t="e">
        <v>#N/A</v>
      </c>
      <c r="TVN27" s="24" t="e">
        <v>#N/A</v>
      </c>
      <c r="TVO27" s="24" t="e">
        <v>#N/A</v>
      </c>
      <c r="TVP27" s="24" t="e">
        <v>#N/A</v>
      </c>
      <c r="TVQ27" s="24" t="e">
        <v>#N/A</v>
      </c>
      <c r="TVR27" s="24" t="e">
        <v>#N/A</v>
      </c>
      <c r="TVS27" s="24" t="e">
        <v>#N/A</v>
      </c>
      <c r="TVT27" s="24" t="e">
        <v>#N/A</v>
      </c>
      <c r="TVU27" s="24" t="e">
        <v>#N/A</v>
      </c>
      <c r="TVV27" s="24" t="e">
        <v>#N/A</v>
      </c>
      <c r="TVW27" s="24" t="e">
        <v>#N/A</v>
      </c>
      <c r="TVX27" s="24" t="e">
        <v>#N/A</v>
      </c>
      <c r="TVY27" s="24" t="e">
        <v>#N/A</v>
      </c>
      <c r="TVZ27" s="24" t="e">
        <v>#N/A</v>
      </c>
      <c r="TWA27" s="24" t="e">
        <v>#N/A</v>
      </c>
      <c r="TWB27" s="24" t="e">
        <v>#N/A</v>
      </c>
      <c r="TWC27" s="24" t="e">
        <v>#N/A</v>
      </c>
      <c r="TWD27" s="24" t="e">
        <v>#N/A</v>
      </c>
      <c r="TWE27" s="24" t="e">
        <v>#N/A</v>
      </c>
      <c r="TWF27" s="24" t="e">
        <v>#N/A</v>
      </c>
      <c r="TWG27" s="24" t="e">
        <v>#N/A</v>
      </c>
      <c r="TWH27" s="24" t="e">
        <v>#N/A</v>
      </c>
      <c r="TWI27" s="24" t="e">
        <v>#N/A</v>
      </c>
      <c r="TWJ27" s="24" t="e">
        <v>#N/A</v>
      </c>
      <c r="TWK27" s="24" t="e">
        <v>#N/A</v>
      </c>
      <c r="TWL27" s="24" t="e">
        <v>#N/A</v>
      </c>
      <c r="TWM27" s="24" t="e">
        <v>#N/A</v>
      </c>
      <c r="TWN27" s="24" t="e">
        <v>#N/A</v>
      </c>
      <c r="TWO27" s="24" t="e">
        <v>#N/A</v>
      </c>
      <c r="TWP27" s="24" t="e">
        <v>#N/A</v>
      </c>
      <c r="TWQ27" s="24" t="e">
        <v>#N/A</v>
      </c>
      <c r="TWR27" s="24" t="e">
        <v>#N/A</v>
      </c>
      <c r="TWS27" s="24" t="e">
        <v>#N/A</v>
      </c>
      <c r="TWT27" s="24" t="e">
        <v>#N/A</v>
      </c>
      <c r="TWU27" s="24" t="e">
        <v>#N/A</v>
      </c>
      <c r="TWV27" s="24" t="e">
        <v>#N/A</v>
      </c>
      <c r="TWW27" s="24" t="e">
        <v>#N/A</v>
      </c>
      <c r="TWX27" s="24" t="e">
        <v>#N/A</v>
      </c>
      <c r="TWY27" s="24" t="e">
        <v>#N/A</v>
      </c>
      <c r="TWZ27" s="24" t="e">
        <v>#N/A</v>
      </c>
      <c r="TXA27" s="24" t="e">
        <v>#N/A</v>
      </c>
      <c r="TXB27" s="24" t="e">
        <v>#N/A</v>
      </c>
      <c r="TXC27" s="24" t="e">
        <v>#N/A</v>
      </c>
      <c r="TXD27" s="24" t="e">
        <v>#N/A</v>
      </c>
      <c r="TXE27" s="24" t="e">
        <v>#N/A</v>
      </c>
      <c r="TXF27" s="24" t="e">
        <v>#N/A</v>
      </c>
      <c r="TXG27" s="24" t="e">
        <v>#N/A</v>
      </c>
      <c r="TXH27" s="24" t="e">
        <v>#N/A</v>
      </c>
      <c r="TXI27" s="24" t="e">
        <v>#N/A</v>
      </c>
      <c r="TXJ27" s="24" t="e">
        <v>#N/A</v>
      </c>
      <c r="TXK27" s="24" t="e">
        <v>#N/A</v>
      </c>
      <c r="TXL27" s="24" t="e">
        <v>#N/A</v>
      </c>
      <c r="TXM27" s="24" t="e">
        <v>#N/A</v>
      </c>
      <c r="TXN27" s="24" t="e">
        <v>#N/A</v>
      </c>
      <c r="TXO27" s="24" t="e">
        <v>#N/A</v>
      </c>
      <c r="TXP27" s="24" t="e">
        <v>#N/A</v>
      </c>
      <c r="TXQ27" s="24" t="e">
        <v>#N/A</v>
      </c>
      <c r="TXR27" s="24" t="e">
        <v>#N/A</v>
      </c>
      <c r="TXS27" s="24" t="e">
        <v>#N/A</v>
      </c>
      <c r="TXT27" s="24" t="e">
        <v>#N/A</v>
      </c>
      <c r="TXU27" s="24" t="e">
        <v>#N/A</v>
      </c>
      <c r="TXV27" s="24" t="e">
        <v>#N/A</v>
      </c>
      <c r="TXW27" s="24" t="e">
        <v>#N/A</v>
      </c>
      <c r="TXX27" s="24" t="e">
        <v>#N/A</v>
      </c>
      <c r="TXY27" s="24" t="e">
        <v>#N/A</v>
      </c>
      <c r="TXZ27" s="24" t="e">
        <v>#N/A</v>
      </c>
      <c r="TYA27" s="24" t="e">
        <v>#N/A</v>
      </c>
      <c r="TYB27" s="24" t="e">
        <v>#N/A</v>
      </c>
      <c r="TYC27" s="24" t="e">
        <v>#N/A</v>
      </c>
      <c r="TYD27" s="24" t="e">
        <v>#N/A</v>
      </c>
      <c r="TYE27" s="24" t="e">
        <v>#N/A</v>
      </c>
      <c r="TYF27" s="24" t="e">
        <v>#N/A</v>
      </c>
      <c r="TYG27" s="24" t="e">
        <v>#N/A</v>
      </c>
      <c r="TYH27" s="24" t="e">
        <v>#N/A</v>
      </c>
      <c r="TYI27" s="24" t="e">
        <v>#N/A</v>
      </c>
      <c r="TYJ27" s="24" t="e">
        <v>#N/A</v>
      </c>
      <c r="TYK27" s="24" t="e">
        <v>#N/A</v>
      </c>
      <c r="TYL27" s="24" t="e">
        <v>#N/A</v>
      </c>
      <c r="TYM27" s="24" t="e">
        <v>#N/A</v>
      </c>
      <c r="TYN27" s="24" t="e">
        <v>#N/A</v>
      </c>
      <c r="TYO27" s="24" t="e">
        <v>#N/A</v>
      </c>
      <c r="TYP27" s="24" t="e">
        <v>#N/A</v>
      </c>
      <c r="TYQ27" s="24" t="e">
        <v>#N/A</v>
      </c>
      <c r="TYR27" s="24" t="e">
        <v>#N/A</v>
      </c>
      <c r="TYS27" s="24" t="e">
        <v>#N/A</v>
      </c>
      <c r="TYT27" s="24" t="e">
        <v>#N/A</v>
      </c>
      <c r="TYU27" s="24" t="e">
        <v>#N/A</v>
      </c>
      <c r="TYV27" s="24" t="e">
        <v>#N/A</v>
      </c>
      <c r="TYW27" s="24" t="e">
        <v>#N/A</v>
      </c>
      <c r="TYX27" s="24" t="e">
        <v>#N/A</v>
      </c>
      <c r="TYY27" s="24" t="e">
        <v>#N/A</v>
      </c>
      <c r="TYZ27" s="24" t="e">
        <v>#N/A</v>
      </c>
      <c r="TZA27" s="24" t="e">
        <v>#N/A</v>
      </c>
      <c r="TZB27" s="24" t="e">
        <v>#N/A</v>
      </c>
      <c r="TZC27" s="24" t="e">
        <v>#N/A</v>
      </c>
      <c r="TZD27" s="24" t="e">
        <v>#N/A</v>
      </c>
      <c r="TZE27" s="24" t="e">
        <v>#N/A</v>
      </c>
      <c r="TZF27" s="24" t="e">
        <v>#N/A</v>
      </c>
      <c r="TZG27" s="24" t="e">
        <v>#N/A</v>
      </c>
      <c r="TZH27" s="24" t="e">
        <v>#N/A</v>
      </c>
      <c r="TZI27" s="24" t="e">
        <v>#N/A</v>
      </c>
      <c r="TZJ27" s="24" t="e">
        <v>#N/A</v>
      </c>
      <c r="TZK27" s="24" t="e">
        <v>#N/A</v>
      </c>
      <c r="TZL27" s="24" t="e">
        <v>#N/A</v>
      </c>
      <c r="TZM27" s="24" t="e">
        <v>#N/A</v>
      </c>
      <c r="TZN27" s="24" t="e">
        <v>#N/A</v>
      </c>
      <c r="TZO27" s="24" t="e">
        <v>#N/A</v>
      </c>
      <c r="TZP27" s="24" t="e">
        <v>#N/A</v>
      </c>
      <c r="TZQ27" s="24" t="e">
        <v>#N/A</v>
      </c>
      <c r="TZR27" s="24" t="e">
        <v>#N/A</v>
      </c>
      <c r="TZS27" s="24" t="e">
        <v>#N/A</v>
      </c>
      <c r="TZT27" s="24" t="e">
        <v>#N/A</v>
      </c>
      <c r="TZU27" s="24" t="e">
        <v>#N/A</v>
      </c>
      <c r="TZV27" s="24" t="e">
        <v>#N/A</v>
      </c>
      <c r="TZW27" s="24" t="e">
        <v>#N/A</v>
      </c>
      <c r="TZX27" s="24" t="e">
        <v>#N/A</v>
      </c>
      <c r="TZY27" s="24" t="e">
        <v>#N/A</v>
      </c>
      <c r="TZZ27" s="24" t="e">
        <v>#N/A</v>
      </c>
      <c r="UAA27" s="24" t="e">
        <v>#N/A</v>
      </c>
      <c r="UAB27" s="24" t="e">
        <v>#N/A</v>
      </c>
      <c r="UAC27" s="24" t="e">
        <v>#N/A</v>
      </c>
      <c r="UAD27" s="24" t="e">
        <v>#N/A</v>
      </c>
      <c r="UAE27" s="24" t="e">
        <v>#N/A</v>
      </c>
      <c r="UAF27" s="24" t="e">
        <v>#N/A</v>
      </c>
      <c r="UAG27" s="24" t="e">
        <v>#N/A</v>
      </c>
      <c r="UAH27" s="24" t="e">
        <v>#N/A</v>
      </c>
      <c r="UAI27" s="24" t="e">
        <v>#N/A</v>
      </c>
      <c r="UAJ27" s="24" t="e">
        <v>#N/A</v>
      </c>
      <c r="UAK27" s="24" t="e">
        <v>#N/A</v>
      </c>
      <c r="UAL27" s="24" t="e">
        <v>#N/A</v>
      </c>
      <c r="UAM27" s="24" t="e">
        <v>#N/A</v>
      </c>
      <c r="UAN27" s="24" t="e">
        <v>#N/A</v>
      </c>
      <c r="UAO27" s="24" t="e">
        <v>#N/A</v>
      </c>
      <c r="UAP27" s="24" t="e">
        <v>#N/A</v>
      </c>
      <c r="UAQ27" s="24" t="e">
        <v>#N/A</v>
      </c>
      <c r="UAR27" s="24" t="e">
        <v>#N/A</v>
      </c>
      <c r="UAS27" s="24" t="e">
        <v>#N/A</v>
      </c>
      <c r="UAT27" s="24" t="e">
        <v>#N/A</v>
      </c>
      <c r="UAU27" s="24" t="e">
        <v>#N/A</v>
      </c>
      <c r="UAV27" s="24" t="e">
        <v>#N/A</v>
      </c>
      <c r="UAW27" s="24" t="e">
        <v>#N/A</v>
      </c>
      <c r="UAX27" s="24" t="e">
        <v>#N/A</v>
      </c>
      <c r="UAY27" s="24" t="e">
        <v>#N/A</v>
      </c>
      <c r="UAZ27" s="24" t="e">
        <v>#N/A</v>
      </c>
      <c r="UBA27" s="24" t="e">
        <v>#N/A</v>
      </c>
      <c r="UBB27" s="24" t="e">
        <v>#N/A</v>
      </c>
      <c r="UBC27" s="24" t="e">
        <v>#N/A</v>
      </c>
      <c r="UBD27" s="24" t="e">
        <v>#N/A</v>
      </c>
      <c r="UBE27" s="24" t="e">
        <v>#N/A</v>
      </c>
      <c r="UBF27" s="24" t="e">
        <v>#N/A</v>
      </c>
      <c r="UBG27" s="24" t="e">
        <v>#N/A</v>
      </c>
      <c r="UBH27" s="24" t="e">
        <v>#N/A</v>
      </c>
      <c r="UBI27" s="24" t="e">
        <v>#N/A</v>
      </c>
      <c r="UBJ27" s="24" t="e">
        <v>#N/A</v>
      </c>
      <c r="UBK27" s="24" t="e">
        <v>#N/A</v>
      </c>
      <c r="UBL27" s="24" t="e">
        <v>#N/A</v>
      </c>
      <c r="UBM27" s="24" t="e">
        <v>#N/A</v>
      </c>
      <c r="UBN27" s="24" t="e">
        <v>#N/A</v>
      </c>
      <c r="UBO27" s="24" t="e">
        <v>#N/A</v>
      </c>
      <c r="UBP27" s="24" t="e">
        <v>#N/A</v>
      </c>
      <c r="UBQ27" s="24" t="e">
        <v>#N/A</v>
      </c>
      <c r="UBR27" s="24" t="e">
        <v>#N/A</v>
      </c>
      <c r="UBS27" s="24" t="e">
        <v>#N/A</v>
      </c>
      <c r="UBT27" s="24" t="e">
        <v>#N/A</v>
      </c>
      <c r="UBU27" s="24" t="e">
        <v>#N/A</v>
      </c>
      <c r="UBV27" s="24" t="e">
        <v>#N/A</v>
      </c>
      <c r="UBW27" s="24" t="e">
        <v>#N/A</v>
      </c>
      <c r="UBX27" s="24" t="e">
        <v>#N/A</v>
      </c>
      <c r="UBY27" s="24" t="e">
        <v>#N/A</v>
      </c>
      <c r="UBZ27" s="24" t="e">
        <v>#N/A</v>
      </c>
      <c r="UCA27" s="24" t="e">
        <v>#N/A</v>
      </c>
      <c r="UCB27" s="24" t="e">
        <v>#N/A</v>
      </c>
      <c r="UCC27" s="24" t="e">
        <v>#N/A</v>
      </c>
      <c r="UCD27" s="24" t="e">
        <v>#N/A</v>
      </c>
      <c r="UCE27" s="24" t="e">
        <v>#N/A</v>
      </c>
      <c r="UCF27" s="24" t="e">
        <v>#N/A</v>
      </c>
      <c r="UCG27" s="24" t="e">
        <v>#N/A</v>
      </c>
      <c r="UCH27" s="24" t="e">
        <v>#N/A</v>
      </c>
      <c r="UCI27" s="24" t="e">
        <v>#N/A</v>
      </c>
      <c r="UCJ27" s="24" t="e">
        <v>#N/A</v>
      </c>
      <c r="UCK27" s="24" t="e">
        <v>#N/A</v>
      </c>
      <c r="UCL27" s="24" t="e">
        <v>#N/A</v>
      </c>
      <c r="UCM27" s="24" t="e">
        <v>#N/A</v>
      </c>
      <c r="UCN27" s="24" t="e">
        <v>#N/A</v>
      </c>
      <c r="UCO27" s="24" t="e">
        <v>#N/A</v>
      </c>
      <c r="UCP27" s="24" t="e">
        <v>#N/A</v>
      </c>
      <c r="UCQ27" s="24" t="e">
        <v>#N/A</v>
      </c>
      <c r="UCR27" s="24" t="e">
        <v>#N/A</v>
      </c>
      <c r="UCS27" s="24" t="e">
        <v>#N/A</v>
      </c>
      <c r="UCT27" s="24" t="e">
        <v>#N/A</v>
      </c>
      <c r="UCU27" s="24" t="e">
        <v>#N/A</v>
      </c>
      <c r="UCV27" s="24" t="e">
        <v>#N/A</v>
      </c>
      <c r="UCW27" s="24" t="e">
        <v>#N/A</v>
      </c>
      <c r="UCX27" s="24" t="e">
        <v>#N/A</v>
      </c>
      <c r="UCY27" s="24" t="e">
        <v>#N/A</v>
      </c>
      <c r="UCZ27" s="24" t="e">
        <v>#N/A</v>
      </c>
      <c r="UDA27" s="24" t="e">
        <v>#N/A</v>
      </c>
      <c r="UDB27" s="24" t="e">
        <v>#N/A</v>
      </c>
      <c r="UDC27" s="24" t="e">
        <v>#N/A</v>
      </c>
      <c r="UDD27" s="24" t="e">
        <v>#N/A</v>
      </c>
      <c r="UDE27" s="24" t="e">
        <v>#N/A</v>
      </c>
      <c r="UDF27" s="24" t="e">
        <v>#N/A</v>
      </c>
      <c r="UDG27" s="24" t="e">
        <v>#N/A</v>
      </c>
      <c r="UDH27" s="24" t="e">
        <v>#N/A</v>
      </c>
      <c r="UDI27" s="24" t="e">
        <v>#N/A</v>
      </c>
      <c r="UDJ27" s="24" t="e">
        <v>#N/A</v>
      </c>
      <c r="UDK27" s="24" t="e">
        <v>#N/A</v>
      </c>
      <c r="UDL27" s="24" t="e">
        <v>#N/A</v>
      </c>
      <c r="UDM27" s="24" t="e">
        <v>#N/A</v>
      </c>
      <c r="UDN27" s="24" t="e">
        <v>#N/A</v>
      </c>
      <c r="UDO27" s="24" t="e">
        <v>#N/A</v>
      </c>
      <c r="UDP27" s="24" t="e">
        <v>#N/A</v>
      </c>
      <c r="UDQ27" s="24" t="e">
        <v>#N/A</v>
      </c>
      <c r="UDR27" s="24" t="e">
        <v>#N/A</v>
      </c>
      <c r="UDS27" s="24" t="e">
        <v>#N/A</v>
      </c>
      <c r="UDT27" s="24" t="e">
        <v>#N/A</v>
      </c>
      <c r="UDU27" s="24" t="e">
        <v>#N/A</v>
      </c>
      <c r="UDV27" s="24" t="e">
        <v>#N/A</v>
      </c>
      <c r="UDW27" s="24" t="e">
        <v>#N/A</v>
      </c>
      <c r="UDX27" s="24" t="e">
        <v>#N/A</v>
      </c>
      <c r="UDY27" s="24" t="e">
        <v>#N/A</v>
      </c>
      <c r="UDZ27" s="24" t="e">
        <v>#N/A</v>
      </c>
      <c r="UEA27" s="24" t="e">
        <v>#N/A</v>
      </c>
      <c r="UEB27" s="24" t="e">
        <v>#N/A</v>
      </c>
      <c r="UEC27" s="24" t="e">
        <v>#N/A</v>
      </c>
      <c r="UED27" s="24" t="e">
        <v>#N/A</v>
      </c>
      <c r="UEE27" s="24" t="e">
        <v>#N/A</v>
      </c>
      <c r="UEF27" s="24" t="e">
        <v>#N/A</v>
      </c>
      <c r="UEG27" s="24" t="e">
        <v>#N/A</v>
      </c>
      <c r="UEH27" s="24" t="e">
        <v>#N/A</v>
      </c>
      <c r="UEI27" s="24" t="e">
        <v>#N/A</v>
      </c>
      <c r="UEJ27" s="24" t="e">
        <v>#N/A</v>
      </c>
      <c r="UEK27" s="24" t="e">
        <v>#N/A</v>
      </c>
      <c r="UEL27" s="24" t="e">
        <v>#N/A</v>
      </c>
      <c r="UEM27" s="24" t="e">
        <v>#N/A</v>
      </c>
      <c r="UEN27" s="24" t="e">
        <v>#N/A</v>
      </c>
      <c r="UEO27" s="24" t="e">
        <v>#N/A</v>
      </c>
      <c r="UEP27" s="24" t="e">
        <v>#N/A</v>
      </c>
      <c r="UEQ27" s="24" t="e">
        <v>#N/A</v>
      </c>
      <c r="UER27" s="24" t="e">
        <v>#N/A</v>
      </c>
      <c r="UES27" s="24" t="e">
        <v>#N/A</v>
      </c>
      <c r="UET27" s="24" t="e">
        <v>#N/A</v>
      </c>
      <c r="UEU27" s="24" t="e">
        <v>#N/A</v>
      </c>
      <c r="UEV27" s="24" t="e">
        <v>#N/A</v>
      </c>
      <c r="UEW27" s="24" t="e">
        <v>#N/A</v>
      </c>
      <c r="UEX27" s="24" t="e">
        <v>#N/A</v>
      </c>
      <c r="UEY27" s="24" t="e">
        <v>#N/A</v>
      </c>
      <c r="UEZ27" s="24" t="e">
        <v>#N/A</v>
      </c>
      <c r="UFA27" s="24" t="e">
        <v>#N/A</v>
      </c>
      <c r="UFB27" s="24" t="e">
        <v>#N/A</v>
      </c>
      <c r="UFC27" s="24" t="e">
        <v>#N/A</v>
      </c>
      <c r="UFD27" s="24" t="e">
        <v>#N/A</v>
      </c>
      <c r="UFE27" s="24" t="e">
        <v>#N/A</v>
      </c>
      <c r="UFF27" s="24" t="e">
        <v>#N/A</v>
      </c>
      <c r="UFG27" s="24" t="e">
        <v>#N/A</v>
      </c>
      <c r="UFH27" s="24" t="e">
        <v>#N/A</v>
      </c>
      <c r="UFI27" s="24" t="e">
        <v>#N/A</v>
      </c>
      <c r="UFJ27" s="24" t="e">
        <v>#N/A</v>
      </c>
      <c r="UFK27" s="24" t="e">
        <v>#N/A</v>
      </c>
      <c r="UFL27" s="24" t="e">
        <v>#N/A</v>
      </c>
      <c r="UFM27" s="24" t="e">
        <v>#N/A</v>
      </c>
      <c r="UFN27" s="24" t="e">
        <v>#N/A</v>
      </c>
      <c r="UFO27" s="24" t="e">
        <v>#N/A</v>
      </c>
      <c r="UFP27" s="24" t="e">
        <v>#N/A</v>
      </c>
      <c r="UFQ27" s="24" t="e">
        <v>#N/A</v>
      </c>
      <c r="UFR27" s="24" t="e">
        <v>#N/A</v>
      </c>
      <c r="UFS27" s="24" t="e">
        <v>#N/A</v>
      </c>
      <c r="UFT27" s="24" t="e">
        <v>#N/A</v>
      </c>
      <c r="UFU27" s="24" t="e">
        <v>#N/A</v>
      </c>
      <c r="UFV27" s="24" t="e">
        <v>#N/A</v>
      </c>
      <c r="UFW27" s="24" t="e">
        <v>#N/A</v>
      </c>
      <c r="UFX27" s="24" t="e">
        <v>#N/A</v>
      </c>
      <c r="UFY27" s="24" t="e">
        <v>#N/A</v>
      </c>
      <c r="UFZ27" s="24" t="e">
        <v>#N/A</v>
      </c>
      <c r="UGA27" s="24" t="e">
        <v>#N/A</v>
      </c>
      <c r="UGB27" s="24" t="e">
        <v>#N/A</v>
      </c>
      <c r="UGC27" s="24" t="e">
        <v>#N/A</v>
      </c>
      <c r="UGD27" s="24" t="e">
        <v>#N/A</v>
      </c>
      <c r="UGE27" s="24" t="e">
        <v>#N/A</v>
      </c>
      <c r="UGF27" s="24" t="e">
        <v>#N/A</v>
      </c>
      <c r="UGG27" s="24" t="e">
        <v>#N/A</v>
      </c>
      <c r="UGH27" s="24" t="e">
        <v>#N/A</v>
      </c>
      <c r="UGI27" s="24" t="e">
        <v>#N/A</v>
      </c>
      <c r="UGJ27" s="24" t="e">
        <v>#N/A</v>
      </c>
      <c r="UGK27" s="24" t="e">
        <v>#N/A</v>
      </c>
      <c r="UGL27" s="24" t="e">
        <v>#N/A</v>
      </c>
      <c r="UGM27" s="24" t="e">
        <v>#N/A</v>
      </c>
      <c r="UGN27" s="24" t="e">
        <v>#N/A</v>
      </c>
      <c r="UGO27" s="24" t="e">
        <v>#N/A</v>
      </c>
      <c r="UGP27" s="24" t="e">
        <v>#N/A</v>
      </c>
      <c r="UGQ27" s="24" t="e">
        <v>#N/A</v>
      </c>
      <c r="UGR27" s="24" t="e">
        <v>#N/A</v>
      </c>
      <c r="UGS27" s="24" t="e">
        <v>#N/A</v>
      </c>
      <c r="UGT27" s="24" t="e">
        <v>#N/A</v>
      </c>
      <c r="UGU27" s="24" t="e">
        <v>#N/A</v>
      </c>
      <c r="UGV27" s="24" t="e">
        <v>#N/A</v>
      </c>
      <c r="UGW27" s="24" t="e">
        <v>#N/A</v>
      </c>
      <c r="UGX27" s="24" t="e">
        <v>#N/A</v>
      </c>
      <c r="UGY27" s="24" t="e">
        <v>#N/A</v>
      </c>
      <c r="UGZ27" s="24" t="e">
        <v>#N/A</v>
      </c>
      <c r="UHA27" s="24" t="e">
        <v>#N/A</v>
      </c>
      <c r="UHB27" s="24" t="e">
        <v>#N/A</v>
      </c>
      <c r="UHC27" s="24" t="e">
        <v>#N/A</v>
      </c>
      <c r="UHD27" s="24" t="e">
        <v>#N/A</v>
      </c>
      <c r="UHE27" s="24" t="e">
        <v>#N/A</v>
      </c>
      <c r="UHF27" s="24" t="e">
        <v>#N/A</v>
      </c>
      <c r="UHG27" s="24" t="e">
        <v>#N/A</v>
      </c>
      <c r="UHH27" s="24" t="e">
        <v>#N/A</v>
      </c>
      <c r="UHI27" s="24" t="e">
        <v>#N/A</v>
      </c>
      <c r="UHJ27" s="24" t="e">
        <v>#N/A</v>
      </c>
      <c r="UHK27" s="24" t="e">
        <v>#N/A</v>
      </c>
      <c r="UHL27" s="24" t="e">
        <v>#N/A</v>
      </c>
      <c r="UHM27" s="24" t="e">
        <v>#N/A</v>
      </c>
      <c r="UHN27" s="24" t="e">
        <v>#N/A</v>
      </c>
      <c r="UHO27" s="24" t="e">
        <v>#N/A</v>
      </c>
      <c r="UHP27" s="24" t="e">
        <v>#N/A</v>
      </c>
      <c r="UHQ27" s="24" t="e">
        <v>#N/A</v>
      </c>
      <c r="UHR27" s="24" t="e">
        <v>#N/A</v>
      </c>
      <c r="UHS27" s="24" t="e">
        <v>#N/A</v>
      </c>
      <c r="UHT27" s="24" t="e">
        <v>#N/A</v>
      </c>
      <c r="UHU27" s="24" t="e">
        <v>#N/A</v>
      </c>
      <c r="UHV27" s="24" t="e">
        <v>#N/A</v>
      </c>
      <c r="UHW27" s="24" t="e">
        <v>#N/A</v>
      </c>
      <c r="UHX27" s="24" t="e">
        <v>#N/A</v>
      </c>
      <c r="UHY27" s="24" t="e">
        <v>#N/A</v>
      </c>
      <c r="UHZ27" s="24" t="e">
        <v>#N/A</v>
      </c>
      <c r="UIA27" s="24" t="e">
        <v>#N/A</v>
      </c>
      <c r="UIB27" s="24" t="e">
        <v>#N/A</v>
      </c>
      <c r="UIC27" s="24" t="e">
        <v>#N/A</v>
      </c>
      <c r="UID27" s="24" t="e">
        <v>#N/A</v>
      </c>
      <c r="UIE27" s="24" t="e">
        <v>#N/A</v>
      </c>
      <c r="UIF27" s="24" t="e">
        <v>#N/A</v>
      </c>
      <c r="UIG27" s="24" t="e">
        <v>#N/A</v>
      </c>
      <c r="UIH27" s="24" t="e">
        <v>#N/A</v>
      </c>
      <c r="UII27" s="24" t="e">
        <v>#N/A</v>
      </c>
      <c r="UIJ27" s="24" t="e">
        <v>#N/A</v>
      </c>
      <c r="UIK27" s="24" t="e">
        <v>#N/A</v>
      </c>
      <c r="UIL27" s="24" t="e">
        <v>#N/A</v>
      </c>
      <c r="UIM27" s="24" t="e">
        <v>#N/A</v>
      </c>
      <c r="UIN27" s="24" t="e">
        <v>#N/A</v>
      </c>
      <c r="UIO27" s="24" t="e">
        <v>#N/A</v>
      </c>
      <c r="UIP27" s="24" t="e">
        <v>#N/A</v>
      </c>
      <c r="UIQ27" s="24" t="e">
        <v>#N/A</v>
      </c>
      <c r="UIR27" s="24" t="e">
        <v>#N/A</v>
      </c>
      <c r="UIS27" s="24" t="e">
        <v>#N/A</v>
      </c>
      <c r="UIT27" s="24" t="e">
        <v>#N/A</v>
      </c>
      <c r="UIU27" s="24" t="e">
        <v>#N/A</v>
      </c>
      <c r="UIV27" s="24" t="e">
        <v>#N/A</v>
      </c>
      <c r="UIW27" s="24" t="e">
        <v>#N/A</v>
      </c>
      <c r="UIX27" s="24" t="e">
        <v>#N/A</v>
      </c>
      <c r="UIY27" s="24" t="e">
        <v>#N/A</v>
      </c>
      <c r="UIZ27" s="24" t="e">
        <v>#N/A</v>
      </c>
      <c r="UJA27" s="24" t="e">
        <v>#N/A</v>
      </c>
      <c r="UJB27" s="24" t="e">
        <v>#N/A</v>
      </c>
      <c r="UJC27" s="24" t="e">
        <v>#N/A</v>
      </c>
      <c r="UJD27" s="24" t="e">
        <v>#N/A</v>
      </c>
      <c r="UJE27" s="24" t="e">
        <v>#N/A</v>
      </c>
      <c r="UJF27" s="24" t="e">
        <v>#N/A</v>
      </c>
      <c r="UJG27" s="24" t="e">
        <v>#N/A</v>
      </c>
      <c r="UJH27" s="24" t="e">
        <v>#N/A</v>
      </c>
      <c r="UJI27" s="24" t="e">
        <v>#N/A</v>
      </c>
      <c r="UJJ27" s="24" t="e">
        <v>#N/A</v>
      </c>
      <c r="UJK27" s="24" t="e">
        <v>#N/A</v>
      </c>
      <c r="UJL27" s="24" t="e">
        <v>#N/A</v>
      </c>
      <c r="UJM27" s="24" t="e">
        <v>#N/A</v>
      </c>
      <c r="UJN27" s="24" t="e">
        <v>#N/A</v>
      </c>
      <c r="UJO27" s="24" t="e">
        <v>#N/A</v>
      </c>
      <c r="UJP27" s="24" t="e">
        <v>#N/A</v>
      </c>
      <c r="UJQ27" s="24" t="e">
        <v>#N/A</v>
      </c>
      <c r="UJR27" s="24" t="e">
        <v>#N/A</v>
      </c>
      <c r="UJS27" s="24" t="e">
        <v>#N/A</v>
      </c>
      <c r="UJT27" s="24" t="e">
        <v>#N/A</v>
      </c>
      <c r="UJU27" s="24" t="e">
        <v>#N/A</v>
      </c>
      <c r="UJV27" s="24" t="e">
        <v>#N/A</v>
      </c>
      <c r="UJW27" s="24" t="e">
        <v>#N/A</v>
      </c>
      <c r="UJX27" s="24" t="e">
        <v>#N/A</v>
      </c>
      <c r="UJY27" s="24" t="e">
        <v>#N/A</v>
      </c>
      <c r="UJZ27" s="24" t="e">
        <v>#N/A</v>
      </c>
      <c r="UKA27" s="24" t="e">
        <v>#N/A</v>
      </c>
      <c r="UKB27" s="24" t="e">
        <v>#N/A</v>
      </c>
      <c r="UKC27" s="24" t="e">
        <v>#N/A</v>
      </c>
      <c r="UKD27" s="24" t="e">
        <v>#N/A</v>
      </c>
      <c r="UKE27" s="24" t="e">
        <v>#N/A</v>
      </c>
      <c r="UKF27" s="24" t="e">
        <v>#N/A</v>
      </c>
      <c r="UKG27" s="24" t="e">
        <v>#N/A</v>
      </c>
      <c r="UKH27" s="24" t="e">
        <v>#N/A</v>
      </c>
      <c r="UKI27" s="24" t="e">
        <v>#N/A</v>
      </c>
      <c r="UKJ27" s="24" t="e">
        <v>#N/A</v>
      </c>
      <c r="UKK27" s="24" t="e">
        <v>#N/A</v>
      </c>
      <c r="UKL27" s="24" t="e">
        <v>#N/A</v>
      </c>
      <c r="UKM27" s="24" t="e">
        <v>#N/A</v>
      </c>
      <c r="UKN27" s="24" t="e">
        <v>#N/A</v>
      </c>
      <c r="UKO27" s="24" t="e">
        <v>#N/A</v>
      </c>
      <c r="UKP27" s="24" t="e">
        <v>#N/A</v>
      </c>
      <c r="UKQ27" s="24" t="e">
        <v>#N/A</v>
      </c>
      <c r="UKR27" s="24" t="e">
        <v>#N/A</v>
      </c>
      <c r="UKS27" s="24" t="e">
        <v>#N/A</v>
      </c>
      <c r="UKT27" s="24" t="e">
        <v>#N/A</v>
      </c>
      <c r="UKU27" s="24" t="e">
        <v>#N/A</v>
      </c>
      <c r="UKV27" s="24" t="e">
        <v>#N/A</v>
      </c>
      <c r="UKW27" s="24" t="e">
        <v>#N/A</v>
      </c>
      <c r="UKX27" s="24" t="e">
        <v>#N/A</v>
      </c>
      <c r="UKY27" s="24" t="e">
        <v>#N/A</v>
      </c>
      <c r="UKZ27" s="24" t="e">
        <v>#N/A</v>
      </c>
      <c r="ULA27" s="24" t="e">
        <v>#N/A</v>
      </c>
      <c r="ULB27" s="24" t="e">
        <v>#N/A</v>
      </c>
      <c r="ULC27" s="24" t="e">
        <v>#N/A</v>
      </c>
      <c r="ULD27" s="24" t="e">
        <v>#N/A</v>
      </c>
      <c r="ULE27" s="24" t="e">
        <v>#N/A</v>
      </c>
      <c r="ULF27" s="24" t="e">
        <v>#N/A</v>
      </c>
      <c r="ULG27" s="24" t="e">
        <v>#N/A</v>
      </c>
      <c r="ULH27" s="24" t="e">
        <v>#N/A</v>
      </c>
      <c r="ULI27" s="24" t="e">
        <v>#N/A</v>
      </c>
      <c r="ULJ27" s="24" t="e">
        <v>#N/A</v>
      </c>
      <c r="ULK27" s="24" t="e">
        <v>#N/A</v>
      </c>
      <c r="ULL27" s="24" t="e">
        <v>#N/A</v>
      </c>
      <c r="ULM27" s="24" t="e">
        <v>#N/A</v>
      </c>
      <c r="ULN27" s="24" t="e">
        <v>#N/A</v>
      </c>
      <c r="ULO27" s="24" t="e">
        <v>#N/A</v>
      </c>
      <c r="ULP27" s="24" t="e">
        <v>#N/A</v>
      </c>
      <c r="ULQ27" s="24" t="e">
        <v>#N/A</v>
      </c>
      <c r="ULR27" s="24" t="e">
        <v>#N/A</v>
      </c>
      <c r="ULS27" s="24" t="e">
        <v>#N/A</v>
      </c>
      <c r="ULT27" s="24" t="e">
        <v>#N/A</v>
      </c>
      <c r="ULU27" s="24" t="e">
        <v>#N/A</v>
      </c>
      <c r="ULV27" s="24" t="e">
        <v>#N/A</v>
      </c>
      <c r="ULW27" s="24" t="e">
        <v>#N/A</v>
      </c>
      <c r="ULX27" s="24" t="e">
        <v>#N/A</v>
      </c>
      <c r="ULY27" s="24" t="e">
        <v>#N/A</v>
      </c>
      <c r="ULZ27" s="24" t="e">
        <v>#N/A</v>
      </c>
      <c r="UMA27" s="24" t="e">
        <v>#N/A</v>
      </c>
      <c r="UMB27" s="24" t="e">
        <v>#N/A</v>
      </c>
      <c r="UMC27" s="24" t="e">
        <v>#N/A</v>
      </c>
      <c r="UMD27" s="24" t="e">
        <v>#N/A</v>
      </c>
      <c r="UME27" s="24" t="e">
        <v>#N/A</v>
      </c>
      <c r="UMF27" s="24" t="e">
        <v>#N/A</v>
      </c>
      <c r="UMG27" s="24" t="e">
        <v>#N/A</v>
      </c>
      <c r="UMH27" s="24" t="e">
        <v>#N/A</v>
      </c>
      <c r="UMI27" s="24" t="e">
        <v>#N/A</v>
      </c>
      <c r="UMJ27" s="24" t="e">
        <v>#N/A</v>
      </c>
      <c r="UMK27" s="24" t="e">
        <v>#N/A</v>
      </c>
      <c r="UML27" s="24" t="e">
        <v>#N/A</v>
      </c>
      <c r="UMM27" s="24" t="e">
        <v>#N/A</v>
      </c>
      <c r="UMN27" s="24" t="e">
        <v>#N/A</v>
      </c>
      <c r="UMO27" s="24" t="e">
        <v>#N/A</v>
      </c>
      <c r="UMP27" s="24" t="e">
        <v>#N/A</v>
      </c>
      <c r="UMQ27" s="24" t="e">
        <v>#N/A</v>
      </c>
      <c r="UMR27" s="24" t="e">
        <v>#N/A</v>
      </c>
      <c r="UMS27" s="24" t="e">
        <v>#N/A</v>
      </c>
      <c r="UMT27" s="24" t="e">
        <v>#N/A</v>
      </c>
      <c r="UMU27" s="24" t="e">
        <v>#N/A</v>
      </c>
      <c r="UMV27" s="24" t="e">
        <v>#N/A</v>
      </c>
      <c r="UMW27" s="24" t="e">
        <v>#N/A</v>
      </c>
      <c r="UMX27" s="24" t="e">
        <v>#N/A</v>
      </c>
      <c r="UMY27" s="24" t="e">
        <v>#N/A</v>
      </c>
      <c r="UMZ27" s="24" t="e">
        <v>#N/A</v>
      </c>
      <c r="UNA27" s="24" t="e">
        <v>#N/A</v>
      </c>
      <c r="UNB27" s="24" t="e">
        <v>#N/A</v>
      </c>
      <c r="UNC27" s="24" t="e">
        <v>#N/A</v>
      </c>
      <c r="UND27" s="24" t="e">
        <v>#N/A</v>
      </c>
      <c r="UNE27" s="24" t="e">
        <v>#N/A</v>
      </c>
      <c r="UNF27" s="24" t="e">
        <v>#N/A</v>
      </c>
      <c r="UNG27" s="24" t="e">
        <v>#N/A</v>
      </c>
      <c r="UNH27" s="24" t="e">
        <v>#N/A</v>
      </c>
      <c r="UNI27" s="24" t="e">
        <v>#N/A</v>
      </c>
      <c r="UNJ27" s="24" t="e">
        <v>#N/A</v>
      </c>
      <c r="UNK27" s="24" t="e">
        <v>#N/A</v>
      </c>
      <c r="UNL27" s="24" t="e">
        <v>#N/A</v>
      </c>
      <c r="UNM27" s="24" t="e">
        <v>#N/A</v>
      </c>
      <c r="UNN27" s="24" t="e">
        <v>#N/A</v>
      </c>
      <c r="UNO27" s="24" t="e">
        <v>#N/A</v>
      </c>
      <c r="UNP27" s="24" t="e">
        <v>#N/A</v>
      </c>
      <c r="UNQ27" s="24" t="e">
        <v>#N/A</v>
      </c>
      <c r="UNR27" s="24" t="e">
        <v>#N/A</v>
      </c>
      <c r="UNS27" s="24" t="e">
        <v>#N/A</v>
      </c>
      <c r="UNT27" s="24" t="e">
        <v>#N/A</v>
      </c>
      <c r="UNU27" s="24" t="e">
        <v>#N/A</v>
      </c>
      <c r="UNV27" s="24" t="e">
        <v>#N/A</v>
      </c>
      <c r="UNW27" s="24" t="e">
        <v>#N/A</v>
      </c>
      <c r="UNX27" s="24" t="e">
        <v>#N/A</v>
      </c>
      <c r="UNY27" s="24" t="e">
        <v>#N/A</v>
      </c>
      <c r="UNZ27" s="24" t="e">
        <v>#N/A</v>
      </c>
      <c r="UOA27" s="24" t="e">
        <v>#N/A</v>
      </c>
      <c r="UOB27" s="24" t="e">
        <v>#N/A</v>
      </c>
      <c r="UOC27" s="24" t="e">
        <v>#N/A</v>
      </c>
      <c r="UOD27" s="24" t="e">
        <v>#N/A</v>
      </c>
      <c r="UOE27" s="24" t="e">
        <v>#N/A</v>
      </c>
      <c r="UOF27" s="24" t="e">
        <v>#N/A</v>
      </c>
      <c r="UOG27" s="24" t="e">
        <v>#N/A</v>
      </c>
      <c r="UOH27" s="24" t="e">
        <v>#N/A</v>
      </c>
      <c r="UOI27" s="24" t="e">
        <v>#N/A</v>
      </c>
      <c r="UOJ27" s="24" t="e">
        <v>#N/A</v>
      </c>
      <c r="UOK27" s="24" t="e">
        <v>#N/A</v>
      </c>
      <c r="UOL27" s="24" t="e">
        <v>#N/A</v>
      </c>
      <c r="UOM27" s="24" t="e">
        <v>#N/A</v>
      </c>
      <c r="UON27" s="24" t="e">
        <v>#N/A</v>
      </c>
      <c r="UOO27" s="24" t="e">
        <v>#N/A</v>
      </c>
      <c r="UOP27" s="24" t="e">
        <v>#N/A</v>
      </c>
      <c r="UOQ27" s="24" t="e">
        <v>#N/A</v>
      </c>
      <c r="UOR27" s="24" t="e">
        <v>#N/A</v>
      </c>
      <c r="UOS27" s="24" t="e">
        <v>#N/A</v>
      </c>
      <c r="UOT27" s="24" t="e">
        <v>#N/A</v>
      </c>
      <c r="UOU27" s="24" t="e">
        <v>#N/A</v>
      </c>
      <c r="UOV27" s="24" t="e">
        <v>#N/A</v>
      </c>
      <c r="UOW27" s="24" t="e">
        <v>#N/A</v>
      </c>
      <c r="UOX27" s="24" t="e">
        <v>#N/A</v>
      </c>
      <c r="UOY27" s="24" t="e">
        <v>#N/A</v>
      </c>
      <c r="UOZ27" s="24" t="e">
        <v>#N/A</v>
      </c>
      <c r="UPA27" s="24" t="e">
        <v>#N/A</v>
      </c>
      <c r="UPB27" s="24" t="e">
        <v>#N/A</v>
      </c>
      <c r="UPC27" s="24" t="e">
        <v>#N/A</v>
      </c>
      <c r="UPD27" s="24" t="e">
        <v>#N/A</v>
      </c>
      <c r="UPE27" s="24" t="e">
        <v>#N/A</v>
      </c>
      <c r="UPF27" s="24" t="e">
        <v>#N/A</v>
      </c>
      <c r="UPG27" s="24" t="e">
        <v>#N/A</v>
      </c>
      <c r="UPH27" s="24" t="e">
        <v>#N/A</v>
      </c>
      <c r="UPI27" s="24" t="e">
        <v>#N/A</v>
      </c>
      <c r="UPJ27" s="24" t="e">
        <v>#N/A</v>
      </c>
      <c r="UPK27" s="24" t="e">
        <v>#N/A</v>
      </c>
      <c r="UPL27" s="24" t="e">
        <v>#N/A</v>
      </c>
      <c r="UPM27" s="24" t="e">
        <v>#N/A</v>
      </c>
      <c r="UPN27" s="24" t="e">
        <v>#N/A</v>
      </c>
      <c r="UPO27" s="24" t="e">
        <v>#N/A</v>
      </c>
      <c r="UPP27" s="24" t="e">
        <v>#N/A</v>
      </c>
      <c r="UPQ27" s="24" t="e">
        <v>#N/A</v>
      </c>
      <c r="UPR27" s="24" t="e">
        <v>#N/A</v>
      </c>
      <c r="UPS27" s="24" t="e">
        <v>#N/A</v>
      </c>
      <c r="UPT27" s="24" t="e">
        <v>#N/A</v>
      </c>
      <c r="UPU27" s="24" t="e">
        <v>#N/A</v>
      </c>
      <c r="UPV27" s="24" t="e">
        <v>#N/A</v>
      </c>
      <c r="UPW27" s="24" t="e">
        <v>#N/A</v>
      </c>
      <c r="UPX27" s="24" t="e">
        <v>#N/A</v>
      </c>
      <c r="UPY27" s="24" t="e">
        <v>#N/A</v>
      </c>
      <c r="UPZ27" s="24" t="e">
        <v>#N/A</v>
      </c>
      <c r="UQA27" s="24" t="e">
        <v>#N/A</v>
      </c>
      <c r="UQB27" s="24" t="e">
        <v>#N/A</v>
      </c>
      <c r="UQC27" s="24" t="e">
        <v>#N/A</v>
      </c>
      <c r="UQD27" s="24" t="e">
        <v>#N/A</v>
      </c>
      <c r="UQE27" s="24" t="e">
        <v>#N/A</v>
      </c>
      <c r="UQF27" s="24" t="e">
        <v>#N/A</v>
      </c>
      <c r="UQG27" s="24" t="e">
        <v>#N/A</v>
      </c>
      <c r="UQH27" s="24" t="e">
        <v>#N/A</v>
      </c>
      <c r="UQI27" s="24" t="e">
        <v>#N/A</v>
      </c>
      <c r="UQJ27" s="24" t="e">
        <v>#N/A</v>
      </c>
      <c r="UQK27" s="24" t="e">
        <v>#N/A</v>
      </c>
      <c r="UQL27" s="24" t="e">
        <v>#N/A</v>
      </c>
      <c r="UQM27" s="24" t="e">
        <v>#N/A</v>
      </c>
      <c r="UQN27" s="24" t="e">
        <v>#N/A</v>
      </c>
      <c r="UQO27" s="24" t="e">
        <v>#N/A</v>
      </c>
      <c r="UQP27" s="24" t="e">
        <v>#N/A</v>
      </c>
      <c r="UQQ27" s="24" t="e">
        <v>#N/A</v>
      </c>
      <c r="UQR27" s="24" t="e">
        <v>#N/A</v>
      </c>
      <c r="UQS27" s="24" t="e">
        <v>#N/A</v>
      </c>
      <c r="UQT27" s="24" t="e">
        <v>#N/A</v>
      </c>
      <c r="UQU27" s="24" t="e">
        <v>#N/A</v>
      </c>
      <c r="UQV27" s="24" t="e">
        <v>#N/A</v>
      </c>
      <c r="UQW27" s="24" t="e">
        <v>#N/A</v>
      </c>
      <c r="UQX27" s="24" t="e">
        <v>#N/A</v>
      </c>
      <c r="UQY27" s="24" t="e">
        <v>#N/A</v>
      </c>
      <c r="UQZ27" s="24" t="e">
        <v>#N/A</v>
      </c>
      <c r="URA27" s="24" t="e">
        <v>#N/A</v>
      </c>
      <c r="URB27" s="24" t="e">
        <v>#N/A</v>
      </c>
      <c r="URC27" s="24" t="e">
        <v>#N/A</v>
      </c>
      <c r="URD27" s="24" t="e">
        <v>#N/A</v>
      </c>
      <c r="URE27" s="24" t="e">
        <v>#N/A</v>
      </c>
      <c r="URF27" s="24" t="e">
        <v>#N/A</v>
      </c>
      <c r="URG27" s="24" t="e">
        <v>#N/A</v>
      </c>
      <c r="URH27" s="24" t="e">
        <v>#N/A</v>
      </c>
      <c r="URI27" s="24" t="e">
        <v>#N/A</v>
      </c>
      <c r="URJ27" s="24" t="e">
        <v>#N/A</v>
      </c>
      <c r="URK27" s="24" t="e">
        <v>#N/A</v>
      </c>
      <c r="URL27" s="24" t="e">
        <v>#N/A</v>
      </c>
      <c r="URM27" s="24" t="e">
        <v>#N/A</v>
      </c>
      <c r="URN27" s="24" t="e">
        <v>#N/A</v>
      </c>
      <c r="URO27" s="24" t="e">
        <v>#N/A</v>
      </c>
      <c r="URP27" s="24" t="e">
        <v>#N/A</v>
      </c>
      <c r="URQ27" s="24" t="e">
        <v>#N/A</v>
      </c>
      <c r="URR27" s="24" t="e">
        <v>#N/A</v>
      </c>
      <c r="URS27" s="24" t="e">
        <v>#N/A</v>
      </c>
      <c r="URT27" s="24" t="e">
        <v>#N/A</v>
      </c>
      <c r="URU27" s="24" t="e">
        <v>#N/A</v>
      </c>
      <c r="URV27" s="24" t="e">
        <v>#N/A</v>
      </c>
      <c r="URW27" s="24" t="e">
        <v>#N/A</v>
      </c>
      <c r="URX27" s="24" t="e">
        <v>#N/A</v>
      </c>
      <c r="URY27" s="24" t="e">
        <v>#N/A</v>
      </c>
      <c r="URZ27" s="24" t="e">
        <v>#N/A</v>
      </c>
      <c r="USA27" s="24" t="e">
        <v>#N/A</v>
      </c>
      <c r="USB27" s="24" t="e">
        <v>#N/A</v>
      </c>
      <c r="USC27" s="24" t="e">
        <v>#N/A</v>
      </c>
      <c r="USD27" s="24" t="e">
        <v>#N/A</v>
      </c>
      <c r="USE27" s="24" t="e">
        <v>#N/A</v>
      </c>
      <c r="USF27" s="24" t="e">
        <v>#N/A</v>
      </c>
      <c r="USG27" s="24" t="e">
        <v>#N/A</v>
      </c>
      <c r="USH27" s="24" t="e">
        <v>#N/A</v>
      </c>
      <c r="USI27" s="24" t="e">
        <v>#N/A</v>
      </c>
      <c r="USJ27" s="24" t="e">
        <v>#N/A</v>
      </c>
      <c r="USK27" s="24" t="e">
        <v>#N/A</v>
      </c>
      <c r="USL27" s="24" t="e">
        <v>#N/A</v>
      </c>
      <c r="USM27" s="24" t="e">
        <v>#N/A</v>
      </c>
      <c r="USN27" s="24" t="e">
        <v>#N/A</v>
      </c>
      <c r="USO27" s="24" t="e">
        <v>#N/A</v>
      </c>
      <c r="USP27" s="24" t="e">
        <v>#N/A</v>
      </c>
      <c r="USQ27" s="24" t="e">
        <v>#N/A</v>
      </c>
      <c r="USR27" s="24" t="e">
        <v>#N/A</v>
      </c>
      <c r="USS27" s="24" t="e">
        <v>#N/A</v>
      </c>
      <c r="UST27" s="24" t="e">
        <v>#N/A</v>
      </c>
      <c r="USU27" s="24" t="e">
        <v>#N/A</v>
      </c>
      <c r="USV27" s="24" t="e">
        <v>#N/A</v>
      </c>
      <c r="USW27" s="24" t="e">
        <v>#N/A</v>
      </c>
      <c r="USX27" s="24" t="e">
        <v>#N/A</v>
      </c>
      <c r="USY27" s="24" t="e">
        <v>#N/A</v>
      </c>
      <c r="USZ27" s="24" t="e">
        <v>#N/A</v>
      </c>
      <c r="UTA27" s="24" t="e">
        <v>#N/A</v>
      </c>
      <c r="UTB27" s="24" t="e">
        <v>#N/A</v>
      </c>
      <c r="UTC27" s="24" t="e">
        <v>#N/A</v>
      </c>
      <c r="UTD27" s="24" t="e">
        <v>#N/A</v>
      </c>
      <c r="UTE27" s="24" t="e">
        <v>#N/A</v>
      </c>
      <c r="UTF27" s="24" t="e">
        <v>#N/A</v>
      </c>
      <c r="UTG27" s="24" t="e">
        <v>#N/A</v>
      </c>
      <c r="UTH27" s="24" t="e">
        <v>#N/A</v>
      </c>
      <c r="UTI27" s="24" t="e">
        <v>#N/A</v>
      </c>
      <c r="UTJ27" s="24" t="e">
        <v>#N/A</v>
      </c>
      <c r="UTK27" s="24" t="e">
        <v>#N/A</v>
      </c>
      <c r="UTL27" s="24" t="e">
        <v>#N/A</v>
      </c>
      <c r="UTM27" s="24" t="e">
        <v>#N/A</v>
      </c>
      <c r="UTN27" s="24" t="e">
        <v>#N/A</v>
      </c>
      <c r="UTO27" s="24" t="e">
        <v>#N/A</v>
      </c>
      <c r="UTP27" s="24" t="e">
        <v>#N/A</v>
      </c>
      <c r="UTQ27" s="24" t="e">
        <v>#N/A</v>
      </c>
      <c r="UTR27" s="24" t="e">
        <v>#N/A</v>
      </c>
      <c r="UTS27" s="24" t="e">
        <v>#N/A</v>
      </c>
      <c r="UTT27" s="24" t="e">
        <v>#N/A</v>
      </c>
      <c r="UTU27" s="24" t="e">
        <v>#N/A</v>
      </c>
      <c r="UTV27" s="24" t="e">
        <v>#N/A</v>
      </c>
      <c r="UTW27" s="24" t="e">
        <v>#N/A</v>
      </c>
      <c r="UTX27" s="24" t="e">
        <v>#N/A</v>
      </c>
      <c r="UTY27" s="24" t="e">
        <v>#N/A</v>
      </c>
      <c r="UTZ27" s="24" t="e">
        <v>#N/A</v>
      </c>
      <c r="UUA27" s="24" t="e">
        <v>#N/A</v>
      </c>
      <c r="UUB27" s="24" t="e">
        <v>#N/A</v>
      </c>
      <c r="UUC27" s="24" t="e">
        <v>#N/A</v>
      </c>
      <c r="UUD27" s="24" t="e">
        <v>#N/A</v>
      </c>
      <c r="UUE27" s="24" t="e">
        <v>#N/A</v>
      </c>
      <c r="UUF27" s="24" t="e">
        <v>#N/A</v>
      </c>
      <c r="UUG27" s="24" t="e">
        <v>#N/A</v>
      </c>
      <c r="UUH27" s="24" t="e">
        <v>#N/A</v>
      </c>
      <c r="UUI27" s="24" t="e">
        <v>#N/A</v>
      </c>
      <c r="UUJ27" s="24" t="e">
        <v>#N/A</v>
      </c>
      <c r="UUK27" s="24" t="e">
        <v>#N/A</v>
      </c>
      <c r="UUL27" s="24" t="e">
        <v>#N/A</v>
      </c>
      <c r="UUM27" s="24" t="e">
        <v>#N/A</v>
      </c>
      <c r="UUN27" s="24" t="e">
        <v>#N/A</v>
      </c>
      <c r="UUO27" s="24" t="e">
        <v>#N/A</v>
      </c>
      <c r="UUP27" s="24" t="e">
        <v>#N/A</v>
      </c>
      <c r="UUQ27" s="24" t="e">
        <v>#N/A</v>
      </c>
      <c r="UUR27" s="24" t="e">
        <v>#N/A</v>
      </c>
      <c r="UUS27" s="24" t="e">
        <v>#N/A</v>
      </c>
      <c r="UUT27" s="24" t="e">
        <v>#N/A</v>
      </c>
      <c r="UUU27" s="24" t="e">
        <v>#N/A</v>
      </c>
      <c r="UUV27" s="24" t="e">
        <v>#N/A</v>
      </c>
      <c r="UUW27" s="24" t="e">
        <v>#N/A</v>
      </c>
      <c r="UUX27" s="24" t="e">
        <v>#N/A</v>
      </c>
      <c r="UUY27" s="24" t="e">
        <v>#N/A</v>
      </c>
      <c r="UUZ27" s="24" t="e">
        <v>#N/A</v>
      </c>
      <c r="UVA27" s="24" t="e">
        <v>#N/A</v>
      </c>
      <c r="UVB27" s="24" t="e">
        <v>#N/A</v>
      </c>
      <c r="UVC27" s="24" t="e">
        <v>#N/A</v>
      </c>
      <c r="UVD27" s="24" t="e">
        <v>#N/A</v>
      </c>
      <c r="UVE27" s="24" t="e">
        <v>#N/A</v>
      </c>
      <c r="UVF27" s="24" t="e">
        <v>#N/A</v>
      </c>
      <c r="UVG27" s="24" t="e">
        <v>#N/A</v>
      </c>
      <c r="UVH27" s="24" t="e">
        <v>#N/A</v>
      </c>
      <c r="UVI27" s="24" t="e">
        <v>#N/A</v>
      </c>
      <c r="UVJ27" s="24" t="e">
        <v>#N/A</v>
      </c>
      <c r="UVK27" s="24" t="e">
        <v>#N/A</v>
      </c>
      <c r="UVL27" s="24" t="e">
        <v>#N/A</v>
      </c>
      <c r="UVM27" s="24" t="e">
        <v>#N/A</v>
      </c>
      <c r="UVN27" s="24" t="e">
        <v>#N/A</v>
      </c>
      <c r="UVO27" s="24" t="e">
        <v>#N/A</v>
      </c>
      <c r="UVP27" s="24" t="e">
        <v>#N/A</v>
      </c>
      <c r="UVQ27" s="24" t="e">
        <v>#N/A</v>
      </c>
      <c r="UVR27" s="24" t="e">
        <v>#N/A</v>
      </c>
      <c r="UVS27" s="24" t="e">
        <v>#N/A</v>
      </c>
      <c r="UVT27" s="24" t="e">
        <v>#N/A</v>
      </c>
      <c r="UVU27" s="24" t="e">
        <v>#N/A</v>
      </c>
      <c r="UVV27" s="24" t="e">
        <v>#N/A</v>
      </c>
      <c r="UVW27" s="24" t="e">
        <v>#N/A</v>
      </c>
      <c r="UVX27" s="24" t="e">
        <v>#N/A</v>
      </c>
      <c r="UVY27" s="24" t="e">
        <v>#N/A</v>
      </c>
      <c r="UVZ27" s="24" t="e">
        <v>#N/A</v>
      </c>
      <c r="UWA27" s="24" t="e">
        <v>#N/A</v>
      </c>
      <c r="UWB27" s="24" t="e">
        <v>#N/A</v>
      </c>
      <c r="UWC27" s="24" t="e">
        <v>#N/A</v>
      </c>
      <c r="UWD27" s="24" t="e">
        <v>#N/A</v>
      </c>
      <c r="UWE27" s="24" t="e">
        <v>#N/A</v>
      </c>
      <c r="UWF27" s="24" t="e">
        <v>#N/A</v>
      </c>
      <c r="UWG27" s="24" t="e">
        <v>#N/A</v>
      </c>
      <c r="UWH27" s="24" t="e">
        <v>#N/A</v>
      </c>
      <c r="UWI27" s="24" t="e">
        <v>#N/A</v>
      </c>
      <c r="UWJ27" s="24" t="e">
        <v>#N/A</v>
      </c>
      <c r="UWK27" s="24" t="e">
        <v>#N/A</v>
      </c>
      <c r="UWL27" s="24" t="e">
        <v>#N/A</v>
      </c>
      <c r="UWM27" s="24" t="e">
        <v>#N/A</v>
      </c>
      <c r="UWN27" s="24" t="e">
        <v>#N/A</v>
      </c>
      <c r="UWO27" s="24" t="e">
        <v>#N/A</v>
      </c>
      <c r="UWP27" s="24" t="e">
        <v>#N/A</v>
      </c>
      <c r="UWQ27" s="24" t="e">
        <v>#N/A</v>
      </c>
      <c r="UWR27" s="24" t="e">
        <v>#N/A</v>
      </c>
      <c r="UWS27" s="24" t="e">
        <v>#N/A</v>
      </c>
      <c r="UWT27" s="24" t="e">
        <v>#N/A</v>
      </c>
      <c r="UWU27" s="24" t="e">
        <v>#N/A</v>
      </c>
      <c r="UWV27" s="24" t="e">
        <v>#N/A</v>
      </c>
      <c r="UWW27" s="24" t="e">
        <v>#N/A</v>
      </c>
      <c r="UWX27" s="24" t="e">
        <v>#N/A</v>
      </c>
      <c r="UWY27" s="24" t="e">
        <v>#N/A</v>
      </c>
      <c r="UWZ27" s="24" t="e">
        <v>#N/A</v>
      </c>
      <c r="UXA27" s="24" t="e">
        <v>#N/A</v>
      </c>
      <c r="UXB27" s="24" t="e">
        <v>#N/A</v>
      </c>
      <c r="UXC27" s="24" t="e">
        <v>#N/A</v>
      </c>
      <c r="UXD27" s="24" t="e">
        <v>#N/A</v>
      </c>
      <c r="UXE27" s="24" t="e">
        <v>#N/A</v>
      </c>
      <c r="UXF27" s="24" t="e">
        <v>#N/A</v>
      </c>
      <c r="UXG27" s="24" t="e">
        <v>#N/A</v>
      </c>
      <c r="UXH27" s="24" t="e">
        <v>#N/A</v>
      </c>
      <c r="UXI27" s="24" t="e">
        <v>#N/A</v>
      </c>
      <c r="UXJ27" s="24" t="e">
        <v>#N/A</v>
      </c>
      <c r="UXK27" s="24" t="e">
        <v>#N/A</v>
      </c>
      <c r="UXL27" s="24" t="e">
        <v>#N/A</v>
      </c>
      <c r="UXM27" s="24" t="e">
        <v>#N/A</v>
      </c>
      <c r="UXN27" s="24" t="e">
        <v>#N/A</v>
      </c>
      <c r="UXO27" s="24" t="e">
        <v>#N/A</v>
      </c>
      <c r="UXP27" s="24" t="e">
        <v>#N/A</v>
      </c>
      <c r="UXQ27" s="24" t="e">
        <v>#N/A</v>
      </c>
      <c r="UXR27" s="24" t="e">
        <v>#N/A</v>
      </c>
      <c r="UXS27" s="24" t="e">
        <v>#N/A</v>
      </c>
      <c r="UXT27" s="24" t="e">
        <v>#N/A</v>
      </c>
      <c r="UXU27" s="24" t="e">
        <v>#N/A</v>
      </c>
      <c r="UXV27" s="24" t="e">
        <v>#N/A</v>
      </c>
      <c r="UXW27" s="24" t="e">
        <v>#N/A</v>
      </c>
      <c r="UXX27" s="24" t="e">
        <v>#N/A</v>
      </c>
      <c r="UXY27" s="24" t="e">
        <v>#N/A</v>
      </c>
      <c r="UXZ27" s="24" t="e">
        <v>#N/A</v>
      </c>
      <c r="UYA27" s="24" t="e">
        <v>#N/A</v>
      </c>
      <c r="UYB27" s="24" t="e">
        <v>#N/A</v>
      </c>
      <c r="UYC27" s="24" t="e">
        <v>#N/A</v>
      </c>
      <c r="UYD27" s="24" t="e">
        <v>#N/A</v>
      </c>
      <c r="UYE27" s="24" t="e">
        <v>#N/A</v>
      </c>
      <c r="UYF27" s="24" t="e">
        <v>#N/A</v>
      </c>
      <c r="UYG27" s="24" t="e">
        <v>#N/A</v>
      </c>
      <c r="UYH27" s="24" t="e">
        <v>#N/A</v>
      </c>
      <c r="UYI27" s="24" t="e">
        <v>#N/A</v>
      </c>
      <c r="UYJ27" s="24" t="e">
        <v>#N/A</v>
      </c>
      <c r="UYK27" s="24" t="e">
        <v>#N/A</v>
      </c>
      <c r="UYL27" s="24" t="e">
        <v>#N/A</v>
      </c>
      <c r="UYM27" s="24" t="e">
        <v>#N/A</v>
      </c>
      <c r="UYN27" s="24" t="e">
        <v>#N/A</v>
      </c>
      <c r="UYO27" s="24" t="e">
        <v>#N/A</v>
      </c>
      <c r="UYP27" s="24" t="e">
        <v>#N/A</v>
      </c>
      <c r="UYQ27" s="24" t="e">
        <v>#N/A</v>
      </c>
      <c r="UYR27" s="24" t="e">
        <v>#N/A</v>
      </c>
      <c r="UYS27" s="24" t="e">
        <v>#N/A</v>
      </c>
      <c r="UYT27" s="24" t="e">
        <v>#N/A</v>
      </c>
      <c r="UYU27" s="24" t="e">
        <v>#N/A</v>
      </c>
      <c r="UYV27" s="24" t="e">
        <v>#N/A</v>
      </c>
      <c r="UYW27" s="24" t="e">
        <v>#N/A</v>
      </c>
      <c r="UYX27" s="24" t="e">
        <v>#N/A</v>
      </c>
      <c r="UYY27" s="24" t="e">
        <v>#N/A</v>
      </c>
      <c r="UYZ27" s="24" t="e">
        <v>#N/A</v>
      </c>
      <c r="UZA27" s="24" t="e">
        <v>#N/A</v>
      </c>
      <c r="UZB27" s="24" t="e">
        <v>#N/A</v>
      </c>
      <c r="UZC27" s="24" t="e">
        <v>#N/A</v>
      </c>
      <c r="UZD27" s="24" t="e">
        <v>#N/A</v>
      </c>
      <c r="UZE27" s="24" t="e">
        <v>#N/A</v>
      </c>
      <c r="UZF27" s="24" t="e">
        <v>#N/A</v>
      </c>
      <c r="UZG27" s="24" t="e">
        <v>#N/A</v>
      </c>
      <c r="UZH27" s="24" t="e">
        <v>#N/A</v>
      </c>
      <c r="UZI27" s="24" t="e">
        <v>#N/A</v>
      </c>
      <c r="UZJ27" s="24" t="e">
        <v>#N/A</v>
      </c>
      <c r="UZK27" s="24" t="e">
        <v>#N/A</v>
      </c>
      <c r="UZL27" s="24" t="e">
        <v>#N/A</v>
      </c>
      <c r="UZM27" s="24" t="e">
        <v>#N/A</v>
      </c>
      <c r="UZN27" s="24" t="e">
        <v>#N/A</v>
      </c>
      <c r="UZO27" s="24" t="e">
        <v>#N/A</v>
      </c>
      <c r="UZP27" s="24" t="e">
        <v>#N/A</v>
      </c>
      <c r="UZQ27" s="24" t="e">
        <v>#N/A</v>
      </c>
      <c r="UZR27" s="24" t="e">
        <v>#N/A</v>
      </c>
      <c r="UZS27" s="24" t="e">
        <v>#N/A</v>
      </c>
      <c r="UZT27" s="24" t="e">
        <v>#N/A</v>
      </c>
      <c r="UZU27" s="24" t="e">
        <v>#N/A</v>
      </c>
      <c r="UZV27" s="24" t="e">
        <v>#N/A</v>
      </c>
      <c r="UZW27" s="24" t="e">
        <v>#N/A</v>
      </c>
      <c r="UZX27" s="24" t="e">
        <v>#N/A</v>
      </c>
      <c r="UZY27" s="24" t="e">
        <v>#N/A</v>
      </c>
      <c r="UZZ27" s="24" t="e">
        <v>#N/A</v>
      </c>
      <c r="VAA27" s="24" t="e">
        <v>#N/A</v>
      </c>
      <c r="VAB27" s="24" t="e">
        <v>#N/A</v>
      </c>
      <c r="VAC27" s="24" t="e">
        <v>#N/A</v>
      </c>
      <c r="VAD27" s="24" t="e">
        <v>#N/A</v>
      </c>
      <c r="VAE27" s="24" t="e">
        <v>#N/A</v>
      </c>
      <c r="VAF27" s="24" t="e">
        <v>#N/A</v>
      </c>
      <c r="VAG27" s="24" t="e">
        <v>#N/A</v>
      </c>
      <c r="VAH27" s="24" t="e">
        <v>#N/A</v>
      </c>
      <c r="VAI27" s="24" t="e">
        <v>#N/A</v>
      </c>
      <c r="VAJ27" s="24" t="e">
        <v>#N/A</v>
      </c>
      <c r="VAK27" s="24" t="e">
        <v>#N/A</v>
      </c>
      <c r="VAL27" s="24" t="e">
        <v>#N/A</v>
      </c>
      <c r="VAM27" s="24" t="e">
        <v>#N/A</v>
      </c>
      <c r="VAN27" s="24" t="e">
        <v>#N/A</v>
      </c>
      <c r="VAO27" s="24" t="e">
        <v>#N/A</v>
      </c>
      <c r="VAP27" s="24" t="e">
        <v>#N/A</v>
      </c>
      <c r="VAQ27" s="24" t="e">
        <v>#N/A</v>
      </c>
      <c r="VAR27" s="24" t="e">
        <v>#N/A</v>
      </c>
      <c r="VAS27" s="24" t="e">
        <v>#N/A</v>
      </c>
      <c r="VAT27" s="24" t="e">
        <v>#N/A</v>
      </c>
      <c r="VAU27" s="24" t="e">
        <v>#N/A</v>
      </c>
      <c r="VAV27" s="24" t="e">
        <v>#N/A</v>
      </c>
      <c r="VAW27" s="24" t="e">
        <v>#N/A</v>
      </c>
      <c r="VAX27" s="24" t="e">
        <v>#N/A</v>
      </c>
      <c r="VAY27" s="24" t="e">
        <v>#N/A</v>
      </c>
      <c r="VAZ27" s="24" t="e">
        <v>#N/A</v>
      </c>
      <c r="VBA27" s="24" t="e">
        <v>#N/A</v>
      </c>
      <c r="VBB27" s="24" t="e">
        <v>#N/A</v>
      </c>
      <c r="VBC27" s="24" t="e">
        <v>#N/A</v>
      </c>
      <c r="VBD27" s="24" t="e">
        <v>#N/A</v>
      </c>
      <c r="VBE27" s="24" t="e">
        <v>#N/A</v>
      </c>
      <c r="VBF27" s="24" t="e">
        <v>#N/A</v>
      </c>
      <c r="VBG27" s="24" t="e">
        <v>#N/A</v>
      </c>
      <c r="VBH27" s="24" t="e">
        <v>#N/A</v>
      </c>
      <c r="VBI27" s="24" t="e">
        <v>#N/A</v>
      </c>
      <c r="VBJ27" s="24" t="e">
        <v>#N/A</v>
      </c>
      <c r="VBK27" s="24" t="e">
        <v>#N/A</v>
      </c>
      <c r="VBL27" s="24" t="e">
        <v>#N/A</v>
      </c>
      <c r="VBM27" s="24" t="e">
        <v>#N/A</v>
      </c>
      <c r="VBN27" s="24" t="e">
        <v>#N/A</v>
      </c>
      <c r="VBO27" s="24" t="e">
        <v>#N/A</v>
      </c>
      <c r="VBP27" s="24" t="e">
        <v>#N/A</v>
      </c>
      <c r="VBQ27" s="24" t="e">
        <v>#N/A</v>
      </c>
      <c r="VBR27" s="24" t="e">
        <v>#N/A</v>
      </c>
      <c r="VBS27" s="24" t="e">
        <v>#N/A</v>
      </c>
      <c r="VBT27" s="24" t="e">
        <v>#N/A</v>
      </c>
      <c r="VBU27" s="24" t="e">
        <v>#N/A</v>
      </c>
      <c r="VBV27" s="24" t="e">
        <v>#N/A</v>
      </c>
      <c r="VBW27" s="24" t="e">
        <v>#N/A</v>
      </c>
      <c r="VBX27" s="24" t="e">
        <v>#N/A</v>
      </c>
      <c r="VBY27" s="24" t="e">
        <v>#N/A</v>
      </c>
      <c r="VBZ27" s="24" t="e">
        <v>#N/A</v>
      </c>
      <c r="VCA27" s="24" t="e">
        <v>#N/A</v>
      </c>
      <c r="VCB27" s="24" t="e">
        <v>#N/A</v>
      </c>
      <c r="VCC27" s="24" t="e">
        <v>#N/A</v>
      </c>
      <c r="VCD27" s="24" t="e">
        <v>#N/A</v>
      </c>
      <c r="VCE27" s="24" t="e">
        <v>#N/A</v>
      </c>
      <c r="VCF27" s="24" t="e">
        <v>#N/A</v>
      </c>
      <c r="VCG27" s="24" t="e">
        <v>#N/A</v>
      </c>
      <c r="VCH27" s="24" t="e">
        <v>#N/A</v>
      </c>
      <c r="VCI27" s="24" t="e">
        <v>#N/A</v>
      </c>
      <c r="VCJ27" s="24" t="e">
        <v>#N/A</v>
      </c>
      <c r="VCK27" s="24" t="e">
        <v>#N/A</v>
      </c>
      <c r="VCL27" s="24" t="e">
        <v>#N/A</v>
      </c>
      <c r="VCM27" s="24" t="e">
        <v>#N/A</v>
      </c>
      <c r="VCN27" s="24" t="e">
        <v>#N/A</v>
      </c>
      <c r="VCO27" s="24" t="e">
        <v>#N/A</v>
      </c>
      <c r="VCP27" s="24" t="e">
        <v>#N/A</v>
      </c>
      <c r="VCQ27" s="24" t="e">
        <v>#N/A</v>
      </c>
      <c r="VCR27" s="24" t="e">
        <v>#N/A</v>
      </c>
      <c r="VCS27" s="24" t="e">
        <v>#N/A</v>
      </c>
      <c r="VCT27" s="24" t="e">
        <v>#N/A</v>
      </c>
      <c r="VCU27" s="24" t="e">
        <v>#N/A</v>
      </c>
      <c r="VCV27" s="24" t="e">
        <v>#N/A</v>
      </c>
      <c r="VCW27" s="24" t="e">
        <v>#N/A</v>
      </c>
      <c r="VCX27" s="24" t="e">
        <v>#N/A</v>
      </c>
      <c r="VCY27" s="24" t="e">
        <v>#N/A</v>
      </c>
      <c r="VCZ27" s="24" t="e">
        <v>#N/A</v>
      </c>
      <c r="VDA27" s="24" t="e">
        <v>#N/A</v>
      </c>
      <c r="VDB27" s="24" t="e">
        <v>#N/A</v>
      </c>
      <c r="VDC27" s="24" t="e">
        <v>#N/A</v>
      </c>
      <c r="VDD27" s="24" t="e">
        <v>#N/A</v>
      </c>
      <c r="VDE27" s="24" t="e">
        <v>#N/A</v>
      </c>
      <c r="VDF27" s="24" t="e">
        <v>#N/A</v>
      </c>
      <c r="VDG27" s="24" t="e">
        <v>#N/A</v>
      </c>
      <c r="VDH27" s="24" t="e">
        <v>#N/A</v>
      </c>
      <c r="VDI27" s="24" t="e">
        <v>#N/A</v>
      </c>
      <c r="VDJ27" s="24" t="e">
        <v>#N/A</v>
      </c>
      <c r="VDK27" s="24" t="e">
        <v>#N/A</v>
      </c>
      <c r="VDL27" s="24" t="e">
        <v>#N/A</v>
      </c>
      <c r="VDM27" s="24" t="e">
        <v>#N/A</v>
      </c>
      <c r="VDN27" s="24" t="e">
        <v>#N/A</v>
      </c>
      <c r="VDO27" s="24" t="e">
        <v>#N/A</v>
      </c>
      <c r="VDP27" s="24" t="e">
        <v>#N/A</v>
      </c>
      <c r="VDQ27" s="24" t="e">
        <v>#N/A</v>
      </c>
      <c r="VDR27" s="24" t="e">
        <v>#N/A</v>
      </c>
      <c r="VDS27" s="24" t="e">
        <v>#N/A</v>
      </c>
      <c r="VDT27" s="24" t="e">
        <v>#N/A</v>
      </c>
      <c r="VDU27" s="24" t="e">
        <v>#N/A</v>
      </c>
      <c r="VDV27" s="24" t="e">
        <v>#N/A</v>
      </c>
      <c r="VDW27" s="24" t="e">
        <v>#N/A</v>
      </c>
      <c r="VDX27" s="24" t="e">
        <v>#N/A</v>
      </c>
      <c r="VDY27" s="24" t="e">
        <v>#N/A</v>
      </c>
      <c r="VDZ27" s="24" t="e">
        <v>#N/A</v>
      </c>
      <c r="VEA27" s="24" t="e">
        <v>#N/A</v>
      </c>
      <c r="VEB27" s="24" t="e">
        <v>#N/A</v>
      </c>
      <c r="VEC27" s="24" t="e">
        <v>#N/A</v>
      </c>
      <c r="VED27" s="24" t="e">
        <v>#N/A</v>
      </c>
      <c r="VEE27" s="24" t="e">
        <v>#N/A</v>
      </c>
      <c r="VEF27" s="24" t="e">
        <v>#N/A</v>
      </c>
      <c r="VEG27" s="24" t="e">
        <v>#N/A</v>
      </c>
      <c r="VEH27" s="24" t="e">
        <v>#N/A</v>
      </c>
      <c r="VEI27" s="24" t="e">
        <v>#N/A</v>
      </c>
      <c r="VEJ27" s="24" t="e">
        <v>#N/A</v>
      </c>
      <c r="VEK27" s="24" t="e">
        <v>#N/A</v>
      </c>
      <c r="VEL27" s="24" t="e">
        <v>#N/A</v>
      </c>
      <c r="VEM27" s="24" t="e">
        <v>#N/A</v>
      </c>
      <c r="VEN27" s="24" t="e">
        <v>#N/A</v>
      </c>
      <c r="VEO27" s="24" t="e">
        <v>#N/A</v>
      </c>
      <c r="VEP27" s="24" t="e">
        <v>#N/A</v>
      </c>
      <c r="VEQ27" s="24" t="e">
        <v>#N/A</v>
      </c>
      <c r="VER27" s="24" t="e">
        <v>#N/A</v>
      </c>
      <c r="VES27" s="24" t="e">
        <v>#N/A</v>
      </c>
      <c r="VET27" s="24" t="e">
        <v>#N/A</v>
      </c>
      <c r="VEU27" s="24" t="e">
        <v>#N/A</v>
      </c>
      <c r="VEV27" s="24" t="e">
        <v>#N/A</v>
      </c>
      <c r="VEW27" s="24" t="e">
        <v>#N/A</v>
      </c>
      <c r="VEX27" s="24" t="e">
        <v>#N/A</v>
      </c>
      <c r="VEY27" s="24" t="e">
        <v>#N/A</v>
      </c>
      <c r="VEZ27" s="24" t="e">
        <v>#N/A</v>
      </c>
      <c r="VFA27" s="24" t="e">
        <v>#N/A</v>
      </c>
      <c r="VFB27" s="24" t="e">
        <v>#N/A</v>
      </c>
      <c r="VFC27" s="24" t="e">
        <v>#N/A</v>
      </c>
      <c r="VFD27" s="24" t="e">
        <v>#N/A</v>
      </c>
      <c r="VFE27" s="24" t="e">
        <v>#N/A</v>
      </c>
      <c r="VFF27" s="24" t="e">
        <v>#N/A</v>
      </c>
      <c r="VFG27" s="24" t="e">
        <v>#N/A</v>
      </c>
      <c r="VFH27" s="24" t="e">
        <v>#N/A</v>
      </c>
      <c r="VFI27" s="24" t="e">
        <v>#N/A</v>
      </c>
      <c r="VFJ27" s="24" t="e">
        <v>#N/A</v>
      </c>
      <c r="VFK27" s="24" t="e">
        <v>#N/A</v>
      </c>
      <c r="VFL27" s="24" t="e">
        <v>#N/A</v>
      </c>
      <c r="VFM27" s="24" t="e">
        <v>#N/A</v>
      </c>
      <c r="VFN27" s="24" t="e">
        <v>#N/A</v>
      </c>
      <c r="VFO27" s="24" t="e">
        <v>#N/A</v>
      </c>
      <c r="VFP27" s="24" t="e">
        <v>#N/A</v>
      </c>
      <c r="VFQ27" s="24" t="e">
        <v>#N/A</v>
      </c>
      <c r="VFR27" s="24" t="e">
        <v>#N/A</v>
      </c>
      <c r="VFS27" s="24" t="e">
        <v>#N/A</v>
      </c>
      <c r="VFT27" s="24" t="e">
        <v>#N/A</v>
      </c>
      <c r="VFU27" s="24" t="e">
        <v>#N/A</v>
      </c>
      <c r="VFV27" s="24" t="e">
        <v>#N/A</v>
      </c>
      <c r="VFW27" s="24" t="e">
        <v>#N/A</v>
      </c>
      <c r="VFX27" s="24" t="e">
        <v>#N/A</v>
      </c>
      <c r="VFY27" s="24" t="e">
        <v>#N/A</v>
      </c>
      <c r="VFZ27" s="24" t="e">
        <v>#N/A</v>
      </c>
      <c r="VGA27" s="24" t="e">
        <v>#N/A</v>
      </c>
      <c r="VGB27" s="24" t="e">
        <v>#N/A</v>
      </c>
      <c r="VGC27" s="24" t="e">
        <v>#N/A</v>
      </c>
      <c r="VGD27" s="24" t="e">
        <v>#N/A</v>
      </c>
      <c r="VGE27" s="24" t="e">
        <v>#N/A</v>
      </c>
      <c r="VGF27" s="24" t="e">
        <v>#N/A</v>
      </c>
      <c r="VGG27" s="24" t="e">
        <v>#N/A</v>
      </c>
      <c r="VGH27" s="24" t="e">
        <v>#N/A</v>
      </c>
      <c r="VGI27" s="24" t="e">
        <v>#N/A</v>
      </c>
      <c r="VGJ27" s="24" t="e">
        <v>#N/A</v>
      </c>
      <c r="VGK27" s="24" t="e">
        <v>#N/A</v>
      </c>
      <c r="VGL27" s="24" t="e">
        <v>#N/A</v>
      </c>
      <c r="VGM27" s="24" t="e">
        <v>#N/A</v>
      </c>
      <c r="VGN27" s="24" t="e">
        <v>#N/A</v>
      </c>
      <c r="VGO27" s="24" t="e">
        <v>#N/A</v>
      </c>
      <c r="VGP27" s="24" t="e">
        <v>#N/A</v>
      </c>
      <c r="VGQ27" s="24" t="e">
        <v>#N/A</v>
      </c>
      <c r="VGR27" s="24" t="e">
        <v>#N/A</v>
      </c>
      <c r="VGS27" s="24" t="e">
        <v>#N/A</v>
      </c>
      <c r="VGT27" s="24" t="e">
        <v>#N/A</v>
      </c>
      <c r="VGU27" s="24" t="e">
        <v>#N/A</v>
      </c>
      <c r="VGV27" s="24" t="e">
        <v>#N/A</v>
      </c>
      <c r="VGW27" s="24" t="e">
        <v>#N/A</v>
      </c>
      <c r="VGX27" s="24" t="e">
        <v>#N/A</v>
      </c>
      <c r="VGY27" s="24" t="e">
        <v>#N/A</v>
      </c>
      <c r="VGZ27" s="24" t="e">
        <v>#N/A</v>
      </c>
      <c r="VHA27" s="24" t="e">
        <v>#N/A</v>
      </c>
      <c r="VHB27" s="24" t="e">
        <v>#N/A</v>
      </c>
      <c r="VHC27" s="24" t="e">
        <v>#N/A</v>
      </c>
      <c r="VHD27" s="24" t="e">
        <v>#N/A</v>
      </c>
      <c r="VHE27" s="24" t="e">
        <v>#N/A</v>
      </c>
      <c r="VHF27" s="24" t="e">
        <v>#N/A</v>
      </c>
      <c r="VHG27" s="24" t="e">
        <v>#N/A</v>
      </c>
      <c r="VHH27" s="24" t="e">
        <v>#N/A</v>
      </c>
      <c r="VHI27" s="24" t="e">
        <v>#N/A</v>
      </c>
      <c r="VHJ27" s="24" t="e">
        <v>#N/A</v>
      </c>
      <c r="VHK27" s="24" t="e">
        <v>#N/A</v>
      </c>
      <c r="VHL27" s="24" t="e">
        <v>#N/A</v>
      </c>
      <c r="VHM27" s="24" t="e">
        <v>#N/A</v>
      </c>
      <c r="VHN27" s="24" t="e">
        <v>#N/A</v>
      </c>
      <c r="VHO27" s="24" t="e">
        <v>#N/A</v>
      </c>
      <c r="VHP27" s="24" t="e">
        <v>#N/A</v>
      </c>
      <c r="VHQ27" s="24" t="e">
        <v>#N/A</v>
      </c>
      <c r="VHR27" s="24" t="e">
        <v>#N/A</v>
      </c>
      <c r="VHS27" s="24" t="e">
        <v>#N/A</v>
      </c>
      <c r="VHT27" s="24" t="e">
        <v>#N/A</v>
      </c>
      <c r="VHU27" s="24" t="e">
        <v>#N/A</v>
      </c>
      <c r="VHV27" s="24" t="e">
        <v>#N/A</v>
      </c>
      <c r="VHW27" s="24" t="e">
        <v>#N/A</v>
      </c>
      <c r="VHX27" s="24" t="e">
        <v>#N/A</v>
      </c>
      <c r="VHY27" s="24" t="e">
        <v>#N/A</v>
      </c>
      <c r="VHZ27" s="24" t="e">
        <v>#N/A</v>
      </c>
      <c r="VIA27" s="24" t="e">
        <v>#N/A</v>
      </c>
      <c r="VIB27" s="24" t="e">
        <v>#N/A</v>
      </c>
      <c r="VIC27" s="24" t="e">
        <v>#N/A</v>
      </c>
      <c r="VID27" s="24" t="e">
        <v>#N/A</v>
      </c>
      <c r="VIE27" s="24" t="e">
        <v>#N/A</v>
      </c>
      <c r="VIF27" s="24" t="e">
        <v>#N/A</v>
      </c>
      <c r="VIG27" s="24" t="e">
        <v>#N/A</v>
      </c>
      <c r="VIH27" s="24" t="e">
        <v>#N/A</v>
      </c>
      <c r="VII27" s="24" t="e">
        <v>#N/A</v>
      </c>
      <c r="VIJ27" s="24" t="e">
        <v>#N/A</v>
      </c>
      <c r="VIK27" s="24" t="e">
        <v>#N/A</v>
      </c>
      <c r="VIL27" s="24" t="e">
        <v>#N/A</v>
      </c>
      <c r="VIM27" s="24" t="e">
        <v>#N/A</v>
      </c>
      <c r="VIN27" s="24" t="e">
        <v>#N/A</v>
      </c>
      <c r="VIO27" s="24" t="e">
        <v>#N/A</v>
      </c>
      <c r="VIP27" s="24" t="e">
        <v>#N/A</v>
      </c>
      <c r="VIQ27" s="24" t="e">
        <v>#N/A</v>
      </c>
      <c r="VIR27" s="24" t="e">
        <v>#N/A</v>
      </c>
      <c r="VIS27" s="24" t="e">
        <v>#N/A</v>
      </c>
      <c r="VIT27" s="24" t="e">
        <v>#N/A</v>
      </c>
      <c r="VIU27" s="24" t="e">
        <v>#N/A</v>
      </c>
      <c r="VIV27" s="24" t="e">
        <v>#N/A</v>
      </c>
      <c r="VIW27" s="24" t="e">
        <v>#N/A</v>
      </c>
      <c r="VIX27" s="24" t="e">
        <v>#N/A</v>
      </c>
      <c r="VIY27" s="24" t="e">
        <v>#N/A</v>
      </c>
      <c r="VIZ27" s="24" t="e">
        <v>#N/A</v>
      </c>
      <c r="VJA27" s="24" t="e">
        <v>#N/A</v>
      </c>
      <c r="VJB27" s="24" t="e">
        <v>#N/A</v>
      </c>
      <c r="VJC27" s="24" t="e">
        <v>#N/A</v>
      </c>
      <c r="VJD27" s="24" t="e">
        <v>#N/A</v>
      </c>
      <c r="VJE27" s="24" t="e">
        <v>#N/A</v>
      </c>
      <c r="VJF27" s="24" t="e">
        <v>#N/A</v>
      </c>
      <c r="VJG27" s="24" t="e">
        <v>#N/A</v>
      </c>
      <c r="VJH27" s="24" t="e">
        <v>#N/A</v>
      </c>
      <c r="VJI27" s="24" t="e">
        <v>#N/A</v>
      </c>
      <c r="VJJ27" s="24" t="e">
        <v>#N/A</v>
      </c>
      <c r="VJK27" s="24" t="e">
        <v>#N/A</v>
      </c>
      <c r="VJL27" s="24" t="e">
        <v>#N/A</v>
      </c>
      <c r="VJM27" s="24" t="e">
        <v>#N/A</v>
      </c>
      <c r="VJN27" s="24" t="e">
        <v>#N/A</v>
      </c>
      <c r="VJO27" s="24" t="e">
        <v>#N/A</v>
      </c>
      <c r="VJP27" s="24" t="e">
        <v>#N/A</v>
      </c>
      <c r="VJQ27" s="24" t="e">
        <v>#N/A</v>
      </c>
      <c r="VJR27" s="24" t="e">
        <v>#N/A</v>
      </c>
      <c r="VJS27" s="24" t="e">
        <v>#N/A</v>
      </c>
      <c r="VJT27" s="24" t="e">
        <v>#N/A</v>
      </c>
      <c r="VJU27" s="24" t="e">
        <v>#N/A</v>
      </c>
      <c r="VJV27" s="24" t="e">
        <v>#N/A</v>
      </c>
      <c r="VJW27" s="24" t="e">
        <v>#N/A</v>
      </c>
      <c r="VJX27" s="24" t="e">
        <v>#N/A</v>
      </c>
      <c r="VJY27" s="24" t="e">
        <v>#N/A</v>
      </c>
      <c r="VJZ27" s="24" t="e">
        <v>#N/A</v>
      </c>
      <c r="VKA27" s="24" t="e">
        <v>#N/A</v>
      </c>
      <c r="VKB27" s="24" t="e">
        <v>#N/A</v>
      </c>
      <c r="VKC27" s="24" t="e">
        <v>#N/A</v>
      </c>
      <c r="VKD27" s="24" t="e">
        <v>#N/A</v>
      </c>
      <c r="VKE27" s="24" t="e">
        <v>#N/A</v>
      </c>
      <c r="VKF27" s="24" t="e">
        <v>#N/A</v>
      </c>
      <c r="VKG27" s="24" t="e">
        <v>#N/A</v>
      </c>
      <c r="VKH27" s="24" t="e">
        <v>#N/A</v>
      </c>
      <c r="VKI27" s="24" t="e">
        <v>#N/A</v>
      </c>
      <c r="VKJ27" s="24" t="e">
        <v>#N/A</v>
      </c>
      <c r="VKK27" s="24" t="e">
        <v>#N/A</v>
      </c>
      <c r="VKL27" s="24" t="e">
        <v>#N/A</v>
      </c>
      <c r="VKM27" s="24" t="e">
        <v>#N/A</v>
      </c>
      <c r="VKN27" s="24" t="e">
        <v>#N/A</v>
      </c>
      <c r="VKO27" s="24" t="e">
        <v>#N/A</v>
      </c>
      <c r="VKP27" s="24" t="e">
        <v>#N/A</v>
      </c>
      <c r="VKQ27" s="24" t="e">
        <v>#N/A</v>
      </c>
      <c r="VKR27" s="24" t="e">
        <v>#N/A</v>
      </c>
      <c r="VKS27" s="24" t="e">
        <v>#N/A</v>
      </c>
      <c r="VKT27" s="24" t="e">
        <v>#N/A</v>
      </c>
      <c r="VKU27" s="24" t="e">
        <v>#N/A</v>
      </c>
      <c r="VKV27" s="24" t="e">
        <v>#N/A</v>
      </c>
      <c r="VKW27" s="24" t="e">
        <v>#N/A</v>
      </c>
      <c r="VKX27" s="24" t="e">
        <v>#N/A</v>
      </c>
      <c r="VKY27" s="24" t="e">
        <v>#N/A</v>
      </c>
      <c r="VKZ27" s="24" t="e">
        <v>#N/A</v>
      </c>
      <c r="VLA27" s="24" t="e">
        <v>#N/A</v>
      </c>
      <c r="VLB27" s="24" t="e">
        <v>#N/A</v>
      </c>
      <c r="VLC27" s="24" t="e">
        <v>#N/A</v>
      </c>
      <c r="VLD27" s="24" t="e">
        <v>#N/A</v>
      </c>
      <c r="VLE27" s="24" t="e">
        <v>#N/A</v>
      </c>
      <c r="VLF27" s="24" t="e">
        <v>#N/A</v>
      </c>
      <c r="VLG27" s="24" t="e">
        <v>#N/A</v>
      </c>
      <c r="VLH27" s="24" t="e">
        <v>#N/A</v>
      </c>
      <c r="VLI27" s="24" t="e">
        <v>#N/A</v>
      </c>
      <c r="VLJ27" s="24" t="e">
        <v>#N/A</v>
      </c>
      <c r="VLK27" s="24" t="e">
        <v>#N/A</v>
      </c>
      <c r="VLL27" s="24" t="e">
        <v>#N/A</v>
      </c>
      <c r="VLM27" s="24" t="e">
        <v>#N/A</v>
      </c>
      <c r="VLN27" s="24" t="e">
        <v>#N/A</v>
      </c>
      <c r="VLO27" s="24" t="e">
        <v>#N/A</v>
      </c>
      <c r="VLP27" s="24" t="e">
        <v>#N/A</v>
      </c>
      <c r="VLQ27" s="24" t="e">
        <v>#N/A</v>
      </c>
      <c r="VLR27" s="24" t="e">
        <v>#N/A</v>
      </c>
      <c r="VLS27" s="24" t="e">
        <v>#N/A</v>
      </c>
      <c r="VLT27" s="24" t="e">
        <v>#N/A</v>
      </c>
      <c r="VLU27" s="24" t="e">
        <v>#N/A</v>
      </c>
      <c r="VLV27" s="24" t="e">
        <v>#N/A</v>
      </c>
      <c r="VLW27" s="24" t="e">
        <v>#N/A</v>
      </c>
      <c r="VLX27" s="24" t="e">
        <v>#N/A</v>
      </c>
      <c r="VLY27" s="24" t="e">
        <v>#N/A</v>
      </c>
      <c r="VLZ27" s="24" t="e">
        <v>#N/A</v>
      </c>
      <c r="VMA27" s="24" t="e">
        <v>#N/A</v>
      </c>
      <c r="VMB27" s="24" t="e">
        <v>#N/A</v>
      </c>
      <c r="VMC27" s="24" t="e">
        <v>#N/A</v>
      </c>
      <c r="VMD27" s="24" t="e">
        <v>#N/A</v>
      </c>
      <c r="VME27" s="24" t="e">
        <v>#N/A</v>
      </c>
      <c r="VMF27" s="24" t="e">
        <v>#N/A</v>
      </c>
      <c r="VMG27" s="24" t="e">
        <v>#N/A</v>
      </c>
      <c r="VMH27" s="24" t="e">
        <v>#N/A</v>
      </c>
      <c r="VMI27" s="24" t="e">
        <v>#N/A</v>
      </c>
      <c r="VMJ27" s="24" t="e">
        <v>#N/A</v>
      </c>
      <c r="VMK27" s="24" t="e">
        <v>#N/A</v>
      </c>
      <c r="VML27" s="24" t="e">
        <v>#N/A</v>
      </c>
      <c r="VMM27" s="24" t="e">
        <v>#N/A</v>
      </c>
      <c r="VMN27" s="24" t="e">
        <v>#N/A</v>
      </c>
      <c r="VMO27" s="24" t="e">
        <v>#N/A</v>
      </c>
      <c r="VMP27" s="24" t="e">
        <v>#N/A</v>
      </c>
      <c r="VMQ27" s="24" t="e">
        <v>#N/A</v>
      </c>
      <c r="VMR27" s="24" t="e">
        <v>#N/A</v>
      </c>
      <c r="VMS27" s="24" t="e">
        <v>#N/A</v>
      </c>
      <c r="VMT27" s="24" t="e">
        <v>#N/A</v>
      </c>
      <c r="VMU27" s="24" t="e">
        <v>#N/A</v>
      </c>
      <c r="VMV27" s="24" t="e">
        <v>#N/A</v>
      </c>
      <c r="VMW27" s="24" t="e">
        <v>#N/A</v>
      </c>
      <c r="VMX27" s="24" t="e">
        <v>#N/A</v>
      </c>
      <c r="VMY27" s="24" t="e">
        <v>#N/A</v>
      </c>
      <c r="VMZ27" s="24" t="e">
        <v>#N/A</v>
      </c>
      <c r="VNA27" s="24" t="e">
        <v>#N/A</v>
      </c>
      <c r="VNB27" s="24" t="e">
        <v>#N/A</v>
      </c>
      <c r="VNC27" s="24" t="e">
        <v>#N/A</v>
      </c>
      <c r="VND27" s="24" t="e">
        <v>#N/A</v>
      </c>
      <c r="VNE27" s="24" t="e">
        <v>#N/A</v>
      </c>
      <c r="VNF27" s="24" t="e">
        <v>#N/A</v>
      </c>
      <c r="VNG27" s="24" t="e">
        <v>#N/A</v>
      </c>
      <c r="VNH27" s="24" t="e">
        <v>#N/A</v>
      </c>
      <c r="VNI27" s="24" t="e">
        <v>#N/A</v>
      </c>
      <c r="VNJ27" s="24" t="e">
        <v>#N/A</v>
      </c>
      <c r="VNK27" s="24" t="e">
        <v>#N/A</v>
      </c>
      <c r="VNL27" s="24" t="e">
        <v>#N/A</v>
      </c>
      <c r="VNM27" s="24" t="e">
        <v>#N/A</v>
      </c>
      <c r="VNN27" s="24" t="e">
        <v>#N/A</v>
      </c>
      <c r="VNO27" s="24" t="e">
        <v>#N/A</v>
      </c>
      <c r="VNP27" s="24" t="e">
        <v>#N/A</v>
      </c>
      <c r="VNQ27" s="24" t="e">
        <v>#N/A</v>
      </c>
      <c r="VNR27" s="24" t="e">
        <v>#N/A</v>
      </c>
      <c r="VNS27" s="24" t="e">
        <v>#N/A</v>
      </c>
      <c r="VNT27" s="24" t="e">
        <v>#N/A</v>
      </c>
      <c r="VNU27" s="24" t="e">
        <v>#N/A</v>
      </c>
      <c r="VNV27" s="24" t="e">
        <v>#N/A</v>
      </c>
      <c r="VNW27" s="24" t="e">
        <v>#N/A</v>
      </c>
      <c r="VNX27" s="24" t="e">
        <v>#N/A</v>
      </c>
      <c r="VNY27" s="24" t="e">
        <v>#N/A</v>
      </c>
      <c r="VNZ27" s="24" t="e">
        <v>#N/A</v>
      </c>
      <c r="VOA27" s="24" t="e">
        <v>#N/A</v>
      </c>
      <c r="VOB27" s="24" t="e">
        <v>#N/A</v>
      </c>
      <c r="VOC27" s="24" t="e">
        <v>#N/A</v>
      </c>
      <c r="VOD27" s="24" t="e">
        <v>#N/A</v>
      </c>
      <c r="VOE27" s="24" t="e">
        <v>#N/A</v>
      </c>
      <c r="VOF27" s="24" t="e">
        <v>#N/A</v>
      </c>
      <c r="VOG27" s="24" t="e">
        <v>#N/A</v>
      </c>
      <c r="VOH27" s="24" t="e">
        <v>#N/A</v>
      </c>
      <c r="VOI27" s="24" t="e">
        <v>#N/A</v>
      </c>
      <c r="VOJ27" s="24" t="e">
        <v>#N/A</v>
      </c>
      <c r="VOK27" s="24" t="e">
        <v>#N/A</v>
      </c>
      <c r="VOL27" s="24" t="e">
        <v>#N/A</v>
      </c>
      <c r="VOM27" s="24" t="e">
        <v>#N/A</v>
      </c>
      <c r="VON27" s="24" t="e">
        <v>#N/A</v>
      </c>
      <c r="VOO27" s="24" t="e">
        <v>#N/A</v>
      </c>
      <c r="VOP27" s="24" t="e">
        <v>#N/A</v>
      </c>
      <c r="VOQ27" s="24" t="e">
        <v>#N/A</v>
      </c>
      <c r="VOR27" s="24" t="e">
        <v>#N/A</v>
      </c>
      <c r="VOS27" s="24" t="e">
        <v>#N/A</v>
      </c>
      <c r="VOT27" s="24" t="e">
        <v>#N/A</v>
      </c>
      <c r="VOU27" s="24" t="e">
        <v>#N/A</v>
      </c>
      <c r="VOV27" s="24" t="e">
        <v>#N/A</v>
      </c>
      <c r="VOW27" s="24" t="e">
        <v>#N/A</v>
      </c>
      <c r="VOX27" s="24" t="e">
        <v>#N/A</v>
      </c>
      <c r="VOY27" s="24" t="e">
        <v>#N/A</v>
      </c>
      <c r="VOZ27" s="24" t="e">
        <v>#N/A</v>
      </c>
      <c r="VPA27" s="24" t="e">
        <v>#N/A</v>
      </c>
      <c r="VPB27" s="24" t="e">
        <v>#N/A</v>
      </c>
      <c r="VPC27" s="24" t="e">
        <v>#N/A</v>
      </c>
      <c r="VPD27" s="24" t="e">
        <v>#N/A</v>
      </c>
      <c r="VPE27" s="24" t="e">
        <v>#N/A</v>
      </c>
      <c r="VPF27" s="24" t="e">
        <v>#N/A</v>
      </c>
      <c r="VPG27" s="24" t="e">
        <v>#N/A</v>
      </c>
      <c r="VPH27" s="24" t="e">
        <v>#N/A</v>
      </c>
      <c r="VPI27" s="24" t="e">
        <v>#N/A</v>
      </c>
      <c r="VPJ27" s="24" t="e">
        <v>#N/A</v>
      </c>
      <c r="VPK27" s="24" t="e">
        <v>#N/A</v>
      </c>
      <c r="VPL27" s="24" t="e">
        <v>#N/A</v>
      </c>
      <c r="VPM27" s="24" t="e">
        <v>#N/A</v>
      </c>
      <c r="VPN27" s="24" t="e">
        <v>#N/A</v>
      </c>
      <c r="VPO27" s="24" t="e">
        <v>#N/A</v>
      </c>
      <c r="VPP27" s="24" t="e">
        <v>#N/A</v>
      </c>
      <c r="VPQ27" s="24" t="e">
        <v>#N/A</v>
      </c>
      <c r="VPR27" s="24" t="e">
        <v>#N/A</v>
      </c>
      <c r="VPS27" s="24" t="e">
        <v>#N/A</v>
      </c>
      <c r="VPT27" s="24" t="e">
        <v>#N/A</v>
      </c>
      <c r="VPU27" s="24" t="e">
        <v>#N/A</v>
      </c>
      <c r="VPV27" s="24" t="e">
        <v>#N/A</v>
      </c>
      <c r="VPW27" s="24" t="e">
        <v>#N/A</v>
      </c>
      <c r="VPX27" s="24" t="e">
        <v>#N/A</v>
      </c>
      <c r="VPY27" s="24" t="e">
        <v>#N/A</v>
      </c>
      <c r="VPZ27" s="24" t="e">
        <v>#N/A</v>
      </c>
      <c r="VQA27" s="24" t="e">
        <v>#N/A</v>
      </c>
      <c r="VQB27" s="24" t="e">
        <v>#N/A</v>
      </c>
      <c r="VQC27" s="24" t="e">
        <v>#N/A</v>
      </c>
      <c r="VQD27" s="24" t="e">
        <v>#N/A</v>
      </c>
      <c r="VQE27" s="24" t="e">
        <v>#N/A</v>
      </c>
      <c r="VQF27" s="24" t="e">
        <v>#N/A</v>
      </c>
      <c r="VQG27" s="24" t="e">
        <v>#N/A</v>
      </c>
      <c r="VQH27" s="24" t="e">
        <v>#N/A</v>
      </c>
      <c r="VQI27" s="24" t="e">
        <v>#N/A</v>
      </c>
      <c r="VQJ27" s="24" t="e">
        <v>#N/A</v>
      </c>
      <c r="VQK27" s="24" t="e">
        <v>#N/A</v>
      </c>
      <c r="VQL27" s="24" t="e">
        <v>#N/A</v>
      </c>
      <c r="VQM27" s="24" t="e">
        <v>#N/A</v>
      </c>
      <c r="VQN27" s="24" t="e">
        <v>#N/A</v>
      </c>
      <c r="VQO27" s="24" t="e">
        <v>#N/A</v>
      </c>
      <c r="VQP27" s="24" t="e">
        <v>#N/A</v>
      </c>
      <c r="VQQ27" s="24" t="e">
        <v>#N/A</v>
      </c>
      <c r="VQR27" s="24" t="e">
        <v>#N/A</v>
      </c>
      <c r="VQS27" s="24" t="e">
        <v>#N/A</v>
      </c>
      <c r="VQT27" s="24" t="e">
        <v>#N/A</v>
      </c>
      <c r="VQU27" s="24" t="e">
        <v>#N/A</v>
      </c>
      <c r="VQV27" s="24" t="e">
        <v>#N/A</v>
      </c>
      <c r="VQW27" s="24" t="e">
        <v>#N/A</v>
      </c>
      <c r="VQX27" s="24" t="e">
        <v>#N/A</v>
      </c>
      <c r="VQY27" s="24" t="e">
        <v>#N/A</v>
      </c>
      <c r="VQZ27" s="24" t="e">
        <v>#N/A</v>
      </c>
      <c r="VRA27" s="24" t="e">
        <v>#N/A</v>
      </c>
      <c r="VRB27" s="24" t="e">
        <v>#N/A</v>
      </c>
      <c r="VRC27" s="24" t="e">
        <v>#N/A</v>
      </c>
      <c r="VRD27" s="24" t="e">
        <v>#N/A</v>
      </c>
      <c r="VRE27" s="24" t="e">
        <v>#N/A</v>
      </c>
      <c r="VRF27" s="24" t="e">
        <v>#N/A</v>
      </c>
      <c r="VRG27" s="24" t="e">
        <v>#N/A</v>
      </c>
      <c r="VRH27" s="24" t="e">
        <v>#N/A</v>
      </c>
      <c r="VRI27" s="24" t="e">
        <v>#N/A</v>
      </c>
      <c r="VRJ27" s="24" t="e">
        <v>#N/A</v>
      </c>
      <c r="VRK27" s="24" t="e">
        <v>#N/A</v>
      </c>
      <c r="VRL27" s="24" t="e">
        <v>#N/A</v>
      </c>
      <c r="VRM27" s="24" t="e">
        <v>#N/A</v>
      </c>
      <c r="VRN27" s="24" t="e">
        <v>#N/A</v>
      </c>
      <c r="VRO27" s="24" t="e">
        <v>#N/A</v>
      </c>
      <c r="VRP27" s="24" t="e">
        <v>#N/A</v>
      </c>
      <c r="VRQ27" s="24" t="e">
        <v>#N/A</v>
      </c>
      <c r="VRR27" s="24" t="e">
        <v>#N/A</v>
      </c>
      <c r="VRS27" s="24" t="e">
        <v>#N/A</v>
      </c>
      <c r="VRT27" s="24" t="e">
        <v>#N/A</v>
      </c>
      <c r="VRU27" s="24" t="e">
        <v>#N/A</v>
      </c>
      <c r="VRV27" s="24" t="e">
        <v>#N/A</v>
      </c>
      <c r="VRW27" s="24" t="e">
        <v>#N/A</v>
      </c>
      <c r="VRX27" s="24" t="e">
        <v>#N/A</v>
      </c>
      <c r="VRY27" s="24" t="e">
        <v>#N/A</v>
      </c>
      <c r="VRZ27" s="24" t="e">
        <v>#N/A</v>
      </c>
      <c r="VSA27" s="24" t="e">
        <v>#N/A</v>
      </c>
      <c r="VSB27" s="24" t="e">
        <v>#N/A</v>
      </c>
      <c r="VSC27" s="24" t="e">
        <v>#N/A</v>
      </c>
      <c r="VSD27" s="24" t="e">
        <v>#N/A</v>
      </c>
      <c r="VSE27" s="24" t="e">
        <v>#N/A</v>
      </c>
      <c r="VSF27" s="24" t="e">
        <v>#N/A</v>
      </c>
      <c r="VSG27" s="24" t="e">
        <v>#N/A</v>
      </c>
      <c r="VSH27" s="24" t="e">
        <v>#N/A</v>
      </c>
      <c r="VSI27" s="24" t="e">
        <v>#N/A</v>
      </c>
      <c r="VSJ27" s="24" t="e">
        <v>#N/A</v>
      </c>
      <c r="VSK27" s="24" t="e">
        <v>#N/A</v>
      </c>
      <c r="VSL27" s="24" t="e">
        <v>#N/A</v>
      </c>
      <c r="VSM27" s="24" t="e">
        <v>#N/A</v>
      </c>
      <c r="VSN27" s="24" t="e">
        <v>#N/A</v>
      </c>
      <c r="VSO27" s="24" t="e">
        <v>#N/A</v>
      </c>
      <c r="VSP27" s="24" t="e">
        <v>#N/A</v>
      </c>
      <c r="VSQ27" s="24" t="e">
        <v>#N/A</v>
      </c>
      <c r="VSR27" s="24" t="e">
        <v>#N/A</v>
      </c>
      <c r="VSS27" s="24" t="e">
        <v>#N/A</v>
      </c>
      <c r="VST27" s="24" t="e">
        <v>#N/A</v>
      </c>
      <c r="VSU27" s="24" t="e">
        <v>#N/A</v>
      </c>
      <c r="VSV27" s="24" t="e">
        <v>#N/A</v>
      </c>
      <c r="VSW27" s="24" t="e">
        <v>#N/A</v>
      </c>
      <c r="VSX27" s="24" t="e">
        <v>#N/A</v>
      </c>
      <c r="VSY27" s="24" t="e">
        <v>#N/A</v>
      </c>
      <c r="VSZ27" s="24" t="e">
        <v>#N/A</v>
      </c>
      <c r="VTA27" s="24" t="e">
        <v>#N/A</v>
      </c>
      <c r="VTB27" s="24" t="e">
        <v>#N/A</v>
      </c>
      <c r="VTC27" s="24" t="e">
        <v>#N/A</v>
      </c>
      <c r="VTD27" s="24" t="e">
        <v>#N/A</v>
      </c>
      <c r="VTE27" s="24" t="e">
        <v>#N/A</v>
      </c>
      <c r="VTF27" s="24" t="e">
        <v>#N/A</v>
      </c>
      <c r="VTG27" s="24" t="e">
        <v>#N/A</v>
      </c>
      <c r="VTH27" s="24" t="e">
        <v>#N/A</v>
      </c>
      <c r="VTI27" s="24" t="e">
        <v>#N/A</v>
      </c>
      <c r="VTJ27" s="24" t="e">
        <v>#N/A</v>
      </c>
      <c r="VTK27" s="24" t="e">
        <v>#N/A</v>
      </c>
      <c r="VTL27" s="24" t="e">
        <v>#N/A</v>
      </c>
      <c r="VTM27" s="24" t="e">
        <v>#N/A</v>
      </c>
      <c r="VTN27" s="24" t="e">
        <v>#N/A</v>
      </c>
      <c r="VTO27" s="24" t="e">
        <v>#N/A</v>
      </c>
      <c r="VTP27" s="24" t="e">
        <v>#N/A</v>
      </c>
      <c r="VTQ27" s="24" t="e">
        <v>#N/A</v>
      </c>
      <c r="VTR27" s="24" t="e">
        <v>#N/A</v>
      </c>
      <c r="VTS27" s="24" t="e">
        <v>#N/A</v>
      </c>
      <c r="VTT27" s="24" t="e">
        <v>#N/A</v>
      </c>
      <c r="VTU27" s="24" t="e">
        <v>#N/A</v>
      </c>
      <c r="VTV27" s="24" t="e">
        <v>#N/A</v>
      </c>
      <c r="VTW27" s="24" t="e">
        <v>#N/A</v>
      </c>
      <c r="VTX27" s="24" t="e">
        <v>#N/A</v>
      </c>
      <c r="VTY27" s="24" t="e">
        <v>#N/A</v>
      </c>
      <c r="VTZ27" s="24" t="e">
        <v>#N/A</v>
      </c>
      <c r="VUA27" s="24" t="e">
        <v>#N/A</v>
      </c>
      <c r="VUB27" s="24" t="e">
        <v>#N/A</v>
      </c>
      <c r="VUC27" s="24" t="e">
        <v>#N/A</v>
      </c>
      <c r="VUD27" s="24" t="e">
        <v>#N/A</v>
      </c>
      <c r="VUE27" s="24" t="e">
        <v>#N/A</v>
      </c>
      <c r="VUF27" s="24" t="e">
        <v>#N/A</v>
      </c>
      <c r="VUG27" s="24" t="e">
        <v>#N/A</v>
      </c>
      <c r="VUH27" s="24" t="e">
        <v>#N/A</v>
      </c>
      <c r="VUI27" s="24" t="e">
        <v>#N/A</v>
      </c>
      <c r="VUJ27" s="24" t="e">
        <v>#N/A</v>
      </c>
      <c r="VUK27" s="24" t="e">
        <v>#N/A</v>
      </c>
      <c r="VUL27" s="24" t="e">
        <v>#N/A</v>
      </c>
      <c r="VUM27" s="24" t="e">
        <v>#N/A</v>
      </c>
      <c r="VUN27" s="24" t="e">
        <v>#N/A</v>
      </c>
      <c r="VUO27" s="24" t="e">
        <v>#N/A</v>
      </c>
      <c r="VUP27" s="24" t="e">
        <v>#N/A</v>
      </c>
      <c r="VUQ27" s="24" t="e">
        <v>#N/A</v>
      </c>
      <c r="VUR27" s="24" t="e">
        <v>#N/A</v>
      </c>
      <c r="VUS27" s="24" t="e">
        <v>#N/A</v>
      </c>
      <c r="VUT27" s="24" t="e">
        <v>#N/A</v>
      </c>
      <c r="VUU27" s="24" t="e">
        <v>#N/A</v>
      </c>
      <c r="VUV27" s="24" t="e">
        <v>#N/A</v>
      </c>
      <c r="VUW27" s="24" t="e">
        <v>#N/A</v>
      </c>
      <c r="VUX27" s="24" t="e">
        <v>#N/A</v>
      </c>
      <c r="VUY27" s="24" t="e">
        <v>#N/A</v>
      </c>
      <c r="VUZ27" s="24" t="e">
        <v>#N/A</v>
      </c>
      <c r="VVA27" s="24" t="e">
        <v>#N/A</v>
      </c>
      <c r="VVB27" s="24" t="e">
        <v>#N/A</v>
      </c>
      <c r="VVC27" s="24" t="e">
        <v>#N/A</v>
      </c>
      <c r="VVD27" s="24" t="e">
        <v>#N/A</v>
      </c>
      <c r="VVE27" s="24" t="e">
        <v>#N/A</v>
      </c>
      <c r="VVF27" s="24" t="e">
        <v>#N/A</v>
      </c>
      <c r="VVG27" s="24" t="e">
        <v>#N/A</v>
      </c>
      <c r="VVH27" s="24" t="e">
        <v>#N/A</v>
      </c>
      <c r="VVI27" s="24" t="e">
        <v>#N/A</v>
      </c>
      <c r="VVJ27" s="24" t="e">
        <v>#N/A</v>
      </c>
      <c r="VVK27" s="24" t="e">
        <v>#N/A</v>
      </c>
      <c r="VVL27" s="24" t="e">
        <v>#N/A</v>
      </c>
      <c r="VVM27" s="24" t="e">
        <v>#N/A</v>
      </c>
      <c r="VVN27" s="24" t="e">
        <v>#N/A</v>
      </c>
      <c r="VVO27" s="24" t="e">
        <v>#N/A</v>
      </c>
      <c r="VVP27" s="24" t="e">
        <v>#N/A</v>
      </c>
      <c r="VVQ27" s="24" t="e">
        <v>#N/A</v>
      </c>
      <c r="VVR27" s="24" t="e">
        <v>#N/A</v>
      </c>
      <c r="VVS27" s="24" t="e">
        <v>#N/A</v>
      </c>
      <c r="VVT27" s="24" t="e">
        <v>#N/A</v>
      </c>
      <c r="VVU27" s="24" t="e">
        <v>#N/A</v>
      </c>
      <c r="VVV27" s="24" t="e">
        <v>#N/A</v>
      </c>
      <c r="VVW27" s="24" t="e">
        <v>#N/A</v>
      </c>
      <c r="VVX27" s="24" t="e">
        <v>#N/A</v>
      </c>
      <c r="VVY27" s="24" t="e">
        <v>#N/A</v>
      </c>
      <c r="VVZ27" s="24" t="e">
        <v>#N/A</v>
      </c>
      <c r="VWA27" s="24" t="e">
        <v>#N/A</v>
      </c>
      <c r="VWB27" s="24" t="e">
        <v>#N/A</v>
      </c>
      <c r="VWC27" s="24" t="e">
        <v>#N/A</v>
      </c>
      <c r="VWD27" s="24" t="e">
        <v>#N/A</v>
      </c>
      <c r="VWE27" s="24" t="e">
        <v>#N/A</v>
      </c>
      <c r="VWF27" s="24" t="e">
        <v>#N/A</v>
      </c>
      <c r="VWG27" s="24" t="e">
        <v>#N/A</v>
      </c>
      <c r="VWH27" s="24" t="e">
        <v>#N/A</v>
      </c>
      <c r="VWI27" s="24" t="e">
        <v>#N/A</v>
      </c>
      <c r="VWJ27" s="24" t="e">
        <v>#N/A</v>
      </c>
      <c r="VWK27" s="24" t="e">
        <v>#N/A</v>
      </c>
      <c r="VWL27" s="24" t="e">
        <v>#N/A</v>
      </c>
      <c r="VWM27" s="24" t="e">
        <v>#N/A</v>
      </c>
      <c r="VWN27" s="24" t="e">
        <v>#N/A</v>
      </c>
      <c r="VWO27" s="24" t="e">
        <v>#N/A</v>
      </c>
      <c r="VWP27" s="24" t="e">
        <v>#N/A</v>
      </c>
      <c r="VWQ27" s="24" t="e">
        <v>#N/A</v>
      </c>
      <c r="VWR27" s="24" t="e">
        <v>#N/A</v>
      </c>
      <c r="VWS27" s="24" t="e">
        <v>#N/A</v>
      </c>
      <c r="VWT27" s="24" t="e">
        <v>#N/A</v>
      </c>
      <c r="VWU27" s="24" t="e">
        <v>#N/A</v>
      </c>
      <c r="VWV27" s="24" t="e">
        <v>#N/A</v>
      </c>
      <c r="VWW27" s="24" t="e">
        <v>#N/A</v>
      </c>
      <c r="VWX27" s="24" t="e">
        <v>#N/A</v>
      </c>
      <c r="VWY27" s="24" t="e">
        <v>#N/A</v>
      </c>
      <c r="VWZ27" s="24" t="e">
        <v>#N/A</v>
      </c>
      <c r="VXA27" s="24" t="e">
        <v>#N/A</v>
      </c>
      <c r="VXB27" s="24" t="e">
        <v>#N/A</v>
      </c>
      <c r="VXC27" s="24" t="e">
        <v>#N/A</v>
      </c>
      <c r="VXD27" s="24" t="e">
        <v>#N/A</v>
      </c>
      <c r="VXE27" s="24" t="e">
        <v>#N/A</v>
      </c>
      <c r="VXF27" s="24" t="e">
        <v>#N/A</v>
      </c>
      <c r="VXG27" s="24" t="e">
        <v>#N/A</v>
      </c>
      <c r="VXH27" s="24" t="e">
        <v>#N/A</v>
      </c>
      <c r="VXI27" s="24" t="e">
        <v>#N/A</v>
      </c>
      <c r="VXJ27" s="24" t="e">
        <v>#N/A</v>
      </c>
      <c r="VXK27" s="24" t="e">
        <v>#N/A</v>
      </c>
      <c r="VXL27" s="24" t="e">
        <v>#N/A</v>
      </c>
      <c r="VXM27" s="24" t="e">
        <v>#N/A</v>
      </c>
      <c r="VXN27" s="24" t="e">
        <v>#N/A</v>
      </c>
      <c r="VXO27" s="24" t="e">
        <v>#N/A</v>
      </c>
      <c r="VXP27" s="24" t="e">
        <v>#N/A</v>
      </c>
      <c r="VXQ27" s="24" t="e">
        <v>#N/A</v>
      </c>
      <c r="VXR27" s="24" t="e">
        <v>#N/A</v>
      </c>
      <c r="VXS27" s="24" t="e">
        <v>#N/A</v>
      </c>
      <c r="VXT27" s="24" t="e">
        <v>#N/A</v>
      </c>
      <c r="VXU27" s="24" t="e">
        <v>#N/A</v>
      </c>
      <c r="VXV27" s="24" t="e">
        <v>#N/A</v>
      </c>
      <c r="VXW27" s="24" t="e">
        <v>#N/A</v>
      </c>
      <c r="VXX27" s="24" t="e">
        <v>#N/A</v>
      </c>
      <c r="VXY27" s="24" t="e">
        <v>#N/A</v>
      </c>
      <c r="VXZ27" s="24" t="e">
        <v>#N/A</v>
      </c>
      <c r="VYA27" s="24" t="e">
        <v>#N/A</v>
      </c>
      <c r="VYB27" s="24" t="e">
        <v>#N/A</v>
      </c>
      <c r="VYC27" s="24" t="e">
        <v>#N/A</v>
      </c>
      <c r="VYD27" s="24" t="e">
        <v>#N/A</v>
      </c>
      <c r="VYE27" s="24" t="e">
        <v>#N/A</v>
      </c>
      <c r="VYF27" s="24" t="e">
        <v>#N/A</v>
      </c>
      <c r="VYG27" s="24" t="e">
        <v>#N/A</v>
      </c>
      <c r="VYH27" s="24" t="e">
        <v>#N/A</v>
      </c>
      <c r="VYI27" s="24" t="e">
        <v>#N/A</v>
      </c>
      <c r="VYJ27" s="24" t="e">
        <v>#N/A</v>
      </c>
      <c r="VYK27" s="24" t="e">
        <v>#N/A</v>
      </c>
      <c r="VYL27" s="24" t="e">
        <v>#N/A</v>
      </c>
      <c r="VYM27" s="24" t="e">
        <v>#N/A</v>
      </c>
      <c r="VYN27" s="24" t="e">
        <v>#N/A</v>
      </c>
      <c r="VYO27" s="24" t="e">
        <v>#N/A</v>
      </c>
      <c r="VYP27" s="24" t="e">
        <v>#N/A</v>
      </c>
      <c r="VYQ27" s="24" t="e">
        <v>#N/A</v>
      </c>
      <c r="VYR27" s="24" t="e">
        <v>#N/A</v>
      </c>
      <c r="VYS27" s="24" t="e">
        <v>#N/A</v>
      </c>
      <c r="VYT27" s="24" t="e">
        <v>#N/A</v>
      </c>
      <c r="VYU27" s="24" t="e">
        <v>#N/A</v>
      </c>
      <c r="VYV27" s="24" t="e">
        <v>#N/A</v>
      </c>
      <c r="VYW27" s="24" t="e">
        <v>#N/A</v>
      </c>
      <c r="VYX27" s="24" t="e">
        <v>#N/A</v>
      </c>
      <c r="VYY27" s="24" t="e">
        <v>#N/A</v>
      </c>
      <c r="VYZ27" s="24" t="e">
        <v>#N/A</v>
      </c>
      <c r="VZA27" s="24" t="e">
        <v>#N/A</v>
      </c>
      <c r="VZB27" s="24" t="e">
        <v>#N/A</v>
      </c>
      <c r="VZC27" s="24" t="e">
        <v>#N/A</v>
      </c>
      <c r="VZD27" s="24" t="e">
        <v>#N/A</v>
      </c>
      <c r="VZE27" s="24" t="e">
        <v>#N/A</v>
      </c>
      <c r="VZF27" s="24" t="e">
        <v>#N/A</v>
      </c>
      <c r="VZG27" s="24" t="e">
        <v>#N/A</v>
      </c>
      <c r="VZH27" s="24" t="e">
        <v>#N/A</v>
      </c>
      <c r="VZI27" s="24" t="e">
        <v>#N/A</v>
      </c>
      <c r="VZJ27" s="24" t="e">
        <v>#N/A</v>
      </c>
      <c r="VZK27" s="24" t="e">
        <v>#N/A</v>
      </c>
      <c r="VZL27" s="24" t="e">
        <v>#N/A</v>
      </c>
      <c r="VZM27" s="24" t="e">
        <v>#N/A</v>
      </c>
      <c r="VZN27" s="24" t="e">
        <v>#N/A</v>
      </c>
      <c r="VZO27" s="24" t="e">
        <v>#N/A</v>
      </c>
      <c r="VZP27" s="24" t="e">
        <v>#N/A</v>
      </c>
      <c r="VZQ27" s="24" t="e">
        <v>#N/A</v>
      </c>
      <c r="VZR27" s="24" t="e">
        <v>#N/A</v>
      </c>
      <c r="VZS27" s="24" t="e">
        <v>#N/A</v>
      </c>
      <c r="VZT27" s="24" t="e">
        <v>#N/A</v>
      </c>
      <c r="VZU27" s="24" t="e">
        <v>#N/A</v>
      </c>
      <c r="VZV27" s="24" t="e">
        <v>#N/A</v>
      </c>
      <c r="VZW27" s="24" t="e">
        <v>#N/A</v>
      </c>
      <c r="VZX27" s="24" t="e">
        <v>#N/A</v>
      </c>
      <c r="VZY27" s="24" t="e">
        <v>#N/A</v>
      </c>
      <c r="VZZ27" s="24" t="e">
        <v>#N/A</v>
      </c>
      <c r="WAA27" s="24" t="e">
        <v>#N/A</v>
      </c>
      <c r="WAB27" s="24" t="e">
        <v>#N/A</v>
      </c>
      <c r="WAC27" s="24" t="e">
        <v>#N/A</v>
      </c>
      <c r="WAD27" s="24" t="e">
        <v>#N/A</v>
      </c>
      <c r="WAE27" s="24" t="e">
        <v>#N/A</v>
      </c>
      <c r="WAF27" s="24" t="e">
        <v>#N/A</v>
      </c>
      <c r="WAG27" s="24" t="e">
        <v>#N/A</v>
      </c>
      <c r="WAH27" s="24" t="e">
        <v>#N/A</v>
      </c>
      <c r="WAI27" s="24" t="e">
        <v>#N/A</v>
      </c>
      <c r="WAJ27" s="24" t="e">
        <v>#N/A</v>
      </c>
      <c r="WAK27" s="24" t="e">
        <v>#N/A</v>
      </c>
      <c r="WAL27" s="24" t="e">
        <v>#N/A</v>
      </c>
      <c r="WAM27" s="24" t="e">
        <v>#N/A</v>
      </c>
      <c r="WAN27" s="24" t="e">
        <v>#N/A</v>
      </c>
      <c r="WAO27" s="24" t="e">
        <v>#N/A</v>
      </c>
      <c r="WAP27" s="24" t="e">
        <v>#N/A</v>
      </c>
      <c r="WAQ27" s="24" t="e">
        <v>#N/A</v>
      </c>
      <c r="WAR27" s="24" t="e">
        <v>#N/A</v>
      </c>
      <c r="WAS27" s="24" t="e">
        <v>#N/A</v>
      </c>
      <c r="WAT27" s="24" t="e">
        <v>#N/A</v>
      </c>
      <c r="WAU27" s="24" t="e">
        <v>#N/A</v>
      </c>
      <c r="WAV27" s="24" t="e">
        <v>#N/A</v>
      </c>
      <c r="WAW27" s="24" t="e">
        <v>#N/A</v>
      </c>
      <c r="WAX27" s="24" t="e">
        <v>#N/A</v>
      </c>
      <c r="WAY27" s="24" t="e">
        <v>#N/A</v>
      </c>
      <c r="WAZ27" s="24" t="e">
        <v>#N/A</v>
      </c>
      <c r="WBA27" s="24" t="e">
        <v>#N/A</v>
      </c>
      <c r="WBB27" s="24" t="e">
        <v>#N/A</v>
      </c>
      <c r="WBC27" s="24" t="e">
        <v>#N/A</v>
      </c>
      <c r="WBD27" s="24" t="e">
        <v>#N/A</v>
      </c>
      <c r="WBE27" s="24" t="e">
        <v>#N/A</v>
      </c>
      <c r="WBF27" s="24" t="e">
        <v>#N/A</v>
      </c>
      <c r="WBG27" s="24" t="e">
        <v>#N/A</v>
      </c>
      <c r="WBH27" s="24" t="e">
        <v>#N/A</v>
      </c>
      <c r="WBI27" s="24" t="e">
        <v>#N/A</v>
      </c>
      <c r="WBJ27" s="24" t="e">
        <v>#N/A</v>
      </c>
      <c r="WBK27" s="24" t="e">
        <v>#N/A</v>
      </c>
      <c r="WBL27" s="24" t="e">
        <v>#N/A</v>
      </c>
      <c r="WBM27" s="24" t="e">
        <v>#N/A</v>
      </c>
      <c r="WBN27" s="24" t="e">
        <v>#N/A</v>
      </c>
      <c r="WBO27" s="24" t="e">
        <v>#N/A</v>
      </c>
      <c r="WBP27" s="24" t="e">
        <v>#N/A</v>
      </c>
      <c r="WBQ27" s="24" t="e">
        <v>#N/A</v>
      </c>
      <c r="WBR27" s="24" t="e">
        <v>#N/A</v>
      </c>
      <c r="WBS27" s="24" t="e">
        <v>#N/A</v>
      </c>
      <c r="WBT27" s="24" t="e">
        <v>#N/A</v>
      </c>
      <c r="WBU27" s="24" t="e">
        <v>#N/A</v>
      </c>
      <c r="WBV27" s="24" t="e">
        <v>#N/A</v>
      </c>
      <c r="WBW27" s="24" t="e">
        <v>#N/A</v>
      </c>
      <c r="WBX27" s="24" t="e">
        <v>#N/A</v>
      </c>
      <c r="WBY27" s="24" t="e">
        <v>#N/A</v>
      </c>
      <c r="WBZ27" s="24" t="e">
        <v>#N/A</v>
      </c>
      <c r="WCA27" s="24" t="e">
        <v>#N/A</v>
      </c>
      <c r="WCB27" s="24" t="e">
        <v>#N/A</v>
      </c>
      <c r="WCC27" s="24" t="e">
        <v>#N/A</v>
      </c>
      <c r="WCD27" s="24" t="e">
        <v>#N/A</v>
      </c>
      <c r="WCE27" s="24" t="e">
        <v>#N/A</v>
      </c>
      <c r="WCF27" s="24" t="e">
        <v>#N/A</v>
      </c>
      <c r="WCG27" s="24" t="e">
        <v>#N/A</v>
      </c>
      <c r="WCH27" s="24" t="e">
        <v>#N/A</v>
      </c>
      <c r="WCI27" s="24" t="e">
        <v>#N/A</v>
      </c>
      <c r="WCJ27" s="24" t="e">
        <v>#N/A</v>
      </c>
      <c r="WCK27" s="24" t="e">
        <v>#N/A</v>
      </c>
      <c r="WCL27" s="24" t="e">
        <v>#N/A</v>
      </c>
      <c r="WCM27" s="24" t="e">
        <v>#N/A</v>
      </c>
      <c r="WCN27" s="24" t="e">
        <v>#N/A</v>
      </c>
      <c r="WCO27" s="24" t="e">
        <v>#N/A</v>
      </c>
      <c r="WCP27" s="24" t="e">
        <v>#N/A</v>
      </c>
      <c r="WCQ27" s="24" t="e">
        <v>#N/A</v>
      </c>
      <c r="WCR27" s="24" t="e">
        <v>#N/A</v>
      </c>
      <c r="WCS27" s="24" t="e">
        <v>#N/A</v>
      </c>
      <c r="WCT27" s="24" t="e">
        <v>#N/A</v>
      </c>
      <c r="WCU27" s="24" t="e">
        <v>#N/A</v>
      </c>
      <c r="WCV27" s="24" t="e">
        <v>#N/A</v>
      </c>
      <c r="WCW27" s="24" t="e">
        <v>#N/A</v>
      </c>
      <c r="WCX27" s="24" t="e">
        <v>#N/A</v>
      </c>
      <c r="WCY27" s="24" t="e">
        <v>#N/A</v>
      </c>
      <c r="WCZ27" s="24" t="e">
        <v>#N/A</v>
      </c>
      <c r="WDA27" s="24" t="e">
        <v>#N/A</v>
      </c>
      <c r="WDB27" s="24" t="e">
        <v>#N/A</v>
      </c>
      <c r="WDC27" s="24" t="e">
        <v>#N/A</v>
      </c>
      <c r="WDD27" s="24" t="e">
        <v>#N/A</v>
      </c>
      <c r="WDE27" s="24" t="e">
        <v>#N/A</v>
      </c>
      <c r="WDF27" s="24" t="e">
        <v>#N/A</v>
      </c>
      <c r="WDG27" s="24" t="e">
        <v>#N/A</v>
      </c>
      <c r="WDH27" s="24" t="e">
        <v>#N/A</v>
      </c>
      <c r="WDI27" s="24" t="e">
        <v>#N/A</v>
      </c>
      <c r="WDJ27" s="24" t="e">
        <v>#N/A</v>
      </c>
      <c r="WDK27" s="24" t="e">
        <v>#N/A</v>
      </c>
      <c r="WDL27" s="24" t="e">
        <v>#N/A</v>
      </c>
      <c r="WDM27" s="24" t="e">
        <v>#N/A</v>
      </c>
      <c r="WDN27" s="24" t="e">
        <v>#N/A</v>
      </c>
      <c r="WDO27" s="24" t="e">
        <v>#N/A</v>
      </c>
      <c r="WDP27" s="24" t="e">
        <v>#N/A</v>
      </c>
      <c r="WDQ27" s="24" t="e">
        <v>#N/A</v>
      </c>
      <c r="WDR27" s="24" t="e">
        <v>#N/A</v>
      </c>
      <c r="WDS27" s="24" t="e">
        <v>#N/A</v>
      </c>
      <c r="WDT27" s="24" t="e">
        <v>#N/A</v>
      </c>
      <c r="WDU27" s="24" t="e">
        <v>#N/A</v>
      </c>
      <c r="WDV27" s="24" t="e">
        <v>#N/A</v>
      </c>
      <c r="WDW27" s="24" t="e">
        <v>#N/A</v>
      </c>
      <c r="WDX27" s="24" t="e">
        <v>#N/A</v>
      </c>
      <c r="WDY27" s="24" t="e">
        <v>#N/A</v>
      </c>
      <c r="WDZ27" s="24" t="e">
        <v>#N/A</v>
      </c>
      <c r="WEA27" s="24" t="e">
        <v>#N/A</v>
      </c>
      <c r="WEB27" s="24" t="e">
        <v>#N/A</v>
      </c>
      <c r="WEC27" s="24" t="e">
        <v>#N/A</v>
      </c>
      <c r="WED27" s="24" t="e">
        <v>#N/A</v>
      </c>
      <c r="WEE27" s="24" t="e">
        <v>#N/A</v>
      </c>
      <c r="WEF27" s="24" t="e">
        <v>#N/A</v>
      </c>
      <c r="WEG27" s="24" t="e">
        <v>#N/A</v>
      </c>
      <c r="WEH27" s="24" t="e">
        <v>#N/A</v>
      </c>
      <c r="WEI27" s="24" t="e">
        <v>#N/A</v>
      </c>
      <c r="WEJ27" s="24" t="e">
        <v>#N/A</v>
      </c>
      <c r="WEK27" s="24" t="e">
        <v>#N/A</v>
      </c>
      <c r="WEL27" s="24" t="e">
        <v>#N/A</v>
      </c>
      <c r="WEM27" s="24" t="e">
        <v>#N/A</v>
      </c>
      <c r="WEN27" s="24" t="e">
        <v>#N/A</v>
      </c>
      <c r="WEO27" s="24" t="e">
        <v>#N/A</v>
      </c>
      <c r="WEP27" s="24" t="e">
        <v>#N/A</v>
      </c>
      <c r="WEQ27" s="24" t="e">
        <v>#N/A</v>
      </c>
      <c r="WER27" s="24" t="e">
        <v>#N/A</v>
      </c>
      <c r="WES27" s="24" t="e">
        <v>#N/A</v>
      </c>
      <c r="WET27" s="24" t="e">
        <v>#N/A</v>
      </c>
      <c r="WEU27" s="24" t="e">
        <v>#N/A</v>
      </c>
      <c r="WEV27" s="24" t="e">
        <v>#N/A</v>
      </c>
      <c r="WEW27" s="24" t="e">
        <v>#N/A</v>
      </c>
      <c r="WEX27" s="24" t="e">
        <v>#N/A</v>
      </c>
      <c r="WEY27" s="24" t="e">
        <v>#N/A</v>
      </c>
      <c r="WEZ27" s="24" t="e">
        <v>#N/A</v>
      </c>
      <c r="WFA27" s="24" t="e">
        <v>#N/A</v>
      </c>
      <c r="WFB27" s="24" t="e">
        <v>#N/A</v>
      </c>
      <c r="WFC27" s="24" t="e">
        <v>#N/A</v>
      </c>
      <c r="WFD27" s="24" t="e">
        <v>#N/A</v>
      </c>
      <c r="WFE27" s="24" t="e">
        <v>#N/A</v>
      </c>
      <c r="WFF27" s="24" t="e">
        <v>#N/A</v>
      </c>
      <c r="WFG27" s="24" t="e">
        <v>#N/A</v>
      </c>
      <c r="WFH27" s="24" t="e">
        <v>#N/A</v>
      </c>
      <c r="WFI27" s="24" t="e">
        <v>#N/A</v>
      </c>
      <c r="WFJ27" s="24" t="e">
        <v>#N/A</v>
      </c>
      <c r="WFK27" s="24" t="e">
        <v>#N/A</v>
      </c>
      <c r="WFL27" s="24" t="e">
        <v>#N/A</v>
      </c>
      <c r="WFM27" s="24" t="e">
        <v>#N/A</v>
      </c>
      <c r="WFN27" s="24" t="e">
        <v>#N/A</v>
      </c>
      <c r="WFO27" s="24" t="e">
        <v>#N/A</v>
      </c>
      <c r="WFP27" s="24" t="e">
        <v>#N/A</v>
      </c>
      <c r="WFQ27" s="24" t="e">
        <v>#N/A</v>
      </c>
      <c r="WFR27" s="24" t="e">
        <v>#N/A</v>
      </c>
      <c r="WFS27" s="24" t="e">
        <v>#N/A</v>
      </c>
      <c r="WFT27" s="24" t="e">
        <v>#N/A</v>
      </c>
      <c r="WFU27" s="24" t="e">
        <v>#N/A</v>
      </c>
      <c r="WFV27" s="24" t="e">
        <v>#N/A</v>
      </c>
      <c r="WFW27" s="24" t="e">
        <v>#N/A</v>
      </c>
      <c r="WFX27" s="24" t="e">
        <v>#N/A</v>
      </c>
      <c r="WFY27" s="24" t="e">
        <v>#N/A</v>
      </c>
      <c r="WFZ27" s="24" t="e">
        <v>#N/A</v>
      </c>
      <c r="WGA27" s="24" t="e">
        <v>#N/A</v>
      </c>
      <c r="WGB27" s="24" t="e">
        <v>#N/A</v>
      </c>
      <c r="WGC27" s="24" t="e">
        <v>#N/A</v>
      </c>
      <c r="WGD27" s="24" t="e">
        <v>#N/A</v>
      </c>
      <c r="WGE27" s="24" t="e">
        <v>#N/A</v>
      </c>
      <c r="WGF27" s="24" t="e">
        <v>#N/A</v>
      </c>
      <c r="WGG27" s="24" t="e">
        <v>#N/A</v>
      </c>
      <c r="WGH27" s="24" t="e">
        <v>#N/A</v>
      </c>
      <c r="WGI27" s="24" t="e">
        <v>#N/A</v>
      </c>
      <c r="WGJ27" s="24" t="e">
        <v>#N/A</v>
      </c>
      <c r="WGK27" s="24" t="e">
        <v>#N/A</v>
      </c>
      <c r="WGL27" s="24" t="e">
        <v>#N/A</v>
      </c>
      <c r="WGM27" s="24" t="e">
        <v>#N/A</v>
      </c>
      <c r="WGN27" s="24" t="e">
        <v>#N/A</v>
      </c>
      <c r="WGO27" s="24" t="e">
        <v>#N/A</v>
      </c>
      <c r="WGP27" s="24" t="e">
        <v>#N/A</v>
      </c>
      <c r="WGQ27" s="24" t="e">
        <v>#N/A</v>
      </c>
      <c r="WGR27" s="24" t="e">
        <v>#N/A</v>
      </c>
      <c r="WGS27" s="24" t="e">
        <v>#N/A</v>
      </c>
      <c r="WGT27" s="24" t="e">
        <v>#N/A</v>
      </c>
      <c r="WGU27" s="24" t="e">
        <v>#N/A</v>
      </c>
      <c r="WGV27" s="24" t="e">
        <v>#N/A</v>
      </c>
      <c r="WGW27" s="24" t="e">
        <v>#N/A</v>
      </c>
      <c r="WGX27" s="24" t="e">
        <v>#N/A</v>
      </c>
      <c r="WGY27" s="24" t="e">
        <v>#N/A</v>
      </c>
      <c r="WGZ27" s="24" t="e">
        <v>#N/A</v>
      </c>
      <c r="WHA27" s="24" t="e">
        <v>#N/A</v>
      </c>
      <c r="WHB27" s="24" t="e">
        <v>#N/A</v>
      </c>
      <c r="WHC27" s="24" t="e">
        <v>#N/A</v>
      </c>
      <c r="WHD27" s="24" t="e">
        <v>#N/A</v>
      </c>
      <c r="WHE27" s="24" t="e">
        <v>#N/A</v>
      </c>
      <c r="WHF27" s="24" t="e">
        <v>#N/A</v>
      </c>
      <c r="WHG27" s="24" t="e">
        <v>#N/A</v>
      </c>
      <c r="WHH27" s="24" t="e">
        <v>#N/A</v>
      </c>
      <c r="WHI27" s="24" t="e">
        <v>#N/A</v>
      </c>
      <c r="WHJ27" s="24" t="e">
        <v>#N/A</v>
      </c>
      <c r="WHK27" s="24" t="e">
        <v>#N/A</v>
      </c>
      <c r="WHL27" s="24" t="e">
        <v>#N/A</v>
      </c>
      <c r="WHM27" s="24" t="e">
        <v>#N/A</v>
      </c>
      <c r="WHN27" s="24" t="e">
        <v>#N/A</v>
      </c>
      <c r="WHO27" s="24" t="e">
        <v>#N/A</v>
      </c>
      <c r="WHP27" s="24" t="e">
        <v>#N/A</v>
      </c>
      <c r="WHQ27" s="24" t="e">
        <v>#N/A</v>
      </c>
      <c r="WHR27" s="24" t="e">
        <v>#N/A</v>
      </c>
      <c r="WHS27" s="24" t="e">
        <v>#N/A</v>
      </c>
      <c r="WHT27" s="24" t="e">
        <v>#N/A</v>
      </c>
      <c r="WHU27" s="24" t="e">
        <v>#N/A</v>
      </c>
      <c r="WHV27" s="24" t="e">
        <v>#N/A</v>
      </c>
      <c r="WHW27" s="24" t="e">
        <v>#N/A</v>
      </c>
      <c r="WHX27" s="24" t="e">
        <v>#N/A</v>
      </c>
      <c r="WHY27" s="24" t="e">
        <v>#N/A</v>
      </c>
      <c r="WHZ27" s="24" t="e">
        <v>#N/A</v>
      </c>
      <c r="WIA27" s="24" t="e">
        <v>#N/A</v>
      </c>
      <c r="WIB27" s="24" t="e">
        <v>#N/A</v>
      </c>
      <c r="WIC27" s="24" t="e">
        <v>#N/A</v>
      </c>
      <c r="WID27" s="24" t="e">
        <v>#N/A</v>
      </c>
      <c r="WIE27" s="24" t="e">
        <v>#N/A</v>
      </c>
      <c r="WIF27" s="24" t="e">
        <v>#N/A</v>
      </c>
      <c r="WIG27" s="24" t="e">
        <v>#N/A</v>
      </c>
      <c r="WIH27" s="24" t="e">
        <v>#N/A</v>
      </c>
      <c r="WII27" s="24" t="e">
        <v>#N/A</v>
      </c>
      <c r="WIJ27" s="24" t="e">
        <v>#N/A</v>
      </c>
      <c r="WIK27" s="24" t="e">
        <v>#N/A</v>
      </c>
      <c r="WIL27" s="24" t="e">
        <v>#N/A</v>
      </c>
      <c r="WIM27" s="24" t="e">
        <v>#N/A</v>
      </c>
      <c r="WIN27" s="24" t="e">
        <v>#N/A</v>
      </c>
      <c r="WIO27" s="24" t="e">
        <v>#N/A</v>
      </c>
      <c r="WIP27" s="24" t="e">
        <v>#N/A</v>
      </c>
      <c r="WIQ27" s="24" t="e">
        <v>#N/A</v>
      </c>
      <c r="WIR27" s="24" t="e">
        <v>#N/A</v>
      </c>
      <c r="WIS27" s="24" t="e">
        <v>#N/A</v>
      </c>
      <c r="WIT27" s="24" t="e">
        <v>#N/A</v>
      </c>
      <c r="WIU27" s="24" t="e">
        <v>#N/A</v>
      </c>
      <c r="WIV27" s="24" t="e">
        <v>#N/A</v>
      </c>
      <c r="WIW27" s="24" t="e">
        <v>#N/A</v>
      </c>
      <c r="WIX27" s="24" t="e">
        <v>#N/A</v>
      </c>
      <c r="WIY27" s="24" t="e">
        <v>#N/A</v>
      </c>
      <c r="WIZ27" s="24" t="e">
        <v>#N/A</v>
      </c>
      <c r="WJA27" s="24" t="e">
        <v>#N/A</v>
      </c>
      <c r="WJB27" s="24" t="e">
        <v>#N/A</v>
      </c>
      <c r="WJC27" s="24" t="e">
        <v>#N/A</v>
      </c>
      <c r="WJD27" s="24" t="e">
        <v>#N/A</v>
      </c>
      <c r="WJE27" s="24" t="e">
        <v>#N/A</v>
      </c>
      <c r="WJF27" s="24" t="e">
        <v>#N/A</v>
      </c>
      <c r="WJG27" s="24" t="e">
        <v>#N/A</v>
      </c>
      <c r="WJH27" s="24" t="e">
        <v>#N/A</v>
      </c>
      <c r="WJI27" s="24" t="e">
        <v>#N/A</v>
      </c>
      <c r="WJJ27" s="24" t="e">
        <v>#N/A</v>
      </c>
      <c r="WJK27" s="24" t="e">
        <v>#N/A</v>
      </c>
      <c r="WJL27" s="24" t="e">
        <v>#N/A</v>
      </c>
      <c r="WJM27" s="24" t="e">
        <v>#N/A</v>
      </c>
      <c r="WJN27" s="24" t="e">
        <v>#N/A</v>
      </c>
      <c r="WJO27" s="24" t="e">
        <v>#N/A</v>
      </c>
      <c r="WJP27" s="24" t="e">
        <v>#N/A</v>
      </c>
      <c r="WJQ27" s="24" t="e">
        <v>#N/A</v>
      </c>
      <c r="WJR27" s="24" t="e">
        <v>#N/A</v>
      </c>
      <c r="WJS27" s="24" t="e">
        <v>#N/A</v>
      </c>
      <c r="WJT27" s="24" t="e">
        <v>#N/A</v>
      </c>
      <c r="WJU27" s="24" t="e">
        <v>#N/A</v>
      </c>
      <c r="WJV27" s="24" t="e">
        <v>#N/A</v>
      </c>
      <c r="WJW27" s="24" t="e">
        <v>#N/A</v>
      </c>
      <c r="WJX27" s="24" t="e">
        <v>#N/A</v>
      </c>
      <c r="WJY27" s="24" t="e">
        <v>#N/A</v>
      </c>
      <c r="WJZ27" s="24" t="e">
        <v>#N/A</v>
      </c>
      <c r="WKA27" s="24" t="e">
        <v>#N/A</v>
      </c>
      <c r="WKB27" s="24" t="e">
        <v>#N/A</v>
      </c>
      <c r="WKC27" s="24" t="e">
        <v>#N/A</v>
      </c>
      <c r="WKD27" s="24" t="e">
        <v>#N/A</v>
      </c>
      <c r="WKE27" s="24" t="e">
        <v>#N/A</v>
      </c>
      <c r="WKF27" s="24" t="e">
        <v>#N/A</v>
      </c>
      <c r="WKG27" s="24" t="e">
        <v>#N/A</v>
      </c>
      <c r="WKH27" s="24" t="e">
        <v>#N/A</v>
      </c>
      <c r="WKI27" s="24" t="e">
        <v>#N/A</v>
      </c>
      <c r="WKJ27" s="24" t="e">
        <v>#N/A</v>
      </c>
      <c r="WKK27" s="24" t="e">
        <v>#N/A</v>
      </c>
      <c r="WKL27" s="24" t="e">
        <v>#N/A</v>
      </c>
      <c r="WKM27" s="24" t="e">
        <v>#N/A</v>
      </c>
      <c r="WKN27" s="24" t="e">
        <v>#N/A</v>
      </c>
      <c r="WKO27" s="24" t="e">
        <v>#N/A</v>
      </c>
      <c r="WKP27" s="24" t="e">
        <v>#N/A</v>
      </c>
      <c r="WKQ27" s="24" t="e">
        <v>#N/A</v>
      </c>
      <c r="WKR27" s="24" t="e">
        <v>#N/A</v>
      </c>
      <c r="WKS27" s="24" t="e">
        <v>#N/A</v>
      </c>
      <c r="WKT27" s="24" t="e">
        <v>#N/A</v>
      </c>
      <c r="WKU27" s="24" t="e">
        <v>#N/A</v>
      </c>
      <c r="WKV27" s="24" t="e">
        <v>#N/A</v>
      </c>
      <c r="WKW27" s="24" t="e">
        <v>#N/A</v>
      </c>
      <c r="WKX27" s="24" t="e">
        <v>#N/A</v>
      </c>
      <c r="WKY27" s="24" t="e">
        <v>#N/A</v>
      </c>
      <c r="WKZ27" s="24" t="e">
        <v>#N/A</v>
      </c>
      <c r="WLA27" s="24" t="e">
        <v>#N/A</v>
      </c>
      <c r="WLB27" s="24" t="e">
        <v>#N/A</v>
      </c>
      <c r="WLC27" s="24" t="e">
        <v>#N/A</v>
      </c>
      <c r="WLD27" s="24" t="e">
        <v>#N/A</v>
      </c>
      <c r="WLE27" s="24" t="e">
        <v>#N/A</v>
      </c>
      <c r="WLF27" s="24" t="e">
        <v>#N/A</v>
      </c>
      <c r="WLG27" s="24" t="e">
        <v>#N/A</v>
      </c>
      <c r="WLH27" s="24" t="e">
        <v>#N/A</v>
      </c>
      <c r="WLI27" s="24" t="e">
        <v>#N/A</v>
      </c>
      <c r="WLJ27" s="24" t="e">
        <v>#N/A</v>
      </c>
      <c r="WLK27" s="24" t="e">
        <v>#N/A</v>
      </c>
      <c r="WLL27" s="24" t="e">
        <v>#N/A</v>
      </c>
      <c r="WLM27" s="24" t="e">
        <v>#N/A</v>
      </c>
      <c r="WLN27" s="24" t="e">
        <v>#N/A</v>
      </c>
      <c r="WLO27" s="24" t="e">
        <v>#N/A</v>
      </c>
      <c r="WLP27" s="24" t="e">
        <v>#N/A</v>
      </c>
      <c r="WLQ27" s="24" t="e">
        <v>#N/A</v>
      </c>
      <c r="WLR27" s="24" t="e">
        <v>#N/A</v>
      </c>
      <c r="WLS27" s="24" t="e">
        <v>#N/A</v>
      </c>
      <c r="WLT27" s="24" t="e">
        <v>#N/A</v>
      </c>
      <c r="WLU27" s="24" t="e">
        <v>#N/A</v>
      </c>
      <c r="WLV27" s="24" t="e">
        <v>#N/A</v>
      </c>
      <c r="WLW27" s="24" t="e">
        <v>#N/A</v>
      </c>
      <c r="WLX27" s="24" t="e">
        <v>#N/A</v>
      </c>
      <c r="WLY27" s="24" t="e">
        <v>#N/A</v>
      </c>
      <c r="WLZ27" s="24" t="e">
        <v>#N/A</v>
      </c>
      <c r="WMA27" s="24" t="e">
        <v>#N/A</v>
      </c>
      <c r="WMB27" s="24" t="e">
        <v>#N/A</v>
      </c>
      <c r="WMC27" s="24" t="e">
        <v>#N/A</v>
      </c>
      <c r="WMD27" s="24" t="e">
        <v>#N/A</v>
      </c>
      <c r="WME27" s="24" t="e">
        <v>#N/A</v>
      </c>
      <c r="WMF27" s="24" t="e">
        <v>#N/A</v>
      </c>
      <c r="WMG27" s="24" t="e">
        <v>#N/A</v>
      </c>
      <c r="WMH27" s="24" t="e">
        <v>#N/A</v>
      </c>
      <c r="WMI27" s="24" t="e">
        <v>#N/A</v>
      </c>
      <c r="WMJ27" s="24" t="e">
        <v>#N/A</v>
      </c>
      <c r="WMK27" s="24" t="e">
        <v>#N/A</v>
      </c>
      <c r="WML27" s="24" t="e">
        <v>#N/A</v>
      </c>
      <c r="WMM27" s="24" t="e">
        <v>#N/A</v>
      </c>
      <c r="WMN27" s="24" t="e">
        <v>#N/A</v>
      </c>
      <c r="WMO27" s="24" t="e">
        <v>#N/A</v>
      </c>
      <c r="WMP27" s="24" t="e">
        <v>#N/A</v>
      </c>
      <c r="WMQ27" s="24" t="e">
        <v>#N/A</v>
      </c>
      <c r="WMR27" s="24" t="e">
        <v>#N/A</v>
      </c>
      <c r="WMS27" s="24" t="e">
        <v>#N/A</v>
      </c>
      <c r="WMT27" s="24" t="e">
        <v>#N/A</v>
      </c>
      <c r="WMU27" s="24" t="e">
        <v>#N/A</v>
      </c>
      <c r="WMV27" s="24" t="e">
        <v>#N/A</v>
      </c>
      <c r="WMW27" s="24" t="e">
        <v>#N/A</v>
      </c>
      <c r="WMX27" s="24" t="e">
        <v>#N/A</v>
      </c>
      <c r="WMY27" s="24" t="e">
        <v>#N/A</v>
      </c>
      <c r="WMZ27" s="24" t="e">
        <v>#N/A</v>
      </c>
      <c r="WNA27" s="24" t="e">
        <v>#N/A</v>
      </c>
      <c r="WNB27" s="24" t="e">
        <v>#N/A</v>
      </c>
      <c r="WNC27" s="24" t="e">
        <v>#N/A</v>
      </c>
      <c r="WND27" s="24" t="e">
        <v>#N/A</v>
      </c>
      <c r="WNE27" s="24" t="e">
        <v>#N/A</v>
      </c>
      <c r="WNF27" s="24" t="e">
        <v>#N/A</v>
      </c>
      <c r="WNG27" s="24" t="e">
        <v>#N/A</v>
      </c>
      <c r="WNH27" s="24" t="e">
        <v>#N/A</v>
      </c>
      <c r="WNI27" s="24" t="e">
        <v>#N/A</v>
      </c>
      <c r="WNJ27" s="24" t="e">
        <v>#N/A</v>
      </c>
      <c r="WNK27" s="24" t="e">
        <v>#N/A</v>
      </c>
      <c r="WNL27" s="24" t="e">
        <v>#N/A</v>
      </c>
      <c r="WNM27" s="24" t="e">
        <v>#N/A</v>
      </c>
      <c r="WNN27" s="24" t="e">
        <v>#N/A</v>
      </c>
      <c r="WNO27" s="24" t="e">
        <v>#N/A</v>
      </c>
      <c r="WNP27" s="24" t="e">
        <v>#N/A</v>
      </c>
      <c r="WNQ27" s="24" t="e">
        <v>#N/A</v>
      </c>
      <c r="WNR27" s="24" t="e">
        <v>#N/A</v>
      </c>
      <c r="WNS27" s="24" t="e">
        <v>#N/A</v>
      </c>
      <c r="WNT27" s="24" t="e">
        <v>#N/A</v>
      </c>
      <c r="WNU27" s="24" t="e">
        <v>#N/A</v>
      </c>
      <c r="WNV27" s="24" t="e">
        <v>#N/A</v>
      </c>
      <c r="WNW27" s="24" t="e">
        <v>#N/A</v>
      </c>
      <c r="WNX27" s="24" t="e">
        <v>#N/A</v>
      </c>
      <c r="WNY27" s="24" t="e">
        <v>#N/A</v>
      </c>
      <c r="WNZ27" s="24" t="e">
        <v>#N/A</v>
      </c>
      <c r="WOA27" s="24" t="e">
        <v>#N/A</v>
      </c>
      <c r="WOB27" s="24" t="e">
        <v>#N/A</v>
      </c>
      <c r="WOC27" s="24" t="e">
        <v>#N/A</v>
      </c>
      <c r="WOD27" s="24" t="e">
        <v>#N/A</v>
      </c>
      <c r="WOE27" s="24" t="e">
        <v>#N/A</v>
      </c>
      <c r="WOF27" s="24" t="e">
        <v>#N/A</v>
      </c>
      <c r="WOG27" s="24" t="e">
        <v>#N/A</v>
      </c>
      <c r="WOH27" s="24" t="e">
        <v>#N/A</v>
      </c>
      <c r="WOI27" s="24" t="e">
        <v>#N/A</v>
      </c>
      <c r="WOJ27" s="24" t="e">
        <v>#N/A</v>
      </c>
      <c r="WOK27" s="24" t="e">
        <v>#N/A</v>
      </c>
      <c r="WOL27" s="24" t="e">
        <v>#N/A</v>
      </c>
      <c r="WOM27" s="24" t="e">
        <v>#N/A</v>
      </c>
      <c r="WON27" s="24" t="e">
        <v>#N/A</v>
      </c>
      <c r="WOO27" s="24" t="e">
        <v>#N/A</v>
      </c>
      <c r="WOP27" s="24" t="e">
        <v>#N/A</v>
      </c>
      <c r="WOQ27" s="24" t="e">
        <v>#N/A</v>
      </c>
      <c r="WOR27" s="24" t="e">
        <v>#N/A</v>
      </c>
      <c r="WOS27" s="24" t="e">
        <v>#N/A</v>
      </c>
      <c r="WOT27" s="24" t="e">
        <v>#N/A</v>
      </c>
      <c r="WOU27" s="24" t="e">
        <v>#N/A</v>
      </c>
      <c r="WOV27" s="24" t="e">
        <v>#N/A</v>
      </c>
      <c r="WOW27" s="24" t="e">
        <v>#N/A</v>
      </c>
      <c r="WOX27" s="24" t="e">
        <v>#N/A</v>
      </c>
      <c r="WOY27" s="24" t="e">
        <v>#N/A</v>
      </c>
      <c r="WOZ27" s="24" t="e">
        <v>#N/A</v>
      </c>
      <c r="WPA27" s="24" t="e">
        <v>#N/A</v>
      </c>
      <c r="WPB27" s="24" t="e">
        <v>#N/A</v>
      </c>
      <c r="WPC27" s="24" t="e">
        <v>#N/A</v>
      </c>
      <c r="WPD27" s="24" t="e">
        <v>#N/A</v>
      </c>
      <c r="WPE27" s="24" t="e">
        <v>#N/A</v>
      </c>
      <c r="WPF27" s="24" t="e">
        <v>#N/A</v>
      </c>
      <c r="WPG27" s="24" t="e">
        <v>#N/A</v>
      </c>
      <c r="WPH27" s="24" t="e">
        <v>#N/A</v>
      </c>
      <c r="WPI27" s="24" t="e">
        <v>#N/A</v>
      </c>
      <c r="WPJ27" s="24" t="e">
        <v>#N/A</v>
      </c>
      <c r="WPK27" s="24" t="e">
        <v>#N/A</v>
      </c>
      <c r="WPL27" s="24" t="e">
        <v>#N/A</v>
      </c>
      <c r="WPM27" s="24" t="e">
        <v>#N/A</v>
      </c>
      <c r="WPN27" s="24" t="e">
        <v>#N/A</v>
      </c>
      <c r="WPO27" s="24" t="e">
        <v>#N/A</v>
      </c>
      <c r="WPP27" s="24" t="e">
        <v>#N/A</v>
      </c>
      <c r="WPQ27" s="24" t="e">
        <v>#N/A</v>
      </c>
      <c r="WPR27" s="24" t="e">
        <v>#N/A</v>
      </c>
      <c r="WPS27" s="24" t="e">
        <v>#N/A</v>
      </c>
      <c r="WPT27" s="24" t="e">
        <v>#N/A</v>
      </c>
      <c r="WPU27" s="24" t="e">
        <v>#N/A</v>
      </c>
      <c r="WPV27" s="24" t="e">
        <v>#N/A</v>
      </c>
      <c r="WPW27" s="24" t="e">
        <v>#N/A</v>
      </c>
      <c r="WPX27" s="24" t="e">
        <v>#N/A</v>
      </c>
      <c r="WPY27" s="24" t="e">
        <v>#N/A</v>
      </c>
      <c r="WPZ27" s="24" t="e">
        <v>#N/A</v>
      </c>
      <c r="WQA27" s="24" t="e">
        <v>#N/A</v>
      </c>
      <c r="WQB27" s="24" t="e">
        <v>#N/A</v>
      </c>
      <c r="WQC27" s="24" t="e">
        <v>#N/A</v>
      </c>
      <c r="WQD27" s="24" t="e">
        <v>#N/A</v>
      </c>
      <c r="WQE27" s="24" t="e">
        <v>#N/A</v>
      </c>
      <c r="WQF27" s="24" t="e">
        <v>#N/A</v>
      </c>
      <c r="WQG27" s="24" t="e">
        <v>#N/A</v>
      </c>
      <c r="WQH27" s="24" t="e">
        <v>#N/A</v>
      </c>
      <c r="WQI27" s="24" t="e">
        <v>#N/A</v>
      </c>
      <c r="WQJ27" s="24" t="e">
        <v>#N/A</v>
      </c>
      <c r="WQK27" s="24" t="e">
        <v>#N/A</v>
      </c>
      <c r="WQL27" s="24" t="e">
        <v>#N/A</v>
      </c>
      <c r="WQM27" s="24" t="e">
        <v>#N/A</v>
      </c>
      <c r="WQN27" s="24" t="e">
        <v>#N/A</v>
      </c>
      <c r="WQO27" s="24" t="e">
        <v>#N/A</v>
      </c>
      <c r="WQP27" s="24" t="e">
        <v>#N/A</v>
      </c>
      <c r="WQQ27" s="24" t="e">
        <v>#N/A</v>
      </c>
      <c r="WQR27" s="24" t="e">
        <v>#N/A</v>
      </c>
      <c r="WQS27" s="24" t="e">
        <v>#N/A</v>
      </c>
      <c r="WQT27" s="24" t="e">
        <v>#N/A</v>
      </c>
      <c r="WQU27" s="24" t="e">
        <v>#N/A</v>
      </c>
      <c r="WQV27" s="24" t="e">
        <v>#N/A</v>
      </c>
      <c r="WQW27" s="24" t="e">
        <v>#N/A</v>
      </c>
      <c r="WQX27" s="24" t="e">
        <v>#N/A</v>
      </c>
      <c r="WQY27" s="24" t="e">
        <v>#N/A</v>
      </c>
      <c r="WQZ27" s="24" t="e">
        <v>#N/A</v>
      </c>
      <c r="WRA27" s="24" t="e">
        <v>#N/A</v>
      </c>
      <c r="WRB27" s="24" t="e">
        <v>#N/A</v>
      </c>
      <c r="WRC27" s="24" t="e">
        <v>#N/A</v>
      </c>
      <c r="WRD27" s="24" t="e">
        <v>#N/A</v>
      </c>
      <c r="WRE27" s="24" t="e">
        <v>#N/A</v>
      </c>
      <c r="WRF27" s="24" t="e">
        <v>#N/A</v>
      </c>
      <c r="WRG27" s="24" t="e">
        <v>#N/A</v>
      </c>
      <c r="WRH27" s="24" t="e">
        <v>#N/A</v>
      </c>
      <c r="WRI27" s="24" t="e">
        <v>#N/A</v>
      </c>
      <c r="WRJ27" s="24" t="e">
        <v>#N/A</v>
      </c>
      <c r="WRK27" s="24" t="e">
        <v>#N/A</v>
      </c>
      <c r="WRL27" s="24" t="e">
        <v>#N/A</v>
      </c>
      <c r="WRM27" s="24" t="e">
        <v>#N/A</v>
      </c>
      <c r="WRN27" s="24" t="e">
        <v>#N/A</v>
      </c>
      <c r="WRO27" s="24" t="e">
        <v>#N/A</v>
      </c>
      <c r="WRP27" s="24" t="e">
        <v>#N/A</v>
      </c>
      <c r="WRQ27" s="24" t="e">
        <v>#N/A</v>
      </c>
      <c r="WRR27" s="24" t="e">
        <v>#N/A</v>
      </c>
      <c r="WRS27" s="24" t="e">
        <v>#N/A</v>
      </c>
      <c r="WRT27" s="24" t="e">
        <v>#N/A</v>
      </c>
      <c r="WRU27" s="24" t="e">
        <v>#N/A</v>
      </c>
      <c r="WRV27" s="24" t="e">
        <v>#N/A</v>
      </c>
      <c r="WRW27" s="24" t="e">
        <v>#N/A</v>
      </c>
      <c r="WRX27" s="24" t="e">
        <v>#N/A</v>
      </c>
      <c r="WRY27" s="24" t="e">
        <v>#N/A</v>
      </c>
      <c r="WRZ27" s="24" t="e">
        <v>#N/A</v>
      </c>
      <c r="WSA27" s="24" t="e">
        <v>#N/A</v>
      </c>
      <c r="WSB27" s="24" t="e">
        <v>#N/A</v>
      </c>
      <c r="WSC27" s="24" t="e">
        <v>#N/A</v>
      </c>
      <c r="WSD27" s="24" t="e">
        <v>#N/A</v>
      </c>
      <c r="WSE27" s="24" t="e">
        <v>#N/A</v>
      </c>
      <c r="WSF27" s="24" t="e">
        <v>#N/A</v>
      </c>
      <c r="WSG27" s="24" t="e">
        <v>#N/A</v>
      </c>
      <c r="WSH27" s="24" t="e">
        <v>#N/A</v>
      </c>
      <c r="WSI27" s="24" t="e">
        <v>#N/A</v>
      </c>
      <c r="WSJ27" s="24" t="e">
        <v>#N/A</v>
      </c>
      <c r="WSK27" s="24" t="e">
        <v>#N/A</v>
      </c>
      <c r="WSL27" s="24" t="e">
        <v>#N/A</v>
      </c>
      <c r="WSM27" s="24" t="e">
        <v>#N/A</v>
      </c>
      <c r="WSN27" s="24" t="e">
        <v>#N/A</v>
      </c>
      <c r="WSO27" s="24" t="e">
        <v>#N/A</v>
      </c>
      <c r="WSP27" s="24" t="e">
        <v>#N/A</v>
      </c>
      <c r="WSQ27" s="24" t="e">
        <v>#N/A</v>
      </c>
      <c r="WSR27" s="24" t="e">
        <v>#N/A</v>
      </c>
      <c r="WSS27" s="24" t="e">
        <v>#N/A</v>
      </c>
      <c r="WST27" s="24" t="e">
        <v>#N/A</v>
      </c>
      <c r="WSU27" s="24" t="e">
        <v>#N/A</v>
      </c>
      <c r="WSV27" s="24" t="e">
        <v>#N/A</v>
      </c>
      <c r="WSW27" s="24" t="e">
        <v>#N/A</v>
      </c>
      <c r="WSX27" s="24" t="e">
        <v>#N/A</v>
      </c>
      <c r="WSY27" s="24" t="e">
        <v>#N/A</v>
      </c>
      <c r="WSZ27" s="24" t="e">
        <v>#N/A</v>
      </c>
      <c r="WTA27" s="24" t="e">
        <v>#N/A</v>
      </c>
      <c r="WTB27" s="24" t="e">
        <v>#N/A</v>
      </c>
      <c r="WTC27" s="24" t="e">
        <v>#N/A</v>
      </c>
      <c r="WTD27" s="24" t="e">
        <v>#N/A</v>
      </c>
      <c r="WTE27" s="24" t="e">
        <v>#N/A</v>
      </c>
      <c r="WTF27" s="24" t="e">
        <v>#N/A</v>
      </c>
      <c r="WTG27" s="24" t="e">
        <v>#N/A</v>
      </c>
      <c r="WTH27" s="24" t="e">
        <v>#N/A</v>
      </c>
      <c r="WTI27" s="24" t="e">
        <v>#N/A</v>
      </c>
      <c r="WTJ27" s="24" t="e">
        <v>#N/A</v>
      </c>
      <c r="WTK27" s="24" t="e">
        <v>#N/A</v>
      </c>
      <c r="WTL27" s="24" t="e">
        <v>#N/A</v>
      </c>
      <c r="WTM27" s="24" t="e">
        <v>#N/A</v>
      </c>
      <c r="WTN27" s="24" t="e">
        <v>#N/A</v>
      </c>
      <c r="WTO27" s="24" t="e">
        <v>#N/A</v>
      </c>
      <c r="WTP27" s="24" t="e">
        <v>#N/A</v>
      </c>
      <c r="WTQ27" s="24" t="e">
        <v>#N/A</v>
      </c>
      <c r="WTR27" s="24" t="e">
        <v>#N/A</v>
      </c>
      <c r="WTS27" s="24" t="e">
        <v>#N/A</v>
      </c>
      <c r="WTT27" s="24" t="e">
        <v>#N/A</v>
      </c>
      <c r="WTU27" s="24" t="e">
        <v>#N/A</v>
      </c>
      <c r="WTV27" s="24" t="e">
        <v>#N/A</v>
      </c>
      <c r="WTW27" s="24" t="e">
        <v>#N/A</v>
      </c>
      <c r="WTX27" s="24" t="e">
        <v>#N/A</v>
      </c>
      <c r="WTY27" s="24" t="e">
        <v>#N/A</v>
      </c>
      <c r="WTZ27" s="24" t="e">
        <v>#N/A</v>
      </c>
      <c r="WUA27" s="24" t="e">
        <v>#N/A</v>
      </c>
      <c r="WUB27" s="24" t="e">
        <v>#N/A</v>
      </c>
      <c r="WUC27" s="24" t="e">
        <v>#N/A</v>
      </c>
      <c r="WUD27" s="24" t="e">
        <v>#N/A</v>
      </c>
      <c r="WUE27" s="24" t="e">
        <v>#N/A</v>
      </c>
      <c r="WUF27" s="24" t="e">
        <v>#N/A</v>
      </c>
      <c r="WUG27" s="24" t="e">
        <v>#N/A</v>
      </c>
      <c r="WUH27" s="24" t="e">
        <v>#N/A</v>
      </c>
      <c r="WUI27" s="24" t="e">
        <v>#N/A</v>
      </c>
      <c r="WUJ27" s="24" t="e">
        <v>#N/A</v>
      </c>
      <c r="WUK27" s="24" t="e">
        <v>#N/A</v>
      </c>
      <c r="WUL27" s="24" t="e">
        <v>#N/A</v>
      </c>
      <c r="WUM27" s="24" t="e">
        <v>#N/A</v>
      </c>
      <c r="WUN27" s="24" t="e">
        <v>#N/A</v>
      </c>
      <c r="WUO27" s="24" t="e">
        <v>#N/A</v>
      </c>
      <c r="WUP27" s="24" t="e">
        <v>#N/A</v>
      </c>
      <c r="WUQ27" s="24" t="e">
        <v>#N/A</v>
      </c>
      <c r="WUR27" s="24" t="e">
        <v>#N/A</v>
      </c>
      <c r="WUS27" s="24" t="e">
        <v>#N/A</v>
      </c>
      <c r="WUT27" s="24" t="e">
        <v>#N/A</v>
      </c>
      <c r="WUU27" s="24" t="e">
        <v>#N/A</v>
      </c>
      <c r="WUV27" s="24" t="e">
        <v>#N/A</v>
      </c>
      <c r="WUW27" s="24" t="e">
        <v>#N/A</v>
      </c>
      <c r="WUX27" s="24" t="e">
        <v>#N/A</v>
      </c>
      <c r="WUY27" s="24" t="e">
        <v>#N/A</v>
      </c>
      <c r="WUZ27" s="24" t="e">
        <v>#N/A</v>
      </c>
      <c r="WVA27" s="24" t="e">
        <v>#N/A</v>
      </c>
      <c r="WVB27" s="24" t="e">
        <v>#N/A</v>
      </c>
      <c r="WVC27" s="24" t="e">
        <v>#N/A</v>
      </c>
      <c r="WVD27" s="24" t="e">
        <v>#N/A</v>
      </c>
      <c r="WVE27" s="24" t="e">
        <v>#N/A</v>
      </c>
      <c r="WVF27" s="24" t="e">
        <v>#N/A</v>
      </c>
      <c r="WVG27" s="24" t="e">
        <v>#N/A</v>
      </c>
      <c r="WVH27" s="24" t="e">
        <v>#N/A</v>
      </c>
      <c r="WVI27" s="24" t="e">
        <v>#N/A</v>
      </c>
      <c r="WVJ27" s="24" t="e">
        <v>#N/A</v>
      </c>
      <c r="WVK27" s="24" t="e">
        <v>#N/A</v>
      </c>
      <c r="WVL27" s="24" t="e">
        <v>#N/A</v>
      </c>
      <c r="WVM27" s="24" t="e">
        <v>#N/A</v>
      </c>
      <c r="WVN27" s="24" t="e">
        <v>#N/A</v>
      </c>
      <c r="WVO27" s="24" t="e">
        <v>#N/A</v>
      </c>
      <c r="WVP27" s="24" t="e">
        <v>#N/A</v>
      </c>
      <c r="WVQ27" s="24" t="e">
        <v>#N/A</v>
      </c>
      <c r="WVR27" s="24" t="e">
        <v>#N/A</v>
      </c>
      <c r="WVS27" s="24" t="e">
        <v>#N/A</v>
      </c>
      <c r="WVT27" s="24" t="e">
        <v>#N/A</v>
      </c>
      <c r="WVU27" s="24" t="e">
        <v>#N/A</v>
      </c>
      <c r="WVV27" s="24" t="e">
        <v>#N/A</v>
      </c>
      <c r="WVW27" s="24" t="e">
        <v>#N/A</v>
      </c>
      <c r="WVX27" s="24" t="e">
        <v>#N/A</v>
      </c>
      <c r="WVY27" s="24" t="e">
        <v>#N/A</v>
      </c>
      <c r="WVZ27" s="24" t="e">
        <v>#N/A</v>
      </c>
      <c r="WWA27" s="24" t="e">
        <v>#N/A</v>
      </c>
      <c r="WWB27" s="24" t="e">
        <v>#N/A</v>
      </c>
      <c r="WWC27" s="24" t="e">
        <v>#N/A</v>
      </c>
      <c r="WWD27" s="24" t="e">
        <v>#N/A</v>
      </c>
      <c r="WWE27" s="24" t="e">
        <v>#N/A</v>
      </c>
      <c r="WWF27" s="24" t="e">
        <v>#N/A</v>
      </c>
      <c r="WWG27" s="24" t="e">
        <v>#N/A</v>
      </c>
      <c r="WWH27" s="24" t="e">
        <v>#N/A</v>
      </c>
      <c r="WWI27" s="24" t="e">
        <v>#N/A</v>
      </c>
      <c r="WWJ27" s="24" t="e">
        <v>#N/A</v>
      </c>
      <c r="WWK27" s="24" t="e">
        <v>#N/A</v>
      </c>
      <c r="WWL27" s="24" t="e">
        <v>#N/A</v>
      </c>
      <c r="WWM27" s="24" t="e">
        <v>#N/A</v>
      </c>
      <c r="WWN27" s="24" t="e">
        <v>#N/A</v>
      </c>
      <c r="WWO27" s="24" t="e">
        <v>#N/A</v>
      </c>
      <c r="WWP27" s="24" t="e">
        <v>#N/A</v>
      </c>
      <c r="WWQ27" s="24" t="e">
        <v>#N/A</v>
      </c>
      <c r="WWR27" s="24" t="e">
        <v>#N/A</v>
      </c>
      <c r="WWS27" s="24" t="e">
        <v>#N/A</v>
      </c>
      <c r="WWT27" s="24" t="e">
        <v>#N/A</v>
      </c>
      <c r="WWU27" s="24" t="e">
        <v>#N/A</v>
      </c>
      <c r="WWV27" s="24" t="e">
        <v>#N/A</v>
      </c>
      <c r="WWW27" s="24" t="e">
        <v>#N/A</v>
      </c>
      <c r="WWX27" s="24" t="e">
        <v>#N/A</v>
      </c>
      <c r="WWY27" s="24" t="e">
        <v>#N/A</v>
      </c>
      <c r="WWZ27" s="24" t="e">
        <v>#N/A</v>
      </c>
      <c r="WXA27" s="24" t="e">
        <v>#N/A</v>
      </c>
      <c r="WXB27" s="24" t="e">
        <v>#N/A</v>
      </c>
      <c r="WXC27" s="24" t="e">
        <v>#N/A</v>
      </c>
      <c r="WXD27" s="24" t="e">
        <v>#N/A</v>
      </c>
      <c r="WXE27" s="24" t="e">
        <v>#N/A</v>
      </c>
      <c r="WXF27" s="24" t="e">
        <v>#N/A</v>
      </c>
      <c r="WXG27" s="24" t="e">
        <v>#N/A</v>
      </c>
      <c r="WXH27" s="24" t="e">
        <v>#N/A</v>
      </c>
      <c r="WXI27" s="24" t="e">
        <v>#N/A</v>
      </c>
      <c r="WXJ27" s="24" t="e">
        <v>#N/A</v>
      </c>
      <c r="WXK27" s="24" t="e">
        <v>#N/A</v>
      </c>
      <c r="WXL27" s="24" t="e">
        <v>#N/A</v>
      </c>
      <c r="WXM27" s="24" t="e">
        <v>#N/A</v>
      </c>
      <c r="WXN27" s="24" t="e">
        <v>#N/A</v>
      </c>
      <c r="WXO27" s="24" t="e">
        <v>#N/A</v>
      </c>
      <c r="WXP27" s="24" t="e">
        <v>#N/A</v>
      </c>
      <c r="WXQ27" s="24" t="e">
        <v>#N/A</v>
      </c>
      <c r="WXR27" s="24" t="e">
        <v>#N/A</v>
      </c>
      <c r="WXS27" s="24" t="e">
        <v>#N/A</v>
      </c>
      <c r="WXT27" s="24" t="e">
        <v>#N/A</v>
      </c>
      <c r="WXU27" s="24" t="e">
        <v>#N/A</v>
      </c>
      <c r="WXV27" s="24" t="e">
        <v>#N/A</v>
      </c>
      <c r="WXW27" s="24" t="e">
        <v>#N/A</v>
      </c>
      <c r="WXX27" s="24" t="e">
        <v>#N/A</v>
      </c>
      <c r="WXY27" s="24" t="e">
        <v>#N/A</v>
      </c>
      <c r="WXZ27" s="24" t="e">
        <v>#N/A</v>
      </c>
      <c r="WYA27" s="24" t="e">
        <v>#N/A</v>
      </c>
      <c r="WYB27" s="24" t="e">
        <v>#N/A</v>
      </c>
      <c r="WYC27" s="24" t="e">
        <v>#N/A</v>
      </c>
      <c r="WYD27" s="24" t="e">
        <v>#N/A</v>
      </c>
      <c r="WYE27" s="24" t="e">
        <v>#N/A</v>
      </c>
      <c r="WYF27" s="24" t="e">
        <v>#N/A</v>
      </c>
      <c r="WYG27" s="24" t="e">
        <v>#N/A</v>
      </c>
      <c r="WYH27" s="24" t="e">
        <v>#N/A</v>
      </c>
      <c r="WYI27" s="24" t="e">
        <v>#N/A</v>
      </c>
      <c r="WYJ27" s="24" t="e">
        <v>#N/A</v>
      </c>
      <c r="WYK27" s="24" t="e">
        <v>#N/A</v>
      </c>
      <c r="WYL27" s="24" t="e">
        <v>#N/A</v>
      </c>
      <c r="WYM27" s="24" t="e">
        <v>#N/A</v>
      </c>
      <c r="WYN27" s="24" t="e">
        <v>#N/A</v>
      </c>
      <c r="WYO27" s="24" t="e">
        <v>#N/A</v>
      </c>
      <c r="WYP27" s="24" t="e">
        <v>#N/A</v>
      </c>
      <c r="WYQ27" s="24" t="e">
        <v>#N/A</v>
      </c>
      <c r="WYR27" s="24" t="e">
        <v>#N/A</v>
      </c>
      <c r="WYS27" s="24" t="e">
        <v>#N/A</v>
      </c>
      <c r="WYT27" s="24" t="e">
        <v>#N/A</v>
      </c>
      <c r="WYU27" s="24" t="e">
        <v>#N/A</v>
      </c>
      <c r="WYV27" s="24" t="e">
        <v>#N/A</v>
      </c>
      <c r="WYW27" s="24" t="e">
        <v>#N/A</v>
      </c>
      <c r="WYX27" s="24" t="e">
        <v>#N/A</v>
      </c>
      <c r="WYY27" s="24" t="e">
        <v>#N/A</v>
      </c>
      <c r="WYZ27" s="24" t="e">
        <v>#N/A</v>
      </c>
      <c r="WZA27" s="24" t="e">
        <v>#N/A</v>
      </c>
      <c r="WZB27" s="24" t="e">
        <v>#N/A</v>
      </c>
      <c r="WZC27" s="24" t="e">
        <v>#N/A</v>
      </c>
      <c r="WZD27" s="24" t="e">
        <v>#N/A</v>
      </c>
      <c r="WZE27" s="24" t="e">
        <v>#N/A</v>
      </c>
      <c r="WZF27" s="24" t="e">
        <v>#N/A</v>
      </c>
      <c r="WZG27" s="24" t="e">
        <v>#N/A</v>
      </c>
      <c r="WZH27" s="24" t="e">
        <v>#N/A</v>
      </c>
      <c r="WZI27" s="24" t="e">
        <v>#N/A</v>
      </c>
      <c r="WZJ27" s="24" t="e">
        <v>#N/A</v>
      </c>
      <c r="WZK27" s="24" t="e">
        <v>#N/A</v>
      </c>
      <c r="WZL27" s="24" t="e">
        <v>#N/A</v>
      </c>
      <c r="WZM27" s="24" t="e">
        <v>#N/A</v>
      </c>
      <c r="WZN27" s="24" t="e">
        <v>#N/A</v>
      </c>
      <c r="WZO27" s="24" t="e">
        <v>#N/A</v>
      </c>
      <c r="WZP27" s="24" t="e">
        <v>#N/A</v>
      </c>
      <c r="WZQ27" s="24" t="e">
        <v>#N/A</v>
      </c>
      <c r="WZR27" s="24" t="e">
        <v>#N/A</v>
      </c>
      <c r="WZS27" s="24" t="e">
        <v>#N/A</v>
      </c>
      <c r="WZT27" s="24" t="e">
        <v>#N/A</v>
      </c>
      <c r="WZU27" s="24" t="e">
        <v>#N/A</v>
      </c>
      <c r="WZV27" s="24" t="e">
        <v>#N/A</v>
      </c>
      <c r="WZW27" s="24" t="e">
        <v>#N/A</v>
      </c>
      <c r="WZX27" s="24" t="e">
        <v>#N/A</v>
      </c>
      <c r="WZY27" s="24" t="e">
        <v>#N/A</v>
      </c>
      <c r="WZZ27" s="24" t="e">
        <v>#N/A</v>
      </c>
      <c r="XAA27" s="24" t="e">
        <v>#N/A</v>
      </c>
      <c r="XAB27" s="24" t="e">
        <v>#N/A</v>
      </c>
      <c r="XAC27" s="24" t="e">
        <v>#N/A</v>
      </c>
      <c r="XAD27" s="24" t="e">
        <v>#N/A</v>
      </c>
      <c r="XAE27" s="24" t="e">
        <v>#N/A</v>
      </c>
      <c r="XAF27" s="24" t="e">
        <v>#N/A</v>
      </c>
      <c r="XAG27" s="24" t="e">
        <v>#N/A</v>
      </c>
      <c r="XAH27" s="24" t="e">
        <v>#N/A</v>
      </c>
      <c r="XAI27" s="24" t="e">
        <v>#N/A</v>
      </c>
      <c r="XAJ27" s="24" t="e">
        <v>#N/A</v>
      </c>
      <c r="XAK27" s="24" t="e">
        <v>#N/A</v>
      </c>
      <c r="XAL27" s="24" t="e">
        <v>#N/A</v>
      </c>
      <c r="XAM27" s="24" t="e">
        <v>#N/A</v>
      </c>
      <c r="XAN27" s="24" t="e">
        <v>#N/A</v>
      </c>
      <c r="XAO27" s="24" t="e">
        <v>#N/A</v>
      </c>
      <c r="XAP27" s="24" t="e">
        <v>#N/A</v>
      </c>
      <c r="XAQ27" s="24" t="e">
        <v>#N/A</v>
      </c>
      <c r="XAR27" s="24" t="e">
        <v>#N/A</v>
      </c>
      <c r="XAS27" s="24" t="e">
        <v>#N/A</v>
      </c>
      <c r="XAT27" s="24" t="e">
        <v>#N/A</v>
      </c>
      <c r="XAU27" s="24" t="e">
        <v>#N/A</v>
      </c>
      <c r="XAV27" s="24" t="e">
        <v>#N/A</v>
      </c>
      <c r="XAW27" s="24" t="e">
        <v>#N/A</v>
      </c>
      <c r="XAX27" s="24" t="e">
        <v>#N/A</v>
      </c>
      <c r="XAY27" s="24" t="e">
        <v>#N/A</v>
      </c>
      <c r="XAZ27" s="24" t="e">
        <v>#N/A</v>
      </c>
      <c r="XBA27" s="24" t="e">
        <v>#N/A</v>
      </c>
      <c r="XBB27" s="24" t="e">
        <v>#N/A</v>
      </c>
      <c r="XBC27" s="24" t="e">
        <v>#N/A</v>
      </c>
      <c r="XBD27" s="24" t="e">
        <v>#N/A</v>
      </c>
      <c r="XBE27" s="24" t="e">
        <v>#N/A</v>
      </c>
      <c r="XBF27" s="24" t="e">
        <v>#N/A</v>
      </c>
      <c r="XBG27" s="24" t="e">
        <v>#N/A</v>
      </c>
      <c r="XBH27" s="24" t="e">
        <v>#N/A</v>
      </c>
      <c r="XBI27" s="24" t="e">
        <v>#N/A</v>
      </c>
      <c r="XBJ27" s="24" t="e">
        <v>#N/A</v>
      </c>
      <c r="XBK27" s="24" t="e">
        <v>#N/A</v>
      </c>
      <c r="XBL27" s="24" t="e">
        <v>#N/A</v>
      </c>
      <c r="XBM27" s="24" t="e">
        <v>#N/A</v>
      </c>
      <c r="XBN27" s="24" t="e">
        <v>#N/A</v>
      </c>
      <c r="XBO27" s="24" t="e">
        <v>#N/A</v>
      </c>
      <c r="XBP27" s="24" t="e">
        <v>#N/A</v>
      </c>
      <c r="XBQ27" s="24" t="e">
        <v>#N/A</v>
      </c>
      <c r="XBR27" s="24" t="e">
        <v>#N/A</v>
      </c>
      <c r="XBS27" s="24" t="e">
        <v>#N/A</v>
      </c>
      <c r="XBT27" s="24" t="e">
        <v>#N/A</v>
      </c>
      <c r="XBU27" s="24" t="e">
        <v>#N/A</v>
      </c>
      <c r="XBV27" s="24" t="e">
        <v>#N/A</v>
      </c>
      <c r="XBW27" s="24" t="e">
        <v>#N/A</v>
      </c>
      <c r="XBX27" s="24" t="e">
        <v>#N/A</v>
      </c>
      <c r="XBY27" s="24" t="e">
        <v>#N/A</v>
      </c>
      <c r="XBZ27" s="24" t="e">
        <v>#N/A</v>
      </c>
      <c r="XCA27" s="24" t="e">
        <v>#N/A</v>
      </c>
      <c r="XCB27" s="24" t="e">
        <v>#N/A</v>
      </c>
      <c r="XCC27" s="24" t="e">
        <v>#N/A</v>
      </c>
      <c r="XCD27" s="24" t="e">
        <v>#N/A</v>
      </c>
      <c r="XCE27" s="24" t="e">
        <v>#N/A</v>
      </c>
      <c r="XCF27" s="24" t="e">
        <v>#N/A</v>
      </c>
      <c r="XCG27" s="24" t="e">
        <v>#N/A</v>
      </c>
      <c r="XCH27" s="24" t="e">
        <v>#N/A</v>
      </c>
      <c r="XCI27" s="24" t="e">
        <v>#N/A</v>
      </c>
      <c r="XCJ27" s="24" t="e">
        <v>#N/A</v>
      </c>
      <c r="XCK27" s="24" t="e">
        <v>#N/A</v>
      </c>
      <c r="XCL27" s="24" t="e">
        <v>#N/A</v>
      </c>
      <c r="XCM27" s="24" t="e">
        <v>#N/A</v>
      </c>
      <c r="XCN27" s="24" t="e">
        <v>#N/A</v>
      </c>
      <c r="XCO27" s="24" t="e">
        <v>#N/A</v>
      </c>
      <c r="XCP27" s="24" t="e">
        <v>#N/A</v>
      </c>
      <c r="XCQ27" s="24" t="e">
        <v>#N/A</v>
      </c>
      <c r="XCR27" s="24" t="e">
        <v>#N/A</v>
      </c>
      <c r="XCS27" s="24" t="e">
        <v>#N/A</v>
      </c>
      <c r="XCT27" s="24" t="e">
        <v>#N/A</v>
      </c>
      <c r="XCU27" s="24" t="e">
        <v>#N/A</v>
      </c>
      <c r="XCV27" s="24" t="e">
        <v>#N/A</v>
      </c>
      <c r="XCW27" s="24" t="e">
        <v>#N/A</v>
      </c>
      <c r="XCX27" s="24" t="e">
        <v>#N/A</v>
      </c>
      <c r="XCY27" s="24" t="e">
        <v>#N/A</v>
      </c>
      <c r="XCZ27" s="24" t="e">
        <v>#N/A</v>
      </c>
      <c r="XDA27" s="24" t="e">
        <v>#N/A</v>
      </c>
      <c r="XDB27" s="24" t="e">
        <v>#N/A</v>
      </c>
      <c r="XDC27" s="24" t="e">
        <v>#N/A</v>
      </c>
      <c r="XDD27" s="24" t="e">
        <v>#N/A</v>
      </c>
      <c r="XDE27" s="24" t="e">
        <v>#N/A</v>
      </c>
      <c r="XDF27" s="24" t="e">
        <v>#N/A</v>
      </c>
      <c r="XDG27" s="24" t="e">
        <v>#N/A</v>
      </c>
      <c r="XDH27" s="24" t="e">
        <v>#N/A</v>
      </c>
      <c r="XDI27" s="24" t="e">
        <v>#N/A</v>
      </c>
      <c r="XDJ27" s="24" t="e">
        <v>#N/A</v>
      </c>
      <c r="XDK27" s="24" t="e">
        <v>#N/A</v>
      </c>
      <c r="XDL27" s="24" t="e">
        <v>#N/A</v>
      </c>
      <c r="XDM27" s="24" t="e">
        <v>#N/A</v>
      </c>
      <c r="XDN27" s="24" t="e">
        <v>#N/A</v>
      </c>
      <c r="XDO27" s="24" t="e">
        <v>#N/A</v>
      </c>
      <c r="XDP27" s="24" t="e">
        <v>#N/A</v>
      </c>
      <c r="XDQ27" s="24" t="e">
        <v>#N/A</v>
      </c>
      <c r="XDR27" s="24" t="e">
        <v>#N/A</v>
      </c>
      <c r="XDS27" s="24" t="e">
        <v>#N/A</v>
      </c>
      <c r="XDT27" s="24" t="e">
        <v>#N/A</v>
      </c>
      <c r="XDU27" s="24" t="e">
        <v>#N/A</v>
      </c>
      <c r="XDV27" s="24" t="e">
        <v>#N/A</v>
      </c>
      <c r="XDW27" s="24" t="e">
        <v>#N/A</v>
      </c>
      <c r="XDX27" s="24" t="e">
        <v>#N/A</v>
      </c>
      <c r="XDY27" s="24" t="e">
        <v>#N/A</v>
      </c>
      <c r="XDZ27" s="24" t="e">
        <v>#N/A</v>
      </c>
      <c r="XEA27" s="24" t="e">
        <v>#N/A</v>
      </c>
      <c r="XEB27" s="24" t="e">
        <v>#N/A</v>
      </c>
      <c r="XEC27" s="24" t="e">
        <v>#N/A</v>
      </c>
      <c r="XED27" s="24" t="e">
        <v>#N/A</v>
      </c>
      <c r="XEE27" s="24" t="e">
        <v>#N/A</v>
      </c>
      <c r="XEF27" s="24" t="e">
        <v>#N/A</v>
      </c>
      <c r="XEG27" s="24" t="e">
        <v>#N/A</v>
      </c>
      <c r="XEH27" s="24" t="e">
        <v>#N/A</v>
      </c>
      <c r="XEI27" s="24" t="e">
        <v>#N/A</v>
      </c>
      <c r="XEJ27" s="24" t="e">
        <v>#N/A</v>
      </c>
      <c r="XEK27" s="24" t="e">
        <v>#N/A</v>
      </c>
      <c r="XEL27" s="24" t="e">
        <v>#N/A</v>
      </c>
      <c r="XEM27" s="24" t="e">
        <v>#N/A</v>
      </c>
      <c r="XEN27" s="24" t="e">
        <v>#N/A</v>
      </c>
      <c r="XEO27" s="24" t="e">
        <v>#N/A</v>
      </c>
      <c r="XEP27" s="24" t="e">
        <v>#N/A</v>
      </c>
      <c r="XEQ27" s="24" t="e">
        <v>#N/A</v>
      </c>
      <c r="XER27" s="24" t="e">
        <v>#N/A</v>
      </c>
      <c r="XES27" s="24" t="e">
        <v>#N/A</v>
      </c>
      <c r="XET27" s="24" t="e">
        <v>#N/A</v>
      </c>
      <c r="XEU27" s="24" t="e">
        <v>#N/A</v>
      </c>
      <c r="XEV27" s="24" t="e">
        <v>#N/A</v>
      </c>
      <c r="XEW27" s="24" t="e">
        <v>#N/A</v>
      </c>
      <c r="XEX27" s="24" t="e">
        <v>#N/A</v>
      </c>
      <c r="XEY27" s="24" t="e">
        <v>#N/A</v>
      </c>
      <c r="XEZ27" s="24" t="e">
        <v>#N/A</v>
      </c>
      <c r="XFA27" s="24" t="e">
        <v>#N/A</v>
      </c>
      <c r="XFB27" s="24" t="e">
        <v>#N/A</v>
      </c>
      <c r="XFC27" s="24" t="e">
        <v>#N/A</v>
      </c>
      <c r="XFD27" s="24" t="e">
        <v>#N/A</v>
      </c>
    </row>
    <row r="28" spans="1:16384">
      <c r="A28" s="27" t="s">
        <v>90</v>
      </c>
      <c r="B28" s="27" t="s">
        <v>37</v>
      </c>
      <c r="C28" s="24">
        <v>33</v>
      </c>
      <c r="D28" s="24">
        <v>34.5</v>
      </c>
      <c r="E28" s="24">
        <v>35.6</v>
      </c>
      <c r="F28" s="24">
        <v>36.6</v>
      </c>
      <c r="G28" s="24">
        <v>37</v>
      </c>
    </row>
    <row r="29" spans="1:16384">
      <c r="A29" s="27" t="s">
        <v>84</v>
      </c>
      <c r="B29" s="27" t="s">
        <v>43</v>
      </c>
      <c r="C29" s="24">
        <v>35.799999999999997</v>
      </c>
      <c r="D29" s="24">
        <v>36.5</v>
      </c>
      <c r="E29" s="24">
        <v>36.700000000000003</v>
      </c>
      <c r="F29" s="24">
        <v>36.299999999999997</v>
      </c>
      <c r="G29" s="24">
        <v>36.1</v>
      </c>
    </row>
    <row r="30" spans="1:16384">
      <c r="A30" s="27" t="s">
        <v>83</v>
      </c>
      <c r="B30" s="27" t="s">
        <v>44</v>
      </c>
      <c r="C30" s="24">
        <v>35</v>
      </c>
      <c r="D30" s="24">
        <v>36.299999999999997</v>
      </c>
      <c r="E30" s="24">
        <v>38.4</v>
      </c>
      <c r="F30" s="24">
        <v>40.200000000000003</v>
      </c>
      <c r="G30" s="24">
        <v>41.6</v>
      </c>
    </row>
    <row r="31" spans="1:16384">
      <c r="A31" s="27" t="s">
        <v>112</v>
      </c>
      <c r="B31" s="27" t="s">
        <v>16</v>
      </c>
      <c r="C31" s="24">
        <v>32.1</v>
      </c>
      <c r="D31" s="24">
        <v>34.700000000000003</v>
      </c>
      <c r="E31" s="24">
        <v>37</v>
      </c>
      <c r="F31" s="24">
        <v>38.5</v>
      </c>
      <c r="G31" s="24">
        <v>39</v>
      </c>
    </row>
    <row r="32" spans="1:16384">
      <c r="A32" s="27" t="s">
        <v>107</v>
      </c>
      <c r="B32" s="27" t="s">
        <v>20</v>
      </c>
      <c r="C32" s="24">
        <v>30.2</v>
      </c>
      <c r="D32" s="24">
        <v>31.4</v>
      </c>
      <c r="E32" s="24">
        <v>32.200000000000003</v>
      </c>
      <c r="F32" s="24">
        <v>32.4</v>
      </c>
      <c r="G32" s="24">
        <v>32.5</v>
      </c>
    </row>
    <row r="33" spans="1:7">
      <c r="A33" s="27" t="s">
        <v>93</v>
      </c>
      <c r="B33" s="27" t="s">
        <v>22</v>
      </c>
      <c r="C33" s="24">
        <v>31.6</v>
      </c>
      <c r="D33" s="24">
        <v>32.6</v>
      </c>
      <c r="E33" s="24">
        <v>33.799999999999997</v>
      </c>
      <c r="F33" s="24">
        <v>34.5</v>
      </c>
      <c r="G33" s="24">
        <v>35.1</v>
      </c>
    </row>
    <row r="34" spans="1:7">
      <c r="A34" s="27" t="s">
        <v>105</v>
      </c>
      <c r="B34" s="27" t="s">
        <v>26</v>
      </c>
      <c r="C34" s="24">
        <v>34</v>
      </c>
      <c r="D34" s="24">
        <v>35.299999999999997</v>
      </c>
      <c r="E34" s="24">
        <v>36.299999999999997</v>
      </c>
      <c r="F34" s="24">
        <v>36.299999999999997</v>
      </c>
      <c r="G34" s="24">
        <v>36.299999999999997</v>
      </c>
    </row>
    <row r="35" spans="1:7">
      <c r="A35" s="27" t="s">
        <v>100</v>
      </c>
      <c r="B35" s="27" t="s">
        <v>36</v>
      </c>
      <c r="C35" s="24">
        <v>37.799999999999997</v>
      </c>
      <c r="D35" s="24">
        <v>38.200000000000003</v>
      </c>
      <c r="E35" s="24">
        <v>38.700000000000003</v>
      </c>
      <c r="F35" s="24">
        <v>38.6</v>
      </c>
      <c r="G35" s="24">
        <v>38.700000000000003</v>
      </c>
    </row>
    <row r="36" spans="1:7">
      <c r="A36" s="27" t="s">
        <v>101</v>
      </c>
      <c r="B36" s="27" t="s">
        <v>27</v>
      </c>
      <c r="C36" s="24">
        <v>31.4</v>
      </c>
      <c r="D36" s="24">
        <v>32.6</v>
      </c>
      <c r="E36" s="24">
        <v>34.200000000000003</v>
      </c>
      <c r="F36" s="24">
        <v>35.299999999999997</v>
      </c>
      <c r="G36" s="24">
        <v>36</v>
      </c>
    </row>
    <row r="37" spans="1:7">
      <c r="A37" s="27" t="s">
        <v>91</v>
      </c>
      <c r="B37" s="27" t="s">
        <v>34</v>
      </c>
      <c r="C37" s="24">
        <v>35.799999999999997</v>
      </c>
      <c r="D37" s="24">
        <v>37.5</v>
      </c>
      <c r="E37" s="24">
        <v>38.9</v>
      </c>
      <c r="F37" s="24">
        <v>40.1</v>
      </c>
      <c r="G37" s="24">
        <v>40.700000000000003</v>
      </c>
    </row>
    <row r="38" spans="1:7">
      <c r="A38" s="27"/>
      <c r="B38" s="27"/>
      <c r="C38" s="26"/>
      <c r="D38" s="26"/>
      <c r="E38" s="26"/>
      <c r="F38" s="26"/>
    </row>
    <row r="39" spans="1:7">
      <c r="A39" s="27" t="s">
        <v>132</v>
      </c>
      <c r="B39" s="27" t="s">
        <v>47</v>
      </c>
      <c r="C39" s="433">
        <v>32.6</v>
      </c>
      <c r="D39" s="433">
        <v>33.799999999999997</v>
      </c>
      <c r="E39" s="433">
        <v>35.1</v>
      </c>
      <c r="F39" s="26">
        <v>36</v>
      </c>
      <c r="G39" s="24">
        <v>36.5</v>
      </c>
    </row>
    <row r="40" spans="1:7">
      <c r="A40" s="27"/>
      <c r="B40" s="6" t="s">
        <v>543</v>
      </c>
      <c r="C40" s="398" cm="1">
        <f t="array" ref="C40">AVERAGE(AVERAGEIFS(C$6:C$37,$B$6:$B$37,{"Na h-Eileanan Siar","Argyll and Bute","Shetland Islands","Highland","Orkney Islands","Scottish Borders","Dumfries and Galloway","Aberdeenshire"}))</f>
        <v>32.0625</v>
      </c>
      <c r="D40" s="398">
        <f>AVERAGE(AVERAGEIFS(D$6:D$37,$B$6:$B$37,{"Na h-Eileanan Siar","Argyll and Bute","Shetland Islands","Highland","Orkney Islands","Scottish Borders","Dumfries and Galloway","Aberdeenshire"}))</f>
        <v>33.462499999999999</v>
      </c>
      <c r="E40" s="398">
        <f>AVERAGE(AVERAGEIFS(E$6:E$37,$B$6:$B$37,{"Na h-Eileanan Siar","Argyll and Bute","Shetland Islands","Highland","Orkney Islands","Scottish Borders","Dumfries and Galloway","Aberdeenshire"}))</f>
        <v>35.0625</v>
      </c>
      <c r="F40" s="398">
        <f>AVERAGE(AVERAGEIFS(F$6:F$37,$B$6:$B$37,{"Na h-Eileanan Siar","Argyll and Bute","Shetland Islands","Highland","Orkney Islands","Scottish Borders","Dumfries and Galloway","Aberdeenshire"}))</f>
        <v>36.287500000000001</v>
      </c>
      <c r="G40" s="398">
        <f>AVERAGE(AVERAGEIFS(G$6:G$37,$B$6:$B$37,{"Na h-Eileanan Siar","Argyll and Bute","Shetland Islands","Highland","Orkney Islands","Scottish Borders","Dumfries and Galloway","Aberdeenshire"}))</f>
        <v>36.987499999999997</v>
      </c>
    </row>
    <row r="41" spans="1:7">
      <c r="A41" s="27"/>
      <c r="B41" s="6" t="s">
        <v>544</v>
      </c>
      <c r="C41" s="398">
        <f>AVERAGE(AVERAGEIFS(C$6:C$37,$B$6:$B$37,{"Perth and Kinross","Stirling","Moray","South Ayrshire","East Ayrshire","East Lothian","North Ayrshire","Fife"}))</f>
        <v>33.162499999999994</v>
      </c>
      <c r="D41" s="398">
        <f>AVERAGE(AVERAGEIFS(D$6:D$37,$B$6:$B$37,{"Perth and Kinross","Stirling","Moray","South Ayrshire","East Ayrshire","East Lothian","North Ayrshire","Fife"}))</f>
        <v>34.337499999999999</v>
      </c>
      <c r="E41" s="398">
        <f>AVERAGE(AVERAGEIFS(E$6:E$37,$B$6:$B$37,{"Perth and Kinross","Stirling","Moray","South Ayrshire","East Ayrshire","East Lothian","North Ayrshire","Fife"}))</f>
        <v>35.675000000000004</v>
      </c>
      <c r="F41" s="398">
        <f>AVERAGE(AVERAGEIFS(F$6:F$37,$B$6:$B$37,{"Perth and Kinross","Stirling","Moray","South Ayrshire","East Ayrshire","East Lothian","North Ayrshire","Fife"}))</f>
        <v>36.287500000000001</v>
      </c>
      <c r="G41" s="398">
        <f>AVERAGE(AVERAGEIFS(G$6:G$37,$B$6:$B$37,{"Perth and Kinross","Stirling","Moray","South Ayrshire","East Ayrshire","East Lothian","North Ayrshire","Fife"}))</f>
        <v>36.712499999999999</v>
      </c>
    </row>
    <row r="42" spans="1:7">
      <c r="A42" s="27"/>
      <c r="B42" s="6" t="s">
        <v>545</v>
      </c>
      <c r="C42" s="398">
        <f>AVERAGE(AVERAGEIFS(C$6:C$37,$B$6:$B$37,{"Angus","Clackmannanshire","Midlothian","South Lanarkshire","Inverclyde","Renfrewshire","West Lothian","East Renfrewshire"}))</f>
        <v>33.637500000000003</v>
      </c>
      <c r="D42" s="398">
        <f>AVERAGE(AVERAGEIFS(D$6:D$37,$B$6:$B$37,{"Angus","Clackmannanshire","Midlothian","South Lanarkshire","Inverclyde","Renfrewshire","West Lothian","East Renfrewshire"}))</f>
        <v>35.024999999999999</v>
      </c>
      <c r="E42" s="398">
        <f>AVERAGE(AVERAGEIFS(E$6:E$37,$B$6:$B$37,{"Angus","Clackmannanshire","Midlothian","South Lanarkshire","Inverclyde","Renfrewshire","West Lothian","East Renfrewshire"}))</f>
        <v>36.175000000000004</v>
      </c>
      <c r="F42" s="398">
        <f>AVERAGE(AVERAGEIFS(F$6:F$37,$B$6:$B$37,{"Angus","Clackmannanshire","Midlothian","South Lanarkshire","Inverclyde","Renfrewshire","West Lothian","East Renfrewshire"}))</f>
        <v>37.012500000000003</v>
      </c>
      <c r="G42" s="398">
        <f>AVERAGE(AVERAGEIFS(G$6:G$37,$B$6:$B$37,{"Angus","Clackmannanshire","Midlothian","South Lanarkshire","Inverclyde","Renfrewshire","West Lothian","East Renfrewshire"}))</f>
        <v>37.475000000000001</v>
      </c>
    </row>
    <row r="43" spans="1:7">
      <c r="A43" s="27"/>
      <c r="B43" s="6" t="s">
        <v>546</v>
      </c>
      <c r="C43" s="398">
        <f>AVERAGE(AVERAGEIFS(C$6:C$37,$B$6:$B$37,{"North Lanarkshire","Falkirk","East Dunbartonshire","Aberdeen City","Edinburgh, City of","West Dunbartonshire","Dundee City","Glasgow City"}))</f>
        <v>34.862499999999997</v>
      </c>
      <c r="D43" s="398">
        <f>AVERAGE(AVERAGEIFS(D$6:D$37,$B$6:$B$37,{"North Lanarkshire","Falkirk","East Dunbartonshire","Aberdeen City","Edinburgh, City of","West Dunbartonshire","Dundee City","Glasgow City"}))</f>
        <v>35.925000000000004</v>
      </c>
      <c r="E43" s="398">
        <f>AVERAGE(AVERAGEIFS(E$6:E$37,$B$6:$B$37,{"North Lanarkshire","Falkirk","East Dunbartonshire","Aberdeen City","Edinburgh, City of","West Dunbartonshire","Dundee City","Glasgow City"}))</f>
        <v>36.987499999999997</v>
      </c>
      <c r="F43" s="398">
        <f>AVERAGE(AVERAGEIFS(F$6:F$37,$B$6:$B$37,{"North Lanarkshire","Falkirk","East Dunbartonshire","Aberdeen City","Edinburgh, City of","West Dunbartonshire","Dundee City","Glasgow City"}))</f>
        <v>37.65</v>
      </c>
      <c r="G43" s="398">
        <f>AVERAGE(AVERAGEIFS(G$6:G$37,$B$6:$B$37,{"North Lanarkshire","Falkirk","East Dunbartonshire","Aberdeen City","Edinburgh, City of","West Dunbartonshire","Dundee City","Glasgow City"}))</f>
        <v>38.137500000000003</v>
      </c>
    </row>
    <row r="44" spans="1:7">
      <c r="A44" s="27" t="s">
        <v>131</v>
      </c>
      <c r="B44" s="27" t="s">
        <v>45</v>
      </c>
      <c r="C44" s="26">
        <v>34.6</v>
      </c>
      <c r="D44" s="26">
        <v>35.799999999999997</v>
      </c>
      <c r="E44" s="26">
        <v>37.1</v>
      </c>
      <c r="F44" s="26">
        <v>38</v>
      </c>
      <c r="G44" s="24">
        <v>38.5</v>
      </c>
    </row>
    <row r="45" spans="1:7">
      <c r="A45" s="27" t="s">
        <v>130</v>
      </c>
      <c r="B45" s="27" t="s">
        <v>46</v>
      </c>
      <c r="C45" s="26">
        <v>35.4</v>
      </c>
      <c r="D45" s="26">
        <v>36.6</v>
      </c>
      <c r="E45" s="26">
        <v>38.1</v>
      </c>
      <c r="F45" s="26">
        <v>39.1</v>
      </c>
      <c r="G45" s="24">
        <v>39.700000000000003</v>
      </c>
    </row>
    <row r="46" spans="1:7"/>
    <row r="47" spans="1:7">
      <c r="A47" s="25" t="s">
        <v>129</v>
      </c>
    </row>
    <row r="48" spans="1:7">
      <c r="A48" s="25" t="s">
        <v>128</v>
      </c>
    </row>
    <row r="49" spans="1:1">
      <c r="A49" s="25" t="s">
        <v>127</v>
      </c>
    </row>
    <row r="50" spans="1:1">
      <c r="A50" s="25" t="s">
        <v>126</v>
      </c>
    </row>
    <row r="51" spans="1:1">
      <c r="A51" s="25"/>
    </row>
    <row r="52" spans="1:1">
      <c r="A52" s="25" t="s">
        <v>125</v>
      </c>
    </row>
    <row r="53" spans="1:1"/>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sheetData>
  <conditionalFormatting sqref="C38:F45 G40:G43">
    <cfRule type="expression" dxfId="6" priority="1">
      <formula>$A38="Other"</formula>
    </cfRule>
    <cfRule type="expression" dxfId="5" priority="2">
      <formula>$A38="UK"</formula>
    </cfRule>
    <cfRule type="expression" dxfId="4" priority="3">
      <formula>$A38="NUTS2"</formula>
    </cfRule>
    <cfRule type="expression" dxfId="3" priority="4">
      <formula>$A38="NUTS1"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autoPageBreaks="0"/>
  </sheetPr>
  <dimension ref="A1:R89"/>
  <sheetViews>
    <sheetView zoomScale="55" zoomScaleNormal="55" workbookViewId="0">
      <selection activeCell="R25" sqref="R25"/>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8" ht="15.5">
      <c r="A1" s="1" t="s">
        <v>216</v>
      </c>
      <c r="B1" s="1"/>
      <c r="C1" s="1"/>
    </row>
    <row r="2" spans="1:18">
      <c r="A2" s="2" t="s">
        <v>207</v>
      </c>
      <c r="B2" s="2"/>
      <c r="C2" s="2"/>
    </row>
    <row r="4" spans="1:18">
      <c r="A4" s="6" t="s">
        <v>150</v>
      </c>
      <c r="B4" s="6"/>
      <c r="C4" s="6"/>
      <c r="D4" s="6" t="s">
        <v>82</v>
      </c>
      <c r="E4" s="6"/>
      <c r="F4" s="6"/>
      <c r="G4" s="6"/>
    </row>
    <row r="5" spans="1:18">
      <c r="A5" s="6" t="s">
        <v>149</v>
      </c>
      <c r="B5" s="6"/>
      <c r="C5" s="6"/>
      <c r="D5" s="6" t="s">
        <v>82</v>
      </c>
      <c r="E5" s="6"/>
      <c r="F5" s="6"/>
      <c r="G5" s="6"/>
    </row>
    <row r="6" spans="1:18">
      <c r="A6" s="6" t="s">
        <v>3</v>
      </c>
      <c r="B6" s="6"/>
      <c r="C6" s="6"/>
      <c r="D6" s="6" t="s">
        <v>531</v>
      </c>
      <c r="E6" s="6"/>
      <c r="F6" s="6"/>
      <c r="G6" s="6"/>
    </row>
    <row r="8" spans="1:18" ht="22" customHeight="1">
      <c r="A8" s="12" t="s">
        <v>5</v>
      </c>
      <c r="B8" s="12"/>
      <c r="C8" s="12"/>
      <c r="D8" s="65">
        <v>2017</v>
      </c>
      <c r="E8" s="65"/>
      <c r="F8" s="65"/>
      <c r="G8" s="12"/>
      <c r="H8" s="65">
        <v>2018</v>
      </c>
      <c r="I8" s="65"/>
      <c r="J8" s="65"/>
      <c r="K8" s="12"/>
      <c r="L8" s="65">
        <v>2019</v>
      </c>
      <c r="M8" s="65"/>
      <c r="N8" s="65"/>
      <c r="O8" s="12"/>
      <c r="P8" s="65">
        <v>2020</v>
      </c>
    </row>
    <row r="9" spans="1:18">
      <c r="A9" s="6" t="s">
        <v>14</v>
      </c>
      <c r="B9" s="10">
        <v>123672</v>
      </c>
      <c r="C9" s="411">
        <f>VLOOKUP($A9,$A$55:$E$89,2,FALSE)</f>
        <v>228800</v>
      </c>
      <c r="D9" s="388">
        <f>SUM(B9/SUM(C9/1000))</f>
        <v>540.52447552447552</v>
      </c>
      <c r="E9" s="9"/>
      <c r="F9" s="10">
        <v>134017</v>
      </c>
      <c r="G9" s="411">
        <f>VLOOKUP($A9,$A$55:$E$89,3,FALSE)</f>
        <v>227560</v>
      </c>
      <c r="H9" s="388">
        <f>SUM(F9/SUM(G9/1000))</f>
        <v>588.93039198453152</v>
      </c>
      <c r="I9" s="9"/>
      <c r="J9" s="10">
        <v>139034</v>
      </c>
      <c r="K9" s="411">
        <f>VLOOKUP($A9,$A$55:$E$89,4,FALSE)</f>
        <v>228670</v>
      </c>
      <c r="L9" s="388">
        <f>SUM(J9/SUM(K9/1000))</f>
        <v>608.0115450212096</v>
      </c>
      <c r="M9" s="9"/>
      <c r="N9" s="10">
        <v>141455</v>
      </c>
      <c r="O9" s="411">
        <f>VLOOKUP($A9,$A$55:$E$89,5,FALSE)</f>
        <v>229060</v>
      </c>
      <c r="P9" s="388">
        <f>SUM(N9/SUM(O9/1000))</f>
        <v>617.54562123461096</v>
      </c>
      <c r="Q9" s="9"/>
      <c r="R9" s="10"/>
    </row>
    <row r="10" spans="1:18">
      <c r="A10" s="6" t="s">
        <v>15</v>
      </c>
      <c r="B10" s="10">
        <v>36672</v>
      </c>
      <c r="C10" s="411">
        <f t="shared" ref="C10:C42" si="0">VLOOKUP($A10,$A$55:$E$89,2,FALSE)</f>
        <v>261800</v>
      </c>
      <c r="D10" s="388">
        <f t="shared" ref="D10:D34" si="1">SUM(B10/SUM(C10/1000))</f>
        <v>140.07639419404126</v>
      </c>
      <c r="E10" s="9"/>
      <c r="F10" s="10">
        <v>36863</v>
      </c>
      <c r="G10" s="411">
        <f t="shared" ref="G10:G42" si="2">VLOOKUP($A10,$A$55:$E$89,3,FALSE)</f>
        <v>261470</v>
      </c>
      <c r="H10" s="388">
        <f t="shared" ref="H10:H34" si="3">SUM(F10/SUM(G10/1000))</f>
        <v>140.98366925459899</v>
      </c>
      <c r="I10" s="9"/>
      <c r="J10" s="10">
        <v>39934</v>
      </c>
      <c r="K10" s="411">
        <f t="shared" ref="K10:K42" si="4">VLOOKUP($A10,$A$55:$E$89,4,FALSE)</f>
        <v>261210</v>
      </c>
      <c r="L10" s="388">
        <f t="shared" ref="L10:L35" si="5">SUM(J10/SUM(K10/1000))</f>
        <v>152.8808238581984</v>
      </c>
      <c r="M10" s="9"/>
      <c r="N10" s="10">
        <v>38685</v>
      </c>
      <c r="O10" s="411">
        <f t="shared" ref="O10:O42" si="6">VLOOKUP($A10,$A$55:$E$89,5,FALSE)</f>
        <v>260780</v>
      </c>
      <c r="P10" s="388">
        <f t="shared" ref="P10:P35" si="7">SUM(N10/SUM(O10/1000))</f>
        <v>148.34343124472738</v>
      </c>
      <c r="Q10" s="9"/>
    </row>
    <row r="11" spans="1:18">
      <c r="A11" s="6" t="s">
        <v>16</v>
      </c>
      <c r="B11" s="10">
        <v>6455</v>
      </c>
      <c r="C11" s="411">
        <f t="shared" si="0"/>
        <v>116280</v>
      </c>
      <c r="D11" s="388">
        <f t="shared" si="1"/>
        <v>55.512555899552801</v>
      </c>
      <c r="E11" s="9"/>
      <c r="F11" s="10">
        <v>4458</v>
      </c>
      <c r="G11" s="411">
        <f t="shared" si="2"/>
        <v>116040</v>
      </c>
      <c r="H11" s="388">
        <f t="shared" si="3"/>
        <v>38.41778697001034</v>
      </c>
      <c r="I11" s="9"/>
      <c r="J11" s="10">
        <v>2472</v>
      </c>
      <c r="K11" s="411">
        <f t="shared" si="4"/>
        <v>116200</v>
      </c>
      <c r="L11" s="388">
        <f t="shared" si="5"/>
        <v>21.273666092943202</v>
      </c>
      <c r="M11" s="9"/>
      <c r="N11" s="10">
        <v>3647</v>
      </c>
      <c r="O11" s="411">
        <f t="shared" si="6"/>
        <v>115820</v>
      </c>
      <c r="P11" s="388">
        <f t="shared" si="7"/>
        <v>31.488516663788641</v>
      </c>
      <c r="Q11" s="9"/>
    </row>
    <row r="12" spans="1:18">
      <c r="A12" s="6" t="s">
        <v>17</v>
      </c>
      <c r="B12" s="10">
        <v>1836</v>
      </c>
      <c r="C12" s="411">
        <f t="shared" si="0"/>
        <v>86810</v>
      </c>
      <c r="D12" s="388">
        <f t="shared" si="1"/>
        <v>21.149637138578505</v>
      </c>
      <c r="E12" s="9"/>
      <c r="F12" s="10">
        <v>1940</v>
      </c>
      <c r="G12" s="411">
        <f t="shared" si="2"/>
        <v>86260</v>
      </c>
      <c r="H12" s="388">
        <f t="shared" si="3"/>
        <v>22.490146070020867</v>
      </c>
      <c r="I12" s="9"/>
      <c r="J12" s="10">
        <v>1684</v>
      </c>
      <c r="K12" s="411">
        <f t="shared" si="4"/>
        <v>85870</v>
      </c>
      <c r="L12" s="388">
        <f t="shared" si="5"/>
        <v>19.611039944101549</v>
      </c>
      <c r="M12" s="9"/>
      <c r="N12" s="10">
        <v>3505</v>
      </c>
      <c r="O12" s="411">
        <f t="shared" si="6"/>
        <v>85430</v>
      </c>
      <c r="P12" s="388">
        <f t="shared" si="7"/>
        <v>41.027742011003156</v>
      </c>
      <c r="Q12" s="9"/>
    </row>
    <row r="13" spans="1:18">
      <c r="A13" s="6" t="s">
        <v>189</v>
      </c>
      <c r="B13" s="10">
        <v>397525</v>
      </c>
      <c r="C13" s="411">
        <f t="shared" si="0"/>
        <v>513210</v>
      </c>
      <c r="D13" s="388">
        <f t="shared" si="1"/>
        <v>774.58545234894098</v>
      </c>
      <c r="E13" s="9"/>
      <c r="F13" s="10">
        <v>471070</v>
      </c>
      <c r="G13" s="411">
        <f t="shared" si="2"/>
        <v>518500</v>
      </c>
      <c r="H13" s="388">
        <f t="shared" si="3"/>
        <v>908.52459016393448</v>
      </c>
      <c r="I13" s="9"/>
      <c r="J13" s="10">
        <v>492385</v>
      </c>
      <c r="K13" s="411">
        <f t="shared" si="4"/>
        <v>524930</v>
      </c>
      <c r="L13" s="388">
        <f t="shared" si="5"/>
        <v>938.00125731049866</v>
      </c>
      <c r="M13" s="9"/>
      <c r="N13" s="10">
        <v>442160</v>
      </c>
      <c r="O13" s="411">
        <f t="shared" si="6"/>
        <v>527620</v>
      </c>
      <c r="P13" s="388">
        <f t="shared" si="7"/>
        <v>838.0273681816459</v>
      </c>
      <c r="Q13" s="9"/>
    </row>
    <row r="14" spans="1:18">
      <c r="A14" s="6" t="s">
        <v>18</v>
      </c>
      <c r="B14" s="10">
        <v>2340</v>
      </c>
      <c r="C14" s="411">
        <f t="shared" si="0"/>
        <v>51450</v>
      </c>
      <c r="D14" s="388">
        <f t="shared" si="1"/>
        <v>45.481049562682216</v>
      </c>
      <c r="E14" s="9"/>
      <c r="F14" s="10">
        <v>2506</v>
      </c>
      <c r="G14" s="411">
        <f t="shared" si="2"/>
        <v>51400</v>
      </c>
      <c r="H14" s="388">
        <f t="shared" si="3"/>
        <v>48.754863813229576</v>
      </c>
      <c r="I14" s="9"/>
      <c r="J14" s="10">
        <v>2342</v>
      </c>
      <c r="K14" s="411">
        <f t="shared" si="4"/>
        <v>51540</v>
      </c>
      <c r="L14" s="388">
        <f t="shared" si="5"/>
        <v>45.440434613892123</v>
      </c>
      <c r="M14" s="9"/>
      <c r="N14" s="10">
        <v>4588</v>
      </c>
      <c r="O14" s="411">
        <f t="shared" si="6"/>
        <v>51290</v>
      </c>
      <c r="P14" s="388">
        <f t="shared" si="7"/>
        <v>89.452134919087541</v>
      </c>
      <c r="Q14" s="9"/>
    </row>
    <row r="15" spans="1:18">
      <c r="A15" s="6" t="s">
        <v>19</v>
      </c>
      <c r="B15" s="10">
        <v>6692</v>
      </c>
      <c r="C15" s="411">
        <f t="shared" si="0"/>
        <v>149200</v>
      </c>
      <c r="D15" s="388">
        <f t="shared" si="1"/>
        <v>44.852546916890084</v>
      </c>
      <c r="E15" s="9"/>
      <c r="F15" s="10">
        <v>6732</v>
      </c>
      <c r="G15" s="411">
        <f t="shared" si="2"/>
        <v>148790</v>
      </c>
      <c r="H15" s="388">
        <f t="shared" si="3"/>
        <v>45.244976140869682</v>
      </c>
      <c r="I15" s="9"/>
      <c r="J15" s="10">
        <v>5964</v>
      </c>
      <c r="K15" s="411">
        <f t="shared" si="4"/>
        <v>148860</v>
      </c>
      <c r="L15" s="388">
        <f t="shared" si="5"/>
        <v>40.064490124949614</v>
      </c>
      <c r="M15" s="9"/>
      <c r="N15" s="10">
        <v>7473</v>
      </c>
      <c r="O15" s="411">
        <f t="shared" si="6"/>
        <v>148290</v>
      </c>
      <c r="P15" s="388">
        <f t="shared" si="7"/>
        <v>50.394497268865067</v>
      </c>
      <c r="Q15" s="9"/>
    </row>
    <row r="16" spans="1:18">
      <c r="A16" s="6" t="s">
        <v>20</v>
      </c>
      <c r="B16" s="10">
        <v>38699</v>
      </c>
      <c r="C16" s="411">
        <f t="shared" si="0"/>
        <v>148710</v>
      </c>
      <c r="D16" s="388">
        <f t="shared" si="1"/>
        <v>260.23132270862749</v>
      </c>
      <c r="E16" s="9"/>
      <c r="F16" s="10">
        <v>47489</v>
      </c>
      <c r="G16" s="411">
        <f t="shared" si="2"/>
        <v>148750</v>
      </c>
      <c r="H16" s="388">
        <f t="shared" si="3"/>
        <v>319.25378151260503</v>
      </c>
      <c r="I16" s="9"/>
      <c r="J16" s="10">
        <v>44786</v>
      </c>
      <c r="K16" s="411">
        <f t="shared" si="4"/>
        <v>149320</v>
      </c>
      <c r="L16" s="388">
        <f t="shared" si="5"/>
        <v>299.93302973479774</v>
      </c>
      <c r="M16" s="9"/>
      <c r="N16" s="10">
        <v>54798</v>
      </c>
      <c r="O16" s="411">
        <f t="shared" si="6"/>
        <v>148820</v>
      </c>
      <c r="P16" s="388">
        <f t="shared" si="7"/>
        <v>368.21663754871656</v>
      </c>
      <c r="Q16" s="9"/>
    </row>
    <row r="17" spans="1:17">
      <c r="A17" s="6" t="s">
        <v>21</v>
      </c>
      <c r="B17" s="10">
        <v>3157</v>
      </c>
      <c r="C17" s="411">
        <f t="shared" si="0"/>
        <v>121940</v>
      </c>
      <c r="D17" s="388">
        <f t="shared" si="1"/>
        <v>25.889781859931116</v>
      </c>
      <c r="E17" s="9"/>
      <c r="F17" s="10">
        <v>2642</v>
      </c>
      <c r="G17" s="411">
        <f t="shared" si="2"/>
        <v>121840</v>
      </c>
      <c r="H17" s="388">
        <f t="shared" si="3"/>
        <v>21.684175968483256</v>
      </c>
      <c r="I17" s="9"/>
      <c r="J17" s="10">
        <v>3369</v>
      </c>
      <c r="K17" s="411">
        <f t="shared" si="4"/>
        <v>122010</v>
      </c>
      <c r="L17" s="388">
        <f t="shared" si="5"/>
        <v>27.612490779444308</v>
      </c>
      <c r="M17" s="9"/>
      <c r="N17" s="10">
        <v>3539</v>
      </c>
      <c r="O17" s="411">
        <f t="shared" si="6"/>
        <v>121600</v>
      </c>
      <c r="P17" s="388">
        <f t="shared" si="7"/>
        <v>29.103618421052634</v>
      </c>
      <c r="Q17" s="9"/>
    </row>
    <row r="18" spans="1:17">
      <c r="A18" s="6" t="s">
        <v>22</v>
      </c>
      <c r="B18" s="10">
        <v>1895</v>
      </c>
      <c r="C18" s="411">
        <f t="shared" si="0"/>
        <v>108130</v>
      </c>
      <c r="D18" s="388">
        <f t="shared" si="1"/>
        <v>17.525201146767781</v>
      </c>
      <c r="E18" s="9"/>
      <c r="F18" s="10"/>
      <c r="G18" s="10"/>
      <c r="H18" s="9"/>
      <c r="I18" s="9"/>
      <c r="J18" s="10">
        <v>2096</v>
      </c>
      <c r="K18" s="411">
        <f t="shared" si="4"/>
        <v>108640</v>
      </c>
      <c r="L18" s="388">
        <f t="shared" si="5"/>
        <v>19.293078055964653</v>
      </c>
      <c r="M18" s="9"/>
      <c r="N18" s="10">
        <v>2345</v>
      </c>
      <c r="O18" s="411">
        <f t="shared" si="6"/>
        <v>108750</v>
      </c>
      <c r="P18" s="388">
        <f t="shared" si="7"/>
        <v>21.563218390804597</v>
      </c>
      <c r="Q18" s="9"/>
    </row>
    <row r="19" spans="1:17">
      <c r="A19" s="6" t="s">
        <v>23</v>
      </c>
      <c r="B19" s="10">
        <v>5993</v>
      </c>
      <c r="C19" s="411">
        <f t="shared" si="0"/>
        <v>104840</v>
      </c>
      <c r="D19" s="388">
        <f t="shared" si="1"/>
        <v>57.163296451735974</v>
      </c>
      <c r="E19" s="9"/>
      <c r="F19" s="10">
        <v>7721</v>
      </c>
      <c r="G19" s="411">
        <f t="shared" si="2"/>
        <v>105790</v>
      </c>
      <c r="H19" s="388">
        <f t="shared" si="3"/>
        <v>72.98421400888553</v>
      </c>
      <c r="I19" s="9"/>
      <c r="J19" s="10">
        <v>6096</v>
      </c>
      <c r="K19" s="411">
        <f t="shared" si="4"/>
        <v>107090</v>
      </c>
      <c r="L19" s="388">
        <f t="shared" si="5"/>
        <v>56.924082547390043</v>
      </c>
      <c r="M19" s="9"/>
      <c r="N19" s="10">
        <v>9716</v>
      </c>
      <c r="O19" s="411">
        <f t="shared" si="6"/>
        <v>107900</v>
      </c>
      <c r="P19" s="388">
        <f t="shared" si="7"/>
        <v>90.046339202965697</v>
      </c>
      <c r="Q19" s="9"/>
    </row>
    <row r="20" spans="1:17">
      <c r="A20" s="6" t="s">
        <v>24</v>
      </c>
      <c r="B20" s="10">
        <v>3591</v>
      </c>
      <c r="C20" s="411">
        <f t="shared" si="0"/>
        <v>94760</v>
      </c>
      <c r="D20" s="388">
        <f t="shared" si="1"/>
        <v>37.895736597720557</v>
      </c>
      <c r="E20" s="9"/>
      <c r="F20" s="10">
        <v>3566</v>
      </c>
      <c r="G20" s="411">
        <f t="shared" si="2"/>
        <v>95170</v>
      </c>
      <c r="H20" s="388">
        <f t="shared" si="3"/>
        <v>37.469790900493855</v>
      </c>
      <c r="I20" s="9"/>
      <c r="J20" s="10">
        <v>3602</v>
      </c>
      <c r="K20" s="411">
        <f t="shared" si="4"/>
        <v>95530</v>
      </c>
      <c r="L20" s="388">
        <f t="shared" si="5"/>
        <v>37.705432848319901</v>
      </c>
      <c r="M20" s="9"/>
      <c r="N20" s="10">
        <v>5471</v>
      </c>
      <c r="O20" s="411">
        <f t="shared" si="6"/>
        <v>96060</v>
      </c>
      <c r="P20" s="388">
        <f t="shared" si="7"/>
        <v>56.953987091401203</v>
      </c>
      <c r="Q20" s="9"/>
    </row>
    <row r="21" spans="1:17">
      <c r="A21" s="6" t="s">
        <v>25</v>
      </c>
      <c r="B21" s="10">
        <v>10403</v>
      </c>
      <c r="C21" s="411">
        <f t="shared" si="0"/>
        <v>160130</v>
      </c>
      <c r="D21" s="388">
        <f t="shared" si="1"/>
        <v>64.965965153312936</v>
      </c>
      <c r="E21" s="9"/>
      <c r="F21" s="10">
        <v>10529</v>
      </c>
      <c r="G21" s="411">
        <f t="shared" si="2"/>
        <v>160340</v>
      </c>
      <c r="H21" s="388">
        <f t="shared" si="3"/>
        <v>65.666708244979418</v>
      </c>
      <c r="I21" s="9"/>
      <c r="J21" s="10">
        <v>9405</v>
      </c>
      <c r="K21" s="411">
        <f t="shared" si="4"/>
        <v>160890</v>
      </c>
      <c r="L21" s="388">
        <f t="shared" si="5"/>
        <v>58.456088010441924</v>
      </c>
      <c r="M21" s="9"/>
      <c r="N21" s="10">
        <v>8233</v>
      </c>
      <c r="O21" s="411">
        <f t="shared" si="6"/>
        <v>160560</v>
      </c>
      <c r="P21" s="388">
        <f t="shared" si="7"/>
        <v>51.276781265570506</v>
      </c>
      <c r="Q21" s="9"/>
    </row>
    <row r="22" spans="1:17">
      <c r="A22" s="6" t="s">
        <v>26</v>
      </c>
      <c r="B22" s="10">
        <v>29452</v>
      </c>
      <c r="C22" s="411">
        <f t="shared" si="0"/>
        <v>371410</v>
      </c>
      <c r="D22" s="388">
        <f t="shared" si="1"/>
        <v>79.297811044398372</v>
      </c>
      <c r="E22" s="9"/>
      <c r="F22" s="10">
        <v>46449</v>
      </c>
      <c r="G22" s="411">
        <f t="shared" si="2"/>
        <v>371910</v>
      </c>
      <c r="H22" s="388">
        <f t="shared" si="3"/>
        <v>124.89311930305718</v>
      </c>
      <c r="I22" s="9"/>
      <c r="J22" s="10">
        <v>48086</v>
      </c>
      <c r="K22" s="411">
        <f t="shared" si="4"/>
        <v>373550</v>
      </c>
      <c r="L22" s="388">
        <f t="shared" si="5"/>
        <v>128.72707803506893</v>
      </c>
      <c r="M22" s="9"/>
      <c r="N22" s="10">
        <v>59036</v>
      </c>
      <c r="O22" s="411">
        <f t="shared" si="6"/>
        <v>374130</v>
      </c>
      <c r="P22" s="388">
        <f t="shared" si="7"/>
        <v>157.79541870472829</v>
      </c>
      <c r="Q22" s="9"/>
    </row>
    <row r="23" spans="1:17">
      <c r="A23" s="6" t="s">
        <v>27</v>
      </c>
      <c r="B23" s="10">
        <v>204079</v>
      </c>
      <c r="C23" s="411">
        <f t="shared" si="0"/>
        <v>621020</v>
      </c>
      <c r="D23" s="388">
        <f t="shared" si="1"/>
        <v>328.61904608547229</v>
      </c>
      <c r="E23" s="9"/>
      <c r="F23" s="10">
        <v>190156</v>
      </c>
      <c r="G23" s="411">
        <f t="shared" si="2"/>
        <v>626410</v>
      </c>
      <c r="H23" s="388">
        <f t="shared" si="3"/>
        <v>303.56475790616372</v>
      </c>
      <c r="I23" s="9"/>
      <c r="J23" s="10">
        <v>220438</v>
      </c>
      <c r="K23" s="411">
        <f t="shared" si="4"/>
        <v>633120</v>
      </c>
      <c r="L23" s="388">
        <f t="shared" si="5"/>
        <v>348.17728076825875</v>
      </c>
      <c r="M23" s="9"/>
      <c r="N23" s="10">
        <v>204760</v>
      </c>
      <c r="O23" s="411">
        <f t="shared" si="6"/>
        <v>635640</v>
      </c>
      <c r="P23" s="388">
        <f t="shared" si="7"/>
        <v>322.13202441633632</v>
      </c>
      <c r="Q23" s="9"/>
    </row>
    <row r="24" spans="1:17">
      <c r="A24" s="6" t="s">
        <v>28</v>
      </c>
      <c r="B24" s="10">
        <v>22710</v>
      </c>
      <c r="C24" s="411">
        <f t="shared" si="0"/>
        <v>235180</v>
      </c>
      <c r="D24" s="388">
        <f t="shared" si="1"/>
        <v>96.564333701845399</v>
      </c>
      <c r="E24" s="9"/>
      <c r="F24" s="10">
        <v>19361</v>
      </c>
      <c r="G24" s="411">
        <f t="shared" si="2"/>
        <v>235540</v>
      </c>
      <c r="H24" s="388">
        <f t="shared" si="3"/>
        <v>82.198352721406138</v>
      </c>
      <c r="I24" s="9"/>
      <c r="J24" s="10">
        <v>21034</v>
      </c>
      <c r="K24" s="411">
        <f t="shared" si="4"/>
        <v>235830</v>
      </c>
      <c r="L24" s="388">
        <f t="shared" si="5"/>
        <v>89.191366662426319</v>
      </c>
      <c r="M24" s="9"/>
      <c r="N24" s="10">
        <v>16276</v>
      </c>
      <c r="O24" s="411">
        <f t="shared" si="6"/>
        <v>235430</v>
      </c>
      <c r="P24" s="388">
        <f t="shared" si="7"/>
        <v>69.133075648812806</v>
      </c>
      <c r="Q24" s="9"/>
    </row>
    <row r="25" spans="1:17">
      <c r="A25" s="6" t="s">
        <v>29</v>
      </c>
      <c r="B25" s="10">
        <v>3365</v>
      </c>
      <c r="C25" s="411">
        <f t="shared" si="0"/>
        <v>78760</v>
      </c>
      <c r="D25" s="388">
        <f t="shared" si="1"/>
        <v>42.724733367191462</v>
      </c>
      <c r="E25" s="9"/>
      <c r="F25" s="10">
        <v>4430</v>
      </c>
      <c r="G25" s="411">
        <f t="shared" si="2"/>
        <v>78150</v>
      </c>
      <c r="H25" s="388">
        <f t="shared" si="3"/>
        <v>56.685860524632112</v>
      </c>
      <c r="I25" s="9"/>
      <c r="J25" s="10">
        <v>3745</v>
      </c>
      <c r="K25" s="411">
        <f t="shared" si="4"/>
        <v>77800</v>
      </c>
      <c r="L25" s="388">
        <f t="shared" si="5"/>
        <v>48.136246786632391</v>
      </c>
      <c r="M25" s="9"/>
      <c r="N25" s="10">
        <v>12752</v>
      </c>
      <c r="O25" s="411">
        <f t="shared" si="6"/>
        <v>77060</v>
      </c>
      <c r="P25" s="388">
        <f t="shared" si="7"/>
        <v>165.4814430314041</v>
      </c>
      <c r="Q25" s="9"/>
    </row>
    <row r="26" spans="1:17">
      <c r="A26" s="6" t="s">
        <v>30</v>
      </c>
      <c r="B26" s="10">
        <v>18131</v>
      </c>
      <c r="C26" s="411">
        <f t="shared" si="0"/>
        <v>90090</v>
      </c>
      <c r="D26" s="388">
        <f t="shared" si="1"/>
        <v>201.25430125430125</v>
      </c>
      <c r="E26" s="9"/>
      <c r="F26" s="10">
        <v>20555</v>
      </c>
      <c r="G26" s="411">
        <f t="shared" si="2"/>
        <v>91340</v>
      </c>
      <c r="H26" s="388">
        <f t="shared" si="3"/>
        <v>225.03831837092181</v>
      </c>
      <c r="I26" s="9"/>
      <c r="J26" s="10">
        <v>20065</v>
      </c>
      <c r="K26" s="411">
        <f t="shared" si="4"/>
        <v>92460</v>
      </c>
      <c r="L26" s="388">
        <f t="shared" si="5"/>
        <v>217.01276227557864</v>
      </c>
      <c r="M26" s="9"/>
      <c r="N26" s="10">
        <v>22782</v>
      </c>
      <c r="O26" s="411">
        <f t="shared" si="6"/>
        <v>93150</v>
      </c>
      <c r="P26" s="388">
        <f t="shared" si="7"/>
        <v>244.57326892109501</v>
      </c>
      <c r="Q26" s="9"/>
    </row>
    <row r="27" spans="1:17">
      <c r="A27" s="6" t="s">
        <v>31</v>
      </c>
      <c r="B27" s="10">
        <v>3022</v>
      </c>
      <c r="C27" s="411">
        <f t="shared" si="0"/>
        <v>95780</v>
      </c>
      <c r="D27" s="388">
        <f t="shared" si="1"/>
        <v>31.55147212361662</v>
      </c>
      <c r="E27" s="9"/>
      <c r="F27" s="10">
        <v>3132</v>
      </c>
      <c r="G27" s="411">
        <f t="shared" si="2"/>
        <v>95520</v>
      </c>
      <c r="H27" s="388">
        <f t="shared" si="3"/>
        <v>32.788944723618094</v>
      </c>
      <c r="I27" s="9"/>
      <c r="J27" s="10">
        <v>3106</v>
      </c>
      <c r="K27" s="411">
        <f t="shared" si="4"/>
        <v>95820</v>
      </c>
      <c r="L27" s="388">
        <f t="shared" si="5"/>
        <v>32.414944687956584</v>
      </c>
      <c r="M27" s="9"/>
      <c r="N27" s="10">
        <v>3664</v>
      </c>
      <c r="O27" s="411">
        <f t="shared" si="6"/>
        <v>95710</v>
      </c>
      <c r="P27" s="388">
        <f t="shared" si="7"/>
        <v>38.282311148260369</v>
      </c>
      <c r="Q27" s="9"/>
    </row>
    <row r="28" spans="1:17">
      <c r="A28" s="6" t="s">
        <v>32</v>
      </c>
      <c r="B28" s="10" t="s">
        <v>69</v>
      </c>
      <c r="C28" s="10" t="s">
        <v>69</v>
      </c>
      <c r="D28" s="9" t="s">
        <v>69</v>
      </c>
      <c r="E28" s="9"/>
      <c r="F28" s="10" t="s">
        <v>69</v>
      </c>
      <c r="G28" s="10" t="s">
        <v>69</v>
      </c>
      <c r="H28" s="9" t="s">
        <v>69</v>
      </c>
      <c r="I28" s="9"/>
      <c r="J28" s="10" t="s">
        <v>69</v>
      </c>
      <c r="K28" s="10" t="s">
        <v>69</v>
      </c>
      <c r="L28" s="9" t="s">
        <v>69</v>
      </c>
      <c r="M28" s="9"/>
      <c r="N28" s="10" t="s">
        <v>69</v>
      </c>
      <c r="O28" s="10" t="s">
        <v>69</v>
      </c>
      <c r="P28" s="9" t="s">
        <v>69</v>
      </c>
      <c r="Q28" s="9"/>
    </row>
    <row r="29" spans="1:17">
      <c r="A29" s="6" t="s">
        <v>33</v>
      </c>
      <c r="B29" s="10">
        <v>5158</v>
      </c>
      <c r="C29" s="411">
        <f t="shared" si="0"/>
        <v>135790</v>
      </c>
      <c r="D29" s="388">
        <f t="shared" si="1"/>
        <v>37.985124088666325</v>
      </c>
      <c r="E29" s="9"/>
      <c r="F29" s="10">
        <v>5369</v>
      </c>
      <c r="G29" s="411">
        <f t="shared" si="2"/>
        <v>135280</v>
      </c>
      <c r="H29" s="388">
        <f t="shared" si="3"/>
        <v>39.688054405677114</v>
      </c>
      <c r="I29" s="9"/>
      <c r="J29" s="10">
        <v>5713</v>
      </c>
      <c r="K29" s="411">
        <f t="shared" si="4"/>
        <v>134740</v>
      </c>
      <c r="L29" s="388">
        <f t="shared" si="5"/>
        <v>42.400178120825288</v>
      </c>
      <c r="M29" s="9"/>
      <c r="N29" s="10">
        <v>6725</v>
      </c>
      <c r="O29" s="411">
        <f t="shared" si="6"/>
        <v>134250</v>
      </c>
      <c r="P29" s="388">
        <f t="shared" si="7"/>
        <v>50.093109869646185</v>
      </c>
      <c r="Q29" s="9"/>
    </row>
    <row r="30" spans="1:17">
      <c r="A30" s="6" t="s">
        <v>34</v>
      </c>
      <c r="B30" s="10">
        <v>63966</v>
      </c>
      <c r="C30" s="411">
        <f t="shared" si="0"/>
        <v>339960</v>
      </c>
      <c r="D30" s="388">
        <f t="shared" si="1"/>
        <v>188.15743028591601</v>
      </c>
      <c r="E30" s="9"/>
      <c r="F30" s="10">
        <v>65947</v>
      </c>
      <c r="G30" s="411">
        <f t="shared" si="2"/>
        <v>340180</v>
      </c>
      <c r="H30" s="388">
        <f t="shared" si="3"/>
        <v>193.85913339996472</v>
      </c>
      <c r="I30" s="9"/>
      <c r="J30" s="10">
        <v>68162</v>
      </c>
      <c r="K30" s="411">
        <f t="shared" si="4"/>
        <v>341370</v>
      </c>
      <c r="L30" s="388">
        <f t="shared" si="5"/>
        <v>199.67191024401674</v>
      </c>
      <c r="M30" s="9"/>
      <c r="N30" s="10">
        <v>70271</v>
      </c>
      <c r="O30" s="411">
        <f t="shared" si="6"/>
        <v>341140</v>
      </c>
      <c r="P30" s="388">
        <f t="shared" si="7"/>
        <v>205.98874362431846</v>
      </c>
      <c r="Q30" s="9"/>
    </row>
    <row r="31" spans="1:17">
      <c r="A31" s="6" t="s">
        <v>35</v>
      </c>
      <c r="B31" s="10"/>
      <c r="C31" s="10"/>
      <c r="D31" s="9"/>
      <c r="E31" s="9"/>
      <c r="F31" s="10">
        <v>1755</v>
      </c>
      <c r="G31" s="411">
        <f t="shared" si="2"/>
        <v>22190</v>
      </c>
      <c r="H31" s="388">
        <f t="shared" si="3"/>
        <v>79.089680036052272</v>
      </c>
      <c r="I31" s="9"/>
      <c r="J31" s="10"/>
      <c r="K31" s="10"/>
      <c r="L31" s="9"/>
      <c r="M31" s="9"/>
      <c r="N31" s="10"/>
      <c r="O31" s="10"/>
      <c r="P31" s="9"/>
      <c r="Q31" s="9"/>
    </row>
    <row r="32" spans="1:17">
      <c r="A32" s="6" t="s">
        <v>36</v>
      </c>
      <c r="B32" s="10">
        <v>6584</v>
      </c>
      <c r="C32" s="411">
        <f t="shared" si="0"/>
        <v>151100</v>
      </c>
      <c r="D32" s="388">
        <f t="shared" si="1"/>
        <v>43.573792190602255</v>
      </c>
      <c r="E32" s="9"/>
      <c r="F32" s="10">
        <v>6763</v>
      </c>
      <c r="G32" s="411">
        <f t="shared" si="2"/>
        <v>151290</v>
      </c>
      <c r="H32" s="388">
        <f t="shared" si="3"/>
        <v>44.702227510079979</v>
      </c>
      <c r="I32" s="9"/>
      <c r="J32" s="10">
        <v>8289</v>
      </c>
      <c r="K32" s="411">
        <f t="shared" si="4"/>
        <v>151950</v>
      </c>
      <c r="L32" s="388">
        <f t="shared" si="5"/>
        <v>54.550839091806516</v>
      </c>
      <c r="M32" s="9"/>
      <c r="N32" s="10">
        <v>5929</v>
      </c>
      <c r="O32" s="411">
        <f t="shared" si="6"/>
        <v>151910</v>
      </c>
      <c r="P32" s="388">
        <f t="shared" si="7"/>
        <v>39.029688631426502</v>
      </c>
      <c r="Q32" s="9"/>
    </row>
    <row r="33" spans="1:18">
      <c r="A33" s="6" t="s">
        <v>37</v>
      </c>
      <c r="B33" s="10">
        <v>28326</v>
      </c>
      <c r="C33" s="411">
        <f t="shared" si="0"/>
        <v>176830</v>
      </c>
      <c r="D33" s="388">
        <f t="shared" si="1"/>
        <v>160.18775094723745</v>
      </c>
      <c r="E33" s="9"/>
      <c r="F33" s="10">
        <v>31744</v>
      </c>
      <c r="G33" s="411">
        <f t="shared" si="2"/>
        <v>177790</v>
      </c>
      <c r="H33" s="388">
        <f t="shared" si="3"/>
        <v>178.547724843917</v>
      </c>
      <c r="I33" s="9"/>
      <c r="J33" s="10">
        <v>36400</v>
      </c>
      <c r="K33" s="411">
        <f t="shared" si="4"/>
        <v>179100</v>
      </c>
      <c r="L33" s="388">
        <f t="shared" si="5"/>
        <v>203.23841429369068</v>
      </c>
      <c r="M33" s="9"/>
      <c r="N33" s="10">
        <v>35812</v>
      </c>
      <c r="O33" s="411">
        <f t="shared" si="6"/>
        <v>179390</v>
      </c>
      <c r="P33" s="388">
        <f t="shared" si="7"/>
        <v>199.63208651541336</v>
      </c>
      <c r="Q33" s="9"/>
    </row>
    <row r="34" spans="1:18">
      <c r="A34" s="6" t="s">
        <v>38</v>
      </c>
      <c r="B34" s="10">
        <v>7390</v>
      </c>
      <c r="C34" s="411">
        <f t="shared" si="0"/>
        <v>115020</v>
      </c>
      <c r="D34" s="388">
        <f t="shared" si="1"/>
        <v>64.249695705094766</v>
      </c>
      <c r="E34" s="9"/>
      <c r="F34" s="10">
        <v>7002</v>
      </c>
      <c r="G34" s="411">
        <f t="shared" si="2"/>
        <v>115270</v>
      </c>
      <c r="H34" s="388">
        <f t="shared" si="3"/>
        <v>60.744339377114599</v>
      </c>
      <c r="I34" s="9"/>
      <c r="J34" s="10">
        <v>9593</v>
      </c>
      <c r="K34" s="411">
        <f t="shared" si="4"/>
        <v>115510</v>
      </c>
      <c r="L34" s="388">
        <f t="shared" si="5"/>
        <v>83.049086659163706</v>
      </c>
      <c r="M34" s="9"/>
      <c r="N34" s="10">
        <v>10083</v>
      </c>
      <c r="O34" s="411">
        <f t="shared" si="6"/>
        <v>115240</v>
      </c>
      <c r="P34" s="388">
        <f t="shared" si="7"/>
        <v>87.495661228740019</v>
      </c>
      <c r="Q34" s="9"/>
    </row>
    <row r="35" spans="1:18">
      <c r="A35" s="6" t="s">
        <v>39</v>
      </c>
      <c r="B35" s="10" t="s">
        <v>69</v>
      </c>
      <c r="C35" s="10" t="s">
        <v>69</v>
      </c>
      <c r="D35" s="9" t="s">
        <v>69</v>
      </c>
      <c r="E35" s="9"/>
      <c r="F35" s="10" t="s">
        <v>69</v>
      </c>
      <c r="G35" s="10" t="s">
        <v>69</v>
      </c>
      <c r="H35" s="9" t="s">
        <v>69</v>
      </c>
      <c r="I35" s="9"/>
      <c r="J35" s="10">
        <v>1035</v>
      </c>
      <c r="K35" s="411">
        <f>VLOOKUP($A35,$A$55:$E$89,4,FALSE)</f>
        <v>22920</v>
      </c>
      <c r="L35" s="388">
        <f t="shared" si="5"/>
        <v>45.157068062827221</v>
      </c>
      <c r="M35" s="9"/>
      <c r="N35" s="10">
        <v>1076</v>
      </c>
      <c r="O35" s="411">
        <f>VLOOKUP($A35,$A$55:$E$89,5,FALSE)</f>
        <v>22870</v>
      </c>
      <c r="P35" s="388">
        <f t="shared" si="7"/>
        <v>47.048535198950589</v>
      </c>
      <c r="Q35" s="9"/>
    </row>
    <row r="36" spans="1:18">
      <c r="A36" s="6" t="s">
        <v>40</v>
      </c>
      <c r="B36" s="10">
        <v>9454</v>
      </c>
      <c r="C36" s="411">
        <f t="shared" si="0"/>
        <v>112680</v>
      </c>
      <c r="D36" s="388">
        <f t="shared" ref="D36:D42" si="8">SUM(B36/SUM(C36/1000))</f>
        <v>83.901313454029108</v>
      </c>
      <c r="E36" s="9"/>
      <c r="F36" s="10">
        <v>12302</v>
      </c>
      <c r="G36" s="411">
        <f t="shared" si="2"/>
        <v>112550</v>
      </c>
      <c r="H36" s="388">
        <f t="shared" ref="H36:H42" si="9">SUM(F36/SUM(G36/1000))</f>
        <v>109.3025322079076</v>
      </c>
      <c r="I36" s="9"/>
      <c r="J36" s="10">
        <v>9786</v>
      </c>
      <c r="K36" s="411">
        <f t="shared" si="4"/>
        <v>112610</v>
      </c>
      <c r="L36" s="388">
        <f t="shared" ref="L36:L42" si="10">SUM(J36/SUM(K36/1000))</f>
        <v>86.901696119349964</v>
      </c>
      <c r="M36" s="9"/>
      <c r="N36" s="10">
        <v>12227</v>
      </c>
      <c r="O36" s="411">
        <f t="shared" si="6"/>
        <v>112140</v>
      </c>
      <c r="P36" s="388">
        <f t="shared" ref="P36:P42" si="11">SUM(N36/SUM(O36/1000))</f>
        <v>109.03335116818263</v>
      </c>
      <c r="Q36" s="9"/>
    </row>
    <row r="37" spans="1:18">
      <c r="A37" s="6" t="s">
        <v>41</v>
      </c>
      <c r="B37" s="10">
        <v>21987</v>
      </c>
      <c r="C37" s="411">
        <f t="shared" si="0"/>
        <v>318170</v>
      </c>
      <c r="D37" s="388">
        <f t="shared" si="8"/>
        <v>69.104566741050377</v>
      </c>
      <c r="E37" s="9"/>
      <c r="F37" s="10">
        <v>22645</v>
      </c>
      <c r="G37" s="411">
        <f t="shared" si="2"/>
        <v>319020</v>
      </c>
      <c r="H37" s="388">
        <f t="shared" si="9"/>
        <v>70.983010469563041</v>
      </c>
      <c r="I37" s="9"/>
      <c r="J37" s="10">
        <v>25951</v>
      </c>
      <c r="K37" s="411">
        <f t="shared" si="4"/>
        <v>320530</v>
      </c>
      <c r="L37" s="388">
        <f t="shared" si="10"/>
        <v>80.962780394970835</v>
      </c>
      <c r="M37" s="9"/>
      <c r="N37" s="10">
        <v>27935</v>
      </c>
      <c r="O37" s="411">
        <f t="shared" si="6"/>
        <v>320820</v>
      </c>
      <c r="P37" s="388">
        <f t="shared" si="11"/>
        <v>87.073748519418984</v>
      </c>
      <c r="Q37" s="9"/>
    </row>
    <row r="38" spans="1:18">
      <c r="A38" s="6" t="s">
        <v>42</v>
      </c>
      <c r="B38" s="10">
        <v>8775</v>
      </c>
      <c r="C38" s="411">
        <f t="shared" si="0"/>
        <v>94000</v>
      </c>
      <c r="D38" s="388">
        <f t="shared" si="8"/>
        <v>93.351063829787236</v>
      </c>
      <c r="E38" s="9"/>
      <c r="F38" s="10">
        <v>10101</v>
      </c>
      <c r="G38" s="411">
        <f t="shared" si="2"/>
        <v>94330</v>
      </c>
      <c r="H38" s="388">
        <f t="shared" si="9"/>
        <v>107.08152231527616</v>
      </c>
      <c r="I38" s="9"/>
      <c r="J38" s="10">
        <v>9784</v>
      </c>
      <c r="K38" s="411">
        <f t="shared" si="4"/>
        <v>94210</v>
      </c>
      <c r="L38" s="388">
        <f t="shared" si="10"/>
        <v>103.85309415136398</v>
      </c>
      <c r="M38" s="9"/>
      <c r="N38" s="10">
        <v>11086</v>
      </c>
      <c r="O38" s="411">
        <f t="shared" si="6"/>
        <v>94080</v>
      </c>
      <c r="P38" s="388">
        <f t="shared" si="11"/>
        <v>117.83588435374151</v>
      </c>
      <c r="Q38" s="9"/>
    </row>
    <row r="39" spans="1:18">
      <c r="A39" s="6" t="s">
        <v>43</v>
      </c>
      <c r="B39" s="10">
        <v>15963</v>
      </c>
      <c r="C39" s="411">
        <f t="shared" si="0"/>
        <v>89610</v>
      </c>
      <c r="D39" s="388">
        <f t="shared" si="8"/>
        <v>178.13860060261132</v>
      </c>
      <c r="E39" s="9"/>
      <c r="F39" s="10"/>
      <c r="G39" s="10"/>
      <c r="H39" s="9"/>
      <c r="I39" s="9"/>
      <c r="J39" s="10"/>
      <c r="K39" s="10"/>
      <c r="L39" s="9"/>
      <c r="M39" s="9"/>
      <c r="N39" s="10">
        <v>27031</v>
      </c>
      <c r="O39" s="411">
        <f t="shared" si="6"/>
        <v>88340</v>
      </c>
      <c r="P39" s="388">
        <f t="shared" si="11"/>
        <v>305.98822730359973</v>
      </c>
      <c r="Q39" s="9"/>
    </row>
    <row r="40" spans="1:18">
      <c r="A40" s="6" t="s">
        <v>44</v>
      </c>
      <c r="B40" s="10">
        <v>159958</v>
      </c>
      <c r="C40" s="411">
        <f t="shared" si="0"/>
        <v>181310</v>
      </c>
      <c r="D40" s="388">
        <f t="shared" si="8"/>
        <v>882.23484639567596</v>
      </c>
      <c r="E40" s="9"/>
      <c r="F40" s="10">
        <v>162507</v>
      </c>
      <c r="G40" s="411">
        <f t="shared" si="2"/>
        <v>182140</v>
      </c>
      <c r="H40" s="388">
        <f t="shared" si="9"/>
        <v>892.20928955748332</v>
      </c>
      <c r="I40" s="9"/>
      <c r="J40" s="10">
        <v>163303</v>
      </c>
      <c r="K40" s="411">
        <f t="shared" si="4"/>
        <v>183100</v>
      </c>
      <c r="L40" s="388">
        <f t="shared" si="10"/>
        <v>891.87875477880937</v>
      </c>
      <c r="M40" s="9"/>
      <c r="N40" s="10">
        <v>180380</v>
      </c>
      <c r="O40" s="411">
        <f t="shared" si="6"/>
        <v>183820</v>
      </c>
      <c r="P40" s="388">
        <f t="shared" si="11"/>
        <v>981.28604069198127</v>
      </c>
      <c r="Q40" s="9"/>
    </row>
    <row r="41" spans="1:18">
      <c r="A41" s="6"/>
      <c r="B41" s="10"/>
      <c r="C41" s="10"/>
      <c r="D41" s="9"/>
      <c r="E41" s="9"/>
      <c r="F41" s="10"/>
      <c r="G41" s="10"/>
      <c r="H41" s="9"/>
      <c r="I41" s="9"/>
      <c r="J41" s="10"/>
      <c r="K41" s="10"/>
      <c r="L41" s="9"/>
      <c r="M41" s="9"/>
      <c r="N41" s="10"/>
      <c r="O41" s="10"/>
      <c r="P41" s="9"/>
      <c r="Q41" s="9"/>
    </row>
    <row r="42" spans="1:18">
      <c r="A42" s="6" t="s">
        <v>45</v>
      </c>
      <c r="B42" s="10">
        <v>1250453</v>
      </c>
      <c r="C42" s="411">
        <f t="shared" si="0"/>
        <v>5424800</v>
      </c>
      <c r="D42" s="388">
        <f t="shared" si="8"/>
        <v>230.50674679250847</v>
      </c>
      <c r="E42" s="9"/>
      <c r="F42" s="10">
        <v>1364258</v>
      </c>
      <c r="G42" s="411">
        <f t="shared" si="2"/>
        <v>5438100</v>
      </c>
      <c r="H42" s="388">
        <f t="shared" si="9"/>
        <v>250.87034074400984</v>
      </c>
      <c r="I42" s="9"/>
      <c r="J42" s="10">
        <v>1435490</v>
      </c>
      <c r="K42" s="411">
        <f t="shared" si="4"/>
        <v>5463300</v>
      </c>
      <c r="L42" s="388">
        <f t="shared" si="10"/>
        <v>262.75145058847215</v>
      </c>
      <c r="M42" s="9"/>
      <c r="N42" s="10">
        <v>1437261</v>
      </c>
      <c r="O42" s="411">
        <f t="shared" si="6"/>
        <v>5466000</v>
      </c>
      <c r="P42" s="388">
        <f t="shared" si="11"/>
        <v>262.94566410537868</v>
      </c>
      <c r="R42" s="228"/>
    </row>
    <row r="43" spans="1:18">
      <c r="A43" s="6" t="s">
        <v>46</v>
      </c>
      <c r="B43" s="10" t="s">
        <v>69</v>
      </c>
      <c r="C43" s="10" t="s">
        <v>69</v>
      </c>
      <c r="D43" s="9" t="s">
        <v>69</v>
      </c>
      <c r="E43" s="9"/>
      <c r="F43" s="10" t="s">
        <v>69</v>
      </c>
      <c r="G43" s="10" t="s">
        <v>69</v>
      </c>
      <c r="H43" s="9" t="s">
        <v>69</v>
      </c>
      <c r="I43" s="9"/>
      <c r="J43" s="10" t="s">
        <v>69</v>
      </c>
      <c r="K43" s="10" t="s">
        <v>69</v>
      </c>
      <c r="L43" s="9" t="s">
        <v>69</v>
      </c>
      <c r="M43" s="9"/>
      <c r="N43" s="10" t="s">
        <v>69</v>
      </c>
      <c r="O43" s="10" t="s">
        <v>69</v>
      </c>
      <c r="P43" s="9" t="s">
        <v>69</v>
      </c>
    </row>
    <row r="44" spans="1:18">
      <c r="A44" s="6" t="s">
        <v>543</v>
      </c>
      <c r="B44" s="385" cm="1">
        <f t="array" ref="B44">SUM(SUMIFS(B$9:B$41,$A$9:$A$41,{"Na h-Eileanan Siar","Argyll and Bute","Shetland Islands","Highland","Orkney Islands","Scottish Borders","Dumfries and Galloway","Aberdeenshire"}))</f>
        <v>75300</v>
      </c>
      <c r="C44" s="385">
        <f>SUM(SUMIFS(C$9:C$41,$A$9:$A$41,{"Na h-Eileanan Siar","Argyll and Bute","Shetland Islands","Highland","Orkney Islands","Scottish Borders","Dumfries and Galloway","Aberdeenshire"}))</f>
        <v>848010</v>
      </c>
      <c r="D44" s="389">
        <f>SUM(B44/C44)*100</f>
        <v>8.8796122687232462</v>
      </c>
      <c r="E44" s="9"/>
      <c r="F44" s="385" cm="1">
        <f t="array" ref="F44">SUM(SUMIFS(F$9:F$41,$A$9:$A$41,{"Na h-Eileanan Siar","Argyll and Bute","Shetland Islands","Highland","Orkney Islands","Scottish Borders","Dumfries and Galloway","Aberdeenshire"}))</f>
        <v>73653</v>
      </c>
      <c r="G44" s="385">
        <f>SUM(SUMIFS(G$9:G$41,$A$9:$A$41,{"Na h-Eileanan Siar","Argyll and Bute","Shetland Islands","Highland","Orkney Islands","Scottish Borders","Dumfries and Galloway","Aberdeenshire"}))</f>
        <v>869520</v>
      </c>
      <c r="H44" s="389">
        <f>SUM(F44/G44)*100</f>
        <v>8.4705354678443285</v>
      </c>
      <c r="I44" s="9"/>
      <c r="J44" s="385" cm="1">
        <f t="array" ref="J44">SUM(SUMIFS(J$9:J$41,$A$9:$A$41,{"Na h-Eileanan Siar","Argyll and Bute","Shetland Islands","Highland","Orkney Islands","Scottish Borders","Dumfries and Galloway","Aberdeenshire"}))</f>
        <v>79244</v>
      </c>
      <c r="K44" s="385">
        <f>SUM(SUMIFS(K$9:K$41,$A$9:$A$41,{"Na h-Eileanan Siar","Argyll and Bute","Shetland Islands","Highland","Orkney Islands","Scottish Borders","Dumfries and Galloway","Aberdeenshire"}))</f>
        <v>870200</v>
      </c>
      <c r="L44" s="389">
        <f>SUM(J44/K44)*100</f>
        <v>9.1064123190071253</v>
      </c>
      <c r="M44" s="9"/>
      <c r="N44" s="385" cm="1">
        <f t="array" ref="N44">SUM(SUMIFS(N$9:N$41,$A$9:$A$41,{"Na h-Eileanan Siar","Argyll and Bute","Shetland Islands","Highland","Orkney Islands","Scottish Borders","Dumfries and Galloway","Aberdeenshire"}))</f>
        <v>77098</v>
      </c>
      <c r="O44" s="385">
        <f>SUM(SUMIFS(O$9:O$41,$A$9:$A$41,{"Na h-Eileanan Siar","Argyll and Bute","Shetland Islands","Highland","Orkney Islands","Scottish Borders","Dumfries and Galloway","Aberdeenshire"}))</f>
        <v>868040</v>
      </c>
      <c r="P44" s="389">
        <f>SUM(N44/O44)*100</f>
        <v>8.8818487627298293</v>
      </c>
      <c r="Q44" s="98"/>
    </row>
    <row r="45" spans="1:18">
      <c r="A45" s="6" t="s">
        <v>544</v>
      </c>
      <c r="B45" s="385">
        <f>SUM(SUMIFS(B$9:B$41,$A$9:$A$41,{"Perth and Kinross","Stirling","Moray","South Ayrshire","East Ayrshire","East Lothian","North Ayrshire","Fife"}))</f>
        <v>71595</v>
      </c>
      <c r="C45" s="385" cm="1">
        <f t="array" ref="C45">SUM(SUMIFS(C$9:C$41,$A$9:$A$41,{"Perth and Kinross","Stirling","Moray","South Ayrshire","East Ayrshire","East Lothian","North Ayrshire","Fife"}))</f>
        <v>1187540</v>
      </c>
      <c r="D45" s="389">
        <f>SUM(B45/C45)*100</f>
        <v>6.0288495545413205</v>
      </c>
      <c r="E45" s="9"/>
      <c r="F45" s="385">
        <f>SUM(SUMIFS(F$9:F$41,$A$9:$A$41,{"Perth and Kinross","Stirling","Moray","South Ayrshire","East Ayrshire","East Lothian","North Ayrshire","Fife"}))</f>
        <v>94479</v>
      </c>
      <c r="G45" s="385">
        <f>SUM(SUMIFS(G$9:G$41,$A$9:$A$41,{"Perth and Kinross","Stirling","Moray","South Ayrshire","East Ayrshire","East Lothian","North Ayrshire","Fife"}))</f>
        <v>1188510</v>
      </c>
      <c r="H45" s="389">
        <f>SUM(F45/G45)*100</f>
        <v>7.949365171517278</v>
      </c>
      <c r="I45" s="9"/>
      <c r="J45" s="385">
        <f>SUM(SUMIFS(J$9:J$41,$A$9:$A$41,{"Perth and Kinross","Stirling","Moray","South Ayrshire","East Ayrshire","East Lothian","North Ayrshire","Fife"}))</f>
        <v>94229</v>
      </c>
      <c r="K45" s="385">
        <f>SUM(SUMIFS(K$9:K$41,$A$9:$A$41,{"Perth and Kinross","Stirling","Moray","South Ayrshire","East Ayrshire","East Lothian","North Ayrshire","Fife"}))</f>
        <v>1191980</v>
      </c>
      <c r="L45" s="389">
        <f>SUM(J45/K45)*100</f>
        <v>7.9052500880887262</v>
      </c>
      <c r="M45" s="9"/>
      <c r="N45" s="385">
        <f>SUM(SUMIFS(N$9:N$41,$A$9:$A$41,{"Perth and Kinross","Stirling","Moray","South Ayrshire","East Ayrshire","East Lothian","North Ayrshire","Fife"}))</f>
        <v>111922</v>
      </c>
      <c r="O45" s="385">
        <f>SUM(SUMIFS(O$9:O$41,$A$9:$A$41,{"Perth and Kinross","Stirling","Moray","South Ayrshire","East Ayrshire","East Lothian","North Ayrshire","Fife"}))</f>
        <v>1191720</v>
      </c>
      <c r="P45" s="389">
        <f>SUM(N45/O45)*100</f>
        <v>9.3916356191051591</v>
      </c>
      <c r="Q45" s="98"/>
    </row>
    <row r="46" spans="1:18">
      <c r="A46" s="6" t="s">
        <v>545</v>
      </c>
      <c r="B46" s="385">
        <f>SUM(SUMIFS(B$9:B$41,$A$9:$A$41,{"Angus","Clackmannanshire","Midlothian","South Lanarkshire","Inverclyde","Renfrewshire","West Lothian","East Renfrewshire"}))</f>
        <v>244153</v>
      </c>
      <c r="C46" s="385">
        <f>SUM(SUMIFS(C$9:C$41,$A$9:$A$41,{"Angus","Clackmannanshire","Midlothian","South Lanarkshire","Inverclyde","Renfrewshire","West Lothian","East Renfrewshire"}))</f>
        <v>1107650</v>
      </c>
      <c r="D46" s="389">
        <f>SUM(B46/C46)*100</f>
        <v>22.042432176228953</v>
      </c>
      <c r="E46" s="9"/>
      <c r="F46" s="385">
        <f>SUM(SUMIFS(F$9:F$41,$A$9:$A$41,{"Angus","Clackmannanshire","Midlothian","South Lanarkshire","Inverclyde","Renfrewshire","West Lothian","East Renfrewshire"}))</f>
        <v>252411</v>
      </c>
      <c r="G46" s="385">
        <f>SUM(SUMIFS(G$9:G$41,$A$9:$A$41,{"Angus","Clackmannanshire","Midlothian","South Lanarkshire","Inverclyde","Renfrewshire","West Lothian","East Renfrewshire"}))</f>
        <v>1111050</v>
      </c>
      <c r="H46" s="389">
        <f>SUM(F46/G46)*100</f>
        <v>22.718239503172676</v>
      </c>
      <c r="I46" s="9"/>
      <c r="J46" s="385">
        <f>SUM(SUMIFS(J$9:J$41,$A$9:$A$41,{"Angus","Clackmannanshire","Midlothian","South Lanarkshire","Inverclyde","Renfrewshire","West Lothian","East Renfrewshire"}))</f>
        <v>257880</v>
      </c>
      <c r="K46" s="385">
        <f>SUM(SUMIFS(K$9:K$41,$A$9:$A$41,{"Angus","Clackmannanshire","Midlothian","South Lanarkshire","Inverclyde","Renfrewshire","West Lothian","East Renfrewshire"}))</f>
        <v>1116260</v>
      </c>
      <c r="L46" s="389">
        <f>SUM(J46/K46)*100</f>
        <v>23.102144661637968</v>
      </c>
      <c r="M46" s="9"/>
      <c r="N46" s="385">
        <f>SUM(SUMIFS(N$9:N$41,$A$9:$A$41,{"Angus","Clackmannanshire","Midlothian","South Lanarkshire","Inverclyde","Renfrewshire","West Lothian","East Renfrewshire"}))</f>
        <v>293367</v>
      </c>
      <c r="O46" s="385">
        <f>SUM(SUMIFS(O$9:O$41,$A$9:$A$41,{"Angus","Clackmannanshire","Midlothian","South Lanarkshire","Inverclyde","Renfrewshire","West Lothian","East Renfrewshire"}))</f>
        <v>1117410</v>
      </c>
      <c r="P46" s="389">
        <f>SUM(N46/O46)*100</f>
        <v>26.25419496872231</v>
      </c>
      <c r="Q46" s="98"/>
    </row>
    <row r="47" spans="1:18">
      <c r="A47" s="6" t="s">
        <v>546</v>
      </c>
      <c r="B47" s="385">
        <f>SUM(SUMIFS(B$9:B$41,$A$9:$A$41,{"North Lanarkshire","Falkirk","East Dunbartonshire","Aberdeen City","Edinburgh, City of","West Dunbartonshire","Dundee City","Glasgow City"}))</f>
        <v>856202</v>
      </c>
      <c r="C47" s="385">
        <f>SUM(SUMIFS(C$9:C$41,$A$9:$A$41,{"North Lanarkshire","Falkirk","East Dunbartonshire","Aberdeen City","Edinburgh, City of","West Dunbartonshire","Dundee City","Glasgow City"}))</f>
        <v>2209570</v>
      </c>
      <c r="D47" s="389">
        <f>SUM(B47/C47)*100</f>
        <v>38.749711482324614</v>
      </c>
      <c r="E47" s="9"/>
      <c r="F47" s="385">
        <f>SUM(SUMIFS(F$9:F$41,$A$9:$A$41,{"North Lanarkshire","Falkirk","East Dunbartonshire","Aberdeen City","Edinburgh, City of","West Dunbartonshire","Dundee City","Glasgow City"}))</f>
        <v>919208</v>
      </c>
      <c r="G47" s="385">
        <f>SUM(SUMIFS(G$9:G$41,$A$9:$A$41,{"North Lanarkshire","Falkirk","East Dunbartonshire","Aberdeen City","Edinburgh, City of","West Dunbartonshire","Dundee City","Glasgow City"}))</f>
        <v>2021740</v>
      </c>
      <c r="H47" s="389">
        <f>SUM(F47/G47)*100</f>
        <v>45.466182595190283</v>
      </c>
      <c r="I47" s="9"/>
      <c r="J47" s="385">
        <f>SUM(SUMIFS(J$9:J$41,$A$9:$A$41,{"North Lanarkshire","Falkirk","East Dunbartonshire","Aberdeen City","Edinburgh, City of","West Dunbartonshire","Dundee City","Glasgow City"}))</f>
        <v>976306</v>
      </c>
      <c r="K47" s="385">
        <f>SUM(SUMIFS(K$9:K$41,$A$9:$A$41,{"North Lanarkshire","Falkirk","East Dunbartonshire","Aberdeen City","Edinburgh, City of","West Dunbartonshire","Dundee City","Glasgow City"}))</f>
        <v>2146940</v>
      </c>
      <c r="L47" s="389">
        <f>SUM(J47/K47)*100</f>
        <v>45.474302961424165</v>
      </c>
      <c r="M47" s="9"/>
      <c r="N47" s="385">
        <f>SUM(SUMIFS(N$9:N$41,$A$9:$A$41,{"North Lanarkshire","Falkirk","East Dunbartonshire","Aberdeen City","Edinburgh, City of","West Dunbartonshire","Dundee City","Glasgow City"}))</f>
        <v>951053</v>
      </c>
      <c r="O47" s="385">
        <f>SUM(SUMIFS(O$9:O$41,$A$9:$A$41,{"North Lanarkshire","Falkirk","East Dunbartonshire","Aberdeen City","Edinburgh, City of","West Dunbartonshire","Dundee City","Glasgow City"}))</f>
        <v>2239930</v>
      </c>
      <c r="P47" s="389">
        <f>SUM(N47/O47)*100</f>
        <v>42.459050059600081</v>
      </c>
      <c r="Q47" s="98"/>
      <c r="R47" s="228"/>
    </row>
    <row r="48" spans="1:18">
      <c r="A48" s="6" t="s">
        <v>47</v>
      </c>
      <c r="B48" s="385" cm="1">
        <f t="array" ref="B48">SUM(SUMIFS(B$9:B$41,$A$9:$A$41,{"East Dunbartonshire","East Renfrewshire","Glasgow City","Inverclyde","North Lanarkshire","Renfrewshire","South Lanarkshire","West Dunbartonshire"}))</f>
        <v>343172</v>
      </c>
      <c r="C48" s="385" cm="1">
        <f t="array" ref="C48">SUM(SUMIFS(C$9:C$41,$A$9:$A$41,{"East Dunbartonshire","East Renfrewshire","Glasgow City","Inverclyde","North Lanarkshire","Renfrewshire","South Lanarkshire","West Dunbartonshire"}))</f>
        <v>1827240</v>
      </c>
      <c r="D48" s="388">
        <f>SUM(B48/C48)*100</f>
        <v>18.780893588143869</v>
      </c>
      <c r="E48" s="9"/>
      <c r="F48" s="385" cm="1">
        <f t="array" ref="F48">SUM(SUMIFS(F$9:F$41,$A$9:$A$41,{"East Dunbartonshire","East Renfrewshire","Glasgow City","Inverclyde","North Lanarkshire","Renfrewshire","South Lanarkshire","West Dunbartonshire"}))</f>
        <v>318488</v>
      </c>
      <c r="G48" s="385" cm="1">
        <f t="array" ref="G48">SUM(SUMIFS(G$9:G$41,$A$9:$A$41,{"East Dunbartonshire","East Renfrewshire","Glasgow City","Inverclyde","North Lanarkshire","Renfrewshire","South Lanarkshire","West Dunbartonshire"}))</f>
        <v>1636720</v>
      </c>
      <c r="H48" s="388">
        <f>SUM(F48/G48)*100</f>
        <v>19.458917835671343</v>
      </c>
      <c r="I48" s="9"/>
      <c r="J48" s="385" cm="1">
        <f t="array" ref="J48">SUM(SUMIFS(J$9:J$41,$A$9:$A$41,{"East Dunbartonshire","East Renfrewshire","Glasgow City","Inverclyde","North Lanarkshire","Renfrewshire","South Lanarkshire","West Dunbartonshire"}))</f>
        <v>360394</v>
      </c>
      <c r="K48" s="385" cm="1">
        <f t="array" ref="K48">SUM(SUMIFS(K$9:K$41,$A$9:$A$41,{"East Dunbartonshire","East Renfrewshire","Glasgow City","Inverclyde","North Lanarkshire","Renfrewshire","South Lanarkshire","West Dunbartonshire"}))</f>
        <v>1756090</v>
      </c>
      <c r="L48" s="388">
        <f>SUM(J48/K48)*100</f>
        <v>20.522524471980365</v>
      </c>
      <c r="M48" s="9"/>
      <c r="N48" s="385" cm="1">
        <f t="array" ref="N48">SUM(SUMIFS(N$9:N$41,$A$9:$A$41,{"East Dunbartonshire","East Renfrewshire","Glasgow City","Inverclyde","North Lanarkshire","Renfrewshire","South Lanarkshire","West Dunbartonshire"}))</f>
        <v>386377</v>
      </c>
      <c r="O48" s="385" cm="1">
        <f t="array" ref="O48">SUM(SUMIFS(O$9:O$41,$A$9:$A$41,{"East Dunbartonshire","East Renfrewshire","Glasgow City","Inverclyde","North Lanarkshire","Renfrewshire","South Lanarkshire","West Dunbartonshire"}))</f>
        <v>1847200</v>
      </c>
      <c r="P48" s="388">
        <f>SUM(N48/O48)*100</f>
        <v>20.916901255954958</v>
      </c>
      <c r="R48" s="228"/>
    </row>
    <row r="49" spans="1:18">
      <c r="A49" s="6" t="s">
        <v>238</v>
      </c>
      <c r="B49" s="225"/>
      <c r="C49" s="225"/>
      <c r="D49" s="9"/>
      <c r="E49" s="9"/>
      <c r="F49" s="225"/>
      <c r="G49" s="225"/>
      <c r="H49" s="9"/>
      <c r="I49" s="9"/>
      <c r="J49" s="225"/>
      <c r="K49" s="225"/>
      <c r="L49" s="9"/>
      <c r="M49" s="9"/>
      <c r="N49" s="225"/>
      <c r="O49" s="225"/>
      <c r="P49" s="9"/>
      <c r="R49" s="228"/>
    </row>
    <row r="50" spans="1:18">
      <c r="A50" s="6" t="s">
        <v>596</v>
      </c>
      <c r="B50" s="225"/>
      <c r="C50" s="225"/>
      <c r="D50" s="9"/>
      <c r="E50" s="9"/>
      <c r="F50" s="225"/>
      <c r="G50" s="225"/>
      <c r="H50" s="9"/>
      <c r="I50" s="9"/>
      <c r="J50" s="225"/>
      <c r="K50" s="225"/>
      <c r="L50" s="9"/>
      <c r="M50" s="9"/>
      <c r="N50" s="225"/>
      <c r="O50" s="225"/>
      <c r="P50" s="9"/>
      <c r="R50" s="228"/>
    </row>
    <row r="51" spans="1:18">
      <c r="A51" s="6" t="s">
        <v>239</v>
      </c>
      <c r="B51" s="225"/>
      <c r="C51" s="225"/>
      <c r="D51" s="9"/>
      <c r="E51" s="9"/>
      <c r="F51" s="225"/>
      <c r="G51" s="225"/>
      <c r="H51" s="9"/>
      <c r="I51" s="9"/>
      <c r="J51" s="225"/>
      <c r="K51" s="225"/>
      <c r="L51" s="9"/>
      <c r="M51" s="9"/>
      <c r="N51" s="225"/>
      <c r="O51" s="225"/>
      <c r="P51" s="9"/>
      <c r="R51" s="228"/>
    </row>
    <row r="54" spans="1:18">
      <c r="A54" s="236" t="s">
        <v>5</v>
      </c>
      <c r="B54" s="237">
        <v>2017</v>
      </c>
      <c r="C54" s="237">
        <v>2018</v>
      </c>
      <c r="D54" s="237">
        <v>2019</v>
      </c>
      <c r="E54" s="237">
        <v>2020</v>
      </c>
    </row>
    <row r="55" spans="1:18">
      <c r="A55" s="238" t="s">
        <v>14</v>
      </c>
      <c r="B55" s="239">
        <v>228800</v>
      </c>
      <c r="C55" s="239">
        <v>227560</v>
      </c>
      <c r="D55" s="239">
        <v>228670</v>
      </c>
      <c r="E55" s="239">
        <v>229060</v>
      </c>
    </row>
    <row r="56" spans="1:18">
      <c r="A56" s="238" t="s">
        <v>15</v>
      </c>
      <c r="B56" s="239">
        <v>261800</v>
      </c>
      <c r="C56" s="239">
        <v>261470</v>
      </c>
      <c r="D56" s="239">
        <v>261210</v>
      </c>
      <c r="E56" s="239">
        <v>260780</v>
      </c>
    </row>
    <row r="57" spans="1:18">
      <c r="A57" s="238" t="s">
        <v>16</v>
      </c>
      <c r="B57" s="239">
        <v>116280</v>
      </c>
      <c r="C57" s="239">
        <v>116040</v>
      </c>
      <c r="D57" s="239">
        <v>116200</v>
      </c>
      <c r="E57" s="239">
        <v>115820</v>
      </c>
    </row>
    <row r="58" spans="1:18">
      <c r="A58" s="238" t="s">
        <v>17</v>
      </c>
      <c r="B58" s="239">
        <v>86810</v>
      </c>
      <c r="C58" s="239">
        <v>86260</v>
      </c>
      <c r="D58" s="239">
        <v>85870</v>
      </c>
      <c r="E58" s="239">
        <v>85430</v>
      </c>
    </row>
    <row r="59" spans="1:18">
      <c r="A59" s="6" t="s">
        <v>189</v>
      </c>
      <c r="B59" s="239">
        <v>513210</v>
      </c>
      <c r="C59" s="239">
        <v>518500</v>
      </c>
      <c r="D59" s="239">
        <v>524930</v>
      </c>
      <c r="E59" s="239">
        <v>527620</v>
      </c>
    </row>
    <row r="60" spans="1:18">
      <c r="A60" s="238" t="s">
        <v>18</v>
      </c>
      <c r="B60" s="239">
        <v>51450</v>
      </c>
      <c r="C60" s="239">
        <v>51400</v>
      </c>
      <c r="D60" s="239">
        <v>51540</v>
      </c>
      <c r="E60" s="239">
        <v>51290</v>
      </c>
    </row>
    <row r="61" spans="1:18">
      <c r="A61" s="238" t="s">
        <v>19</v>
      </c>
      <c r="B61" s="239">
        <v>149200</v>
      </c>
      <c r="C61" s="239">
        <v>148790</v>
      </c>
      <c r="D61" s="239">
        <v>148860</v>
      </c>
      <c r="E61" s="239">
        <v>148290</v>
      </c>
    </row>
    <row r="62" spans="1:18">
      <c r="A62" s="238" t="s">
        <v>20</v>
      </c>
      <c r="B62" s="239">
        <v>148710</v>
      </c>
      <c r="C62" s="239">
        <v>148750</v>
      </c>
      <c r="D62" s="239">
        <v>149320</v>
      </c>
      <c r="E62" s="239">
        <v>148820</v>
      </c>
    </row>
    <row r="63" spans="1:18">
      <c r="A63" s="238" t="s">
        <v>21</v>
      </c>
      <c r="B63" s="239">
        <v>121940</v>
      </c>
      <c r="C63" s="239">
        <v>121840</v>
      </c>
      <c r="D63" s="239">
        <v>122010</v>
      </c>
      <c r="E63" s="239">
        <v>121600</v>
      </c>
    </row>
    <row r="64" spans="1:18">
      <c r="A64" s="238" t="s">
        <v>22</v>
      </c>
      <c r="B64" s="239">
        <v>108130</v>
      </c>
      <c r="C64" s="239">
        <v>108330</v>
      </c>
      <c r="D64" s="239">
        <v>108640</v>
      </c>
      <c r="E64" s="239">
        <v>108750</v>
      </c>
    </row>
    <row r="65" spans="1:5">
      <c r="A65" s="238" t="s">
        <v>23</v>
      </c>
      <c r="B65" s="239">
        <v>104840</v>
      </c>
      <c r="C65" s="239">
        <v>105790</v>
      </c>
      <c r="D65" s="239">
        <v>107090</v>
      </c>
      <c r="E65" s="239">
        <v>107900</v>
      </c>
    </row>
    <row r="66" spans="1:5">
      <c r="A66" s="238" t="s">
        <v>24</v>
      </c>
      <c r="B66" s="239">
        <v>94760</v>
      </c>
      <c r="C66" s="239">
        <v>95170</v>
      </c>
      <c r="D66" s="239">
        <v>95530</v>
      </c>
      <c r="E66" s="239">
        <v>96060</v>
      </c>
    </row>
    <row r="67" spans="1:5">
      <c r="A67" s="238" t="s">
        <v>25</v>
      </c>
      <c r="B67" s="239">
        <v>160130</v>
      </c>
      <c r="C67" s="239">
        <v>160340</v>
      </c>
      <c r="D67" s="239">
        <v>160890</v>
      </c>
      <c r="E67" s="239">
        <v>160560</v>
      </c>
    </row>
    <row r="68" spans="1:5">
      <c r="A68" s="238" t="s">
        <v>26</v>
      </c>
      <c r="B68" s="239">
        <v>371410</v>
      </c>
      <c r="C68" s="239">
        <v>371910</v>
      </c>
      <c r="D68" s="239">
        <v>373550</v>
      </c>
      <c r="E68" s="239">
        <v>374130</v>
      </c>
    </row>
    <row r="69" spans="1:5">
      <c r="A69" s="238" t="s">
        <v>27</v>
      </c>
      <c r="B69" s="239">
        <v>621020</v>
      </c>
      <c r="C69" s="239">
        <v>626410</v>
      </c>
      <c r="D69" s="239">
        <v>633120</v>
      </c>
      <c r="E69" s="239">
        <v>635640</v>
      </c>
    </row>
    <row r="70" spans="1:5">
      <c r="A70" s="238" t="s">
        <v>28</v>
      </c>
      <c r="B70" s="239">
        <v>235180</v>
      </c>
      <c r="C70" s="239">
        <v>235540</v>
      </c>
      <c r="D70" s="239">
        <v>235830</v>
      </c>
      <c r="E70" s="239">
        <v>235430</v>
      </c>
    </row>
    <row r="71" spans="1:5">
      <c r="A71" s="238" t="s">
        <v>29</v>
      </c>
      <c r="B71" s="239">
        <v>78760</v>
      </c>
      <c r="C71" s="239">
        <v>78150</v>
      </c>
      <c r="D71" s="239">
        <v>77800</v>
      </c>
      <c r="E71" s="239">
        <v>77060</v>
      </c>
    </row>
    <row r="72" spans="1:5">
      <c r="A72" s="238" t="s">
        <v>30</v>
      </c>
      <c r="B72" s="239">
        <v>90090</v>
      </c>
      <c r="C72" s="239">
        <v>91340</v>
      </c>
      <c r="D72" s="239">
        <v>92460</v>
      </c>
      <c r="E72" s="239">
        <v>93150</v>
      </c>
    </row>
    <row r="73" spans="1:5">
      <c r="A73" s="238" t="s">
        <v>31</v>
      </c>
      <c r="B73" s="239">
        <v>95780</v>
      </c>
      <c r="C73" s="239">
        <v>95520</v>
      </c>
      <c r="D73" s="239">
        <v>95820</v>
      </c>
      <c r="E73" s="239">
        <v>95710</v>
      </c>
    </row>
    <row r="74" spans="1:5">
      <c r="A74" s="238" t="s">
        <v>32</v>
      </c>
      <c r="B74" s="239">
        <v>26950</v>
      </c>
      <c r="C74" s="239">
        <v>26830</v>
      </c>
      <c r="D74" s="239">
        <v>26720</v>
      </c>
      <c r="E74" s="239">
        <v>26500</v>
      </c>
    </row>
    <row r="75" spans="1:5">
      <c r="A75" s="238" t="s">
        <v>33</v>
      </c>
      <c r="B75" s="239">
        <v>135790</v>
      </c>
      <c r="C75" s="239">
        <v>135280</v>
      </c>
      <c r="D75" s="239">
        <v>134740</v>
      </c>
      <c r="E75" s="239">
        <v>134250</v>
      </c>
    </row>
    <row r="76" spans="1:5">
      <c r="A76" s="238" t="s">
        <v>34</v>
      </c>
      <c r="B76" s="239">
        <v>339960</v>
      </c>
      <c r="C76" s="239">
        <v>340180</v>
      </c>
      <c r="D76" s="239">
        <v>341370</v>
      </c>
      <c r="E76" s="239">
        <v>341140</v>
      </c>
    </row>
    <row r="77" spans="1:5">
      <c r="A77" s="238" t="s">
        <v>35</v>
      </c>
      <c r="B77" s="239">
        <v>22000</v>
      </c>
      <c r="C77" s="239">
        <v>22190</v>
      </c>
      <c r="D77" s="239">
        <v>22270</v>
      </c>
      <c r="E77" s="239">
        <v>22400</v>
      </c>
    </row>
    <row r="78" spans="1:5">
      <c r="A78" s="238" t="s">
        <v>36</v>
      </c>
      <c r="B78" s="239">
        <v>151100</v>
      </c>
      <c r="C78" s="239">
        <v>151290</v>
      </c>
      <c r="D78" s="239">
        <v>151950</v>
      </c>
      <c r="E78" s="239">
        <v>151910</v>
      </c>
    </row>
    <row r="79" spans="1:5">
      <c r="A79" s="238" t="s">
        <v>37</v>
      </c>
      <c r="B79" s="239">
        <v>176830</v>
      </c>
      <c r="C79" s="239">
        <v>177790</v>
      </c>
      <c r="D79" s="239">
        <v>179100</v>
      </c>
      <c r="E79" s="239">
        <v>179390</v>
      </c>
    </row>
    <row r="80" spans="1:5">
      <c r="A80" s="238" t="s">
        <v>38</v>
      </c>
      <c r="B80" s="239">
        <v>115020</v>
      </c>
      <c r="C80" s="239">
        <v>115270</v>
      </c>
      <c r="D80" s="239">
        <v>115510</v>
      </c>
      <c r="E80" s="239">
        <v>115240</v>
      </c>
    </row>
    <row r="81" spans="1:5">
      <c r="A81" s="238" t="s">
        <v>39</v>
      </c>
      <c r="B81" s="239">
        <v>23080</v>
      </c>
      <c r="C81" s="239">
        <v>22990</v>
      </c>
      <c r="D81" s="239">
        <v>22920</v>
      </c>
      <c r="E81" s="239">
        <v>22870</v>
      </c>
    </row>
    <row r="82" spans="1:5">
      <c r="A82" s="238" t="s">
        <v>40</v>
      </c>
      <c r="B82" s="239">
        <v>112680</v>
      </c>
      <c r="C82" s="239">
        <v>112550</v>
      </c>
      <c r="D82" s="239">
        <v>112610</v>
      </c>
      <c r="E82" s="239">
        <v>112140</v>
      </c>
    </row>
    <row r="83" spans="1:5">
      <c r="A83" s="238" t="s">
        <v>41</v>
      </c>
      <c r="B83" s="239">
        <v>318170</v>
      </c>
      <c r="C83" s="239">
        <v>319020</v>
      </c>
      <c r="D83" s="239">
        <v>320530</v>
      </c>
      <c r="E83" s="239">
        <v>320820</v>
      </c>
    </row>
    <row r="84" spans="1:5">
      <c r="A84" s="238" t="s">
        <v>42</v>
      </c>
      <c r="B84" s="239">
        <v>94000</v>
      </c>
      <c r="C84" s="239">
        <v>94330</v>
      </c>
      <c r="D84" s="239">
        <v>94210</v>
      </c>
      <c r="E84" s="239">
        <v>94080</v>
      </c>
    </row>
    <row r="85" spans="1:5">
      <c r="A85" s="238" t="s">
        <v>43</v>
      </c>
      <c r="B85" s="239">
        <v>89610</v>
      </c>
      <c r="C85" s="239">
        <v>89130</v>
      </c>
      <c r="D85" s="239">
        <v>88930</v>
      </c>
      <c r="E85" s="239">
        <v>88340</v>
      </c>
    </row>
    <row r="86" spans="1:5">
      <c r="A86" s="238" t="s">
        <v>44</v>
      </c>
      <c r="B86" s="239">
        <v>181310</v>
      </c>
      <c r="C86" s="239">
        <v>182140</v>
      </c>
      <c r="D86" s="239">
        <v>183100</v>
      </c>
      <c r="E86" s="239">
        <v>183820</v>
      </c>
    </row>
    <row r="87" spans="1:5">
      <c r="A87" s="238" t="s">
        <v>45</v>
      </c>
      <c r="B87" s="239">
        <v>5424800</v>
      </c>
      <c r="C87" s="239">
        <v>5438100</v>
      </c>
      <c r="D87" s="239">
        <v>5463300</v>
      </c>
      <c r="E87" s="239">
        <v>5466000</v>
      </c>
    </row>
    <row r="88" spans="1:5">
      <c r="A88" s="238" t="s">
        <v>46</v>
      </c>
      <c r="B88" s="239">
        <v>66040229</v>
      </c>
      <c r="C88" s="239">
        <v>66435550</v>
      </c>
      <c r="D88" s="239">
        <v>66796807</v>
      </c>
      <c r="E88" s="239">
        <v>67081234</v>
      </c>
    </row>
    <row r="89" spans="1:5">
      <c r="A89" s="238" t="s">
        <v>47</v>
      </c>
      <c r="B89" s="239">
        <v>1827240</v>
      </c>
      <c r="C89" s="239">
        <v>1834180</v>
      </c>
      <c r="D89" s="239">
        <v>1845020</v>
      </c>
      <c r="E89" s="239">
        <v>1847200</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autoPageBreaks="0"/>
  </sheetPr>
  <dimension ref="A1:R93"/>
  <sheetViews>
    <sheetView topLeftCell="A39" zoomScale="70" zoomScaleNormal="90" workbookViewId="0">
      <selection activeCell="K60" sqref="K60"/>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440" t="s">
        <v>214</v>
      </c>
      <c r="B1" s="1"/>
      <c r="C1" s="1"/>
    </row>
    <row r="2" spans="1:16">
      <c r="A2" s="441" t="s">
        <v>715</v>
      </c>
      <c r="B2" s="2"/>
      <c r="C2" s="2"/>
    </row>
    <row r="4" spans="1:16">
      <c r="A4" s="6"/>
      <c r="B4" s="6"/>
      <c r="C4" s="6"/>
      <c r="E4" s="6"/>
      <c r="F4" s="6"/>
      <c r="G4" s="6"/>
    </row>
    <row r="5" spans="1:16">
      <c r="A5" s="6"/>
      <c r="B5" s="6"/>
      <c r="C5" s="6"/>
      <c r="E5" s="6"/>
      <c r="F5" s="6"/>
      <c r="G5" s="6"/>
    </row>
    <row r="6" spans="1:16">
      <c r="A6" s="6"/>
      <c r="B6" s="6"/>
      <c r="C6" s="6"/>
      <c r="E6" s="6"/>
      <c r="F6" s="6"/>
      <c r="G6" s="6"/>
    </row>
    <row r="8" spans="1:16" ht="22" customHeight="1">
      <c r="A8" s="12" t="s">
        <v>5</v>
      </c>
      <c r="B8" s="12"/>
      <c r="C8" s="12" t="s">
        <v>217</v>
      </c>
      <c r="D8" s="65">
        <v>2021</v>
      </c>
      <c r="E8" s="65"/>
      <c r="F8" s="65"/>
      <c r="G8" s="12" t="s">
        <v>217</v>
      </c>
      <c r="H8" s="65">
        <v>2022</v>
      </c>
      <c r="I8" s="65"/>
      <c r="J8" s="65"/>
      <c r="K8" s="12" t="s">
        <v>217</v>
      </c>
      <c r="L8" s="65">
        <v>2023</v>
      </c>
      <c r="M8" s="65"/>
      <c r="N8" s="65"/>
      <c r="O8" s="12" t="s">
        <v>217</v>
      </c>
      <c r="P8" s="65">
        <v>2024</v>
      </c>
    </row>
    <row r="9" spans="1:16">
      <c r="A9" s="6" t="s">
        <v>14</v>
      </c>
      <c r="B9" s="10">
        <f>INDEX($B$59:$E$93,MATCH($A9,$A$59:$A$93,0),MATCH(D$8,$B$58:$E$58,0))</f>
        <v>8390</v>
      </c>
      <c r="C9" s="10">
        <f>SUM(INDEX($H$59:$K$93,MATCH($A9,$G$59:$G$93,0),MATCH(D$8,$H$58:$K$58,0)))/10000</f>
        <v>15.4229</v>
      </c>
      <c r="D9" s="9">
        <f>SUM(B9/C9)</f>
        <v>543.99626529381635</v>
      </c>
      <c r="E9" s="9"/>
      <c r="F9" s="10">
        <f>INDEX($B$59:$E$93,MATCH($A9,$A$59:$A$93,0),MATCH(H$8,$B$58:$E$58,0))</f>
        <v>7930</v>
      </c>
      <c r="G9" s="10">
        <f>SUM(INDEX($H$59:$K$93,MATCH($A9,$G$59:$G$93,0),MATCH(H$8,$H$58:$K$58,0)))/10000</f>
        <v>15.0298</v>
      </c>
      <c r="H9" s="9">
        <f>SUM(F9/G9)</f>
        <v>527.61846465022825</v>
      </c>
      <c r="I9" s="9"/>
      <c r="J9" s="10">
        <f>INDEX($B$59:$E$93,MATCH($A9,$A$59:$A$93,0),MATCH(L$8,$B$58:$E$58,0))</f>
        <v>7705</v>
      </c>
      <c r="K9" s="10">
        <f>SUM(INDEX($H$59:$K$93,MATCH($A9,$G$59:$G$93,0),MATCH(L$8,$H$58:$K$58,0)))/10000</f>
        <v>15.1691</v>
      </c>
      <c r="L9" s="9">
        <f>SUM(J9/K9)</f>
        <v>507.94048427395165</v>
      </c>
      <c r="M9" s="9"/>
      <c r="N9" s="10">
        <f>INDEX($B$59:$E$93,MATCH($A9,$A$59:$A$93,0),MATCH(P$8,$B$58:$E$58,0))</f>
        <v>7860</v>
      </c>
      <c r="O9" s="10">
        <f>SUM(INDEX($H$59:$K$93,MATCH($A9,$G$59:$G$93,0),MATCH(2022,$H$58:$K$58,0)))/10000</f>
        <v>15.0298</v>
      </c>
      <c r="P9" s="9">
        <f>SUM(N9/O9)</f>
        <v>522.96105071258432</v>
      </c>
    </row>
    <row r="10" spans="1:16">
      <c r="A10" s="6" t="s">
        <v>15</v>
      </c>
      <c r="B10" s="10">
        <f t="shared" ref="B10:B40" si="0">INDEX($B$59:$E$93,MATCH($A10,$A$59:$A$93,0),MATCH(D$8,$B$58:$E$58,0))</f>
        <v>13495</v>
      </c>
      <c r="C10" s="10">
        <f t="shared" ref="C10:C40" si="1">SUM(INDEX($H$59:$K$93,MATCH($A10,$G$59:$G$93,0),MATCH(D$8,$H$58:$K$58,0)))/10000</f>
        <v>16.049499999999998</v>
      </c>
      <c r="D10" s="9">
        <f t="shared" ref="D10:D40" si="2">SUM(B10/C10)</f>
        <v>840.83616312034655</v>
      </c>
      <c r="E10" s="9"/>
      <c r="F10" s="10">
        <f t="shared" ref="F10:F40" si="3">INDEX($B$59:$E$93,MATCH($A10,$A$59:$A$93,0),MATCH(H$8,$B$58:$E$58,0))</f>
        <v>13100</v>
      </c>
      <c r="G10" s="10">
        <f t="shared" ref="G10:G40" si="4">SUM(INDEX($H$59:$K$93,MATCH($A10,$G$59:$G$93,0),MATCH(H$8,$H$58:$K$58,0)))/10000</f>
        <v>15.926299999999999</v>
      </c>
      <c r="H10" s="9">
        <f t="shared" ref="H10:H40" si="5">SUM(F10/G10)</f>
        <v>822.53881943703186</v>
      </c>
      <c r="I10" s="9"/>
      <c r="J10" s="10">
        <f t="shared" ref="J10:J40" si="6">INDEX($B$59:$E$93,MATCH($A10,$A$59:$A$93,0),MATCH(L$8,$B$58:$E$58,0))</f>
        <v>12615</v>
      </c>
      <c r="K10" s="10">
        <f t="shared" ref="K10:K42" si="7">SUM(INDEX($H$59:$K$93,MATCH($A10,$G$59:$G$93,0),MATCH(L$8,$H$58:$K$58,0)))/10000</f>
        <v>15.882300000000001</v>
      </c>
      <c r="L10" s="9">
        <f t="shared" ref="L10:L40" si="8">SUM(J10/K10)</f>
        <v>794.28042537919566</v>
      </c>
      <c r="M10" s="9"/>
      <c r="N10" s="10">
        <f t="shared" ref="N10:N40" si="9">INDEX($B$59:$E$93,MATCH($A10,$A$59:$A$93,0),MATCH(P$8,$B$58:$E$58,0))</f>
        <v>12540</v>
      </c>
      <c r="O10" s="10">
        <f t="shared" ref="O10:O40" si="10">SUM(INDEX($H$59:$K$93,MATCH($A10,$G$59:$G$93,0),MATCH(2022,$H$58:$K$58,0)))/10000</f>
        <v>15.926299999999999</v>
      </c>
      <c r="P10" s="9">
        <f t="shared" ref="P10:P40" si="11">SUM(N10/O10)</f>
        <v>787.37685463667015</v>
      </c>
    </row>
    <row r="11" spans="1:16">
      <c r="A11" s="6" t="s">
        <v>16</v>
      </c>
      <c r="B11" s="10">
        <f t="shared" si="0"/>
        <v>3885</v>
      </c>
      <c r="C11" s="10">
        <f t="shared" si="1"/>
        <v>6.9016999999999999</v>
      </c>
      <c r="D11" s="9">
        <f t="shared" si="2"/>
        <v>562.90479157309073</v>
      </c>
      <c r="E11" s="9"/>
      <c r="F11" s="10">
        <f t="shared" si="3"/>
        <v>3870</v>
      </c>
      <c r="G11" s="10">
        <f t="shared" si="4"/>
        <v>6.7592999999999996</v>
      </c>
      <c r="H11" s="9">
        <f t="shared" si="5"/>
        <v>572.54449425236339</v>
      </c>
      <c r="I11" s="9"/>
      <c r="J11" s="10">
        <f t="shared" si="6"/>
        <v>3775</v>
      </c>
      <c r="K11" s="10">
        <f t="shared" si="7"/>
        <v>6.7488000000000001</v>
      </c>
      <c r="L11" s="9">
        <f t="shared" si="8"/>
        <v>559.35870080606924</v>
      </c>
      <c r="M11" s="9"/>
      <c r="N11" s="10">
        <f t="shared" si="9"/>
        <v>3735</v>
      </c>
      <c r="O11" s="10">
        <f t="shared" si="10"/>
        <v>6.7592999999999996</v>
      </c>
      <c r="P11" s="9">
        <f t="shared" si="11"/>
        <v>552.57201189472289</v>
      </c>
    </row>
    <row r="12" spans="1:16">
      <c r="A12" s="6" t="s">
        <v>17</v>
      </c>
      <c r="B12" s="10">
        <f t="shared" si="0"/>
        <v>3800</v>
      </c>
      <c r="C12" s="10">
        <f t="shared" si="1"/>
        <v>5.1002000000000001</v>
      </c>
      <c r="D12" s="9">
        <f t="shared" si="2"/>
        <v>745.06882083055564</v>
      </c>
      <c r="E12" s="9"/>
      <c r="F12" s="10">
        <f t="shared" si="3"/>
        <v>3895</v>
      </c>
      <c r="G12" s="10">
        <f t="shared" si="4"/>
        <v>5.1867999999999999</v>
      </c>
      <c r="H12" s="9">
        <f t="shared" si="5"/>
        <v>750.94470579162487</v>
      </c>
      <c r="I12" s="9"/>
      <c r="J12" s="10">
        <f t="shared" si="6"/>
        <v>3880</v>
      </c>
      <c r="K12" s="10">
        <f t="shared" si="7"/>
        <v>5.1516000000000002</v>
      </c>
      <c r="L12" s="9">
        <f t="shared" si="8"/>
        <v>753.1640655330383</v>
      </c>
      <c r="M12" s="9"/>
      <c r="N12" s="10">
        <f t="shared" si="9"/>
        <v>3860</v>
      </c>
      <c r="O12" s="10">
        <f t="shared" si="10"/>
        <v>5.1867999999999999</v>
      </c>
      <c r="P12" s="9">
        <f t="shared" si="11"/>
        <v>744.19680728001856</v>
      </c>
    </row>
    <row r="13" spans="1:16">
      <c r="A13" s="6" t="s">
        <v>189</v>
      </c>
      <c r="B13" s="10">
        <f t="shared" si="0"/>
        <v>18695</v>
      </c>
      <c r="C13" s="10">
        <f t="shared" si="1"/>
        <v>36.636699999999998</v>
      </c>
      <c r="D13" s="9">
        <f t="shared" si="2"/>
        <v>510.28067484243945</v>
      </c>
      <c r="E13" s="9"/>
      <c r="F13" s="10">
        <f t="shared" si="3"/>
        <v>18270</v>
      </c>
      <c r="G13" s="10">
        <f t="shared" si="4"/>
        <v>35.714100000000002</v>
      </c>
      <c r="H13" s="9">
        <f t="shared" si="5"/>
        <v>511.56266012583262</v>
      </c>
      <c r="I13" s="9"/>
      <c r="J13" s="10">
        <f t="shared" si="6"/>
        <v>17880</v>
      </c>
      <c r="K13" s="10">
        <f t="shared" si="7"/>
        <v>36.378700000000002</v>
      </c>
      <c r="L13" s="9">
        <f t="shared" si="8"/>
        <v>491.49639761728702</v>
      </c>
      <c r="M13" s="9"/>
      <c r="N13" s="10">
        <f t="shared" si="9"/>
        <v>18015</v>
      </c>
      <c r="O13" s="10">
        <f t="shared" si="10"/>
        <v>35.714100000000002</v>
      </c>
      <c r="P13" s="9">
        <f t="shared" si="11"/>
        <v>504.42262299763956</v>
      </c>
    </row>
    <row r="14" spans="1:16">
      <c r="A14" s="6" t="s">
        <v>18</v>
      </c>
      <c r="B14" s="10">
        <f t="shared" si="0"/>
        <v>1075</v>
      </c>
      <c r="C14" s="10">
        <f t="shared" si="1"/>
        <v>3.1945000000000001</v>
      </c>
      <c r="D14" s="9">
        <f t="shared" si="2"/>
        <v>336.51588668023163</v>
      </c>
      <c r="E14" s="9"/>
      <c r="F14" s="10">
        <f t="shared" si="3"/>
        <v>1070</v>
      </c>
      <c r="G14" s="10">
        <f t="shared" si="4"/>
        <v>3.2189000000000001</v>
      </c>
      <c r="H14" s="9">
        <f t="shared" si="5"/>
        <v>332.4116934356457</v>
      </c>
      <c r="I14" s="9"/>
      <c r="J14" s="10">
        <f t="shared" si="6"/>
        <v>1075</v>
      </c>
      <c r="K14" s="10">
        <f t="shared" si="7"/>
        <v>3.2273999999999998</v>
      </c>
      <c r="L14" s="9">
        <f t="shared" si="8"/>
        <v>333.08545578484228</v>
      </c>
      <c r="M14" s="9"/>
      <c r="N14" s="10">
        <f t="shared" si="9"/>
        <v>1085</v>
      </c>
      <c r="O14" s="10">
        <f t="shared" si="10"/>
        <v>3.2189000000000001</v>
      </c>
      <c r="P14" s="9">
        <f t="shared" si="11"/>
        <v>337.0716704464258</v>
      </c>
    </row>
    <row r="15" spans="1:16">
      <c r="A15" s="6" t="s">
        <v>19</v>
      </c>
      <c r="B15" s="10">
        <f t="shared" si="0"/>
        <v>6235</v>
      </c>
      <c r="C15" s="10">
        <f t="shared" si="1"/>
        <v>8.6346000000000007</v>
      </c>
      <c r="D15" s="9">
        <f t="shared" si="2"/>
        <v>722.0948277858846</v>
      </c>
      <c r="E15" s="9"/>
      <c r="F15" s="10">
        <f t="shared" si="3"/>
        <v>6295</v>
      </c>
      <c r="G15" s="10">
        <f t="shared" si="4"/>
        <v>8.3895999999999997</v>
      </c>
      <c r="H15" s="9">
        <f t="shared" si="5"/>
        <v>750.33374654333943</v>
      </c>
      <c r="I15" s="9"/>
      <c r="J15" s="10">
        <f t="shared" si="6"/>
        <v>6245</v>
      </c>
      <c r="K15" s="10">
        <f t="shared" si="7"/>
        <v>8.3536000000000001</v>
      </c>
      <c r="L15" s="9">
        <f t="shared" si="8"/>
        <v>747.58188086573455</v>
      </c>
      <c r="M15" s="9"/>
      <c r="N15" s="10">
        <f t="shared" si="9"/>
        <v>6290</v>
      </c>
      <c r="O15" s="10">
        <f t="shared" si="10"/>
        <v>8.3895999999999997</v>
      </c>
      <c r="P15" s="9">
        <f t="shared" si="11"/>
        <v>749.73777057309053</v>
      </c>
    </row>
    <row r="16" spans="1:16">
      <c r="A16" s="6" t="s">
        <v>20</v>
      </c>
      <c r="B16" s="10">
        <f t="shared" si="0"/>
        <v>3440</v>
      </c>
      <c r="C16" s="10">
        <f t="shared" si="1"/>
        <v>9.7773000000000003</v>
      </c>
      <c r="D16" s="9">
        <f t="shared" si="2"/>
        <v>351.83537377394578</v>
      </c>
      <c r="E16" s="9"/>
      <c r="F16" s="10">
        <f t="shared" si="3"/>
        <v>3480</v>
      </c>
      <c r="G16" s="10">
        <f t="shared" si="4"/>
        <v>9.7904999999999998</v>
      </c>
      <c r="H16" s="9">
        <f t="shared" si="5"/>
        <v>355.44660640416731</v>
      </c>
      <c r="I16" s="9"/>
      <c r="J16" s="10">
        <f t="shared" si="6"/>
        <v>3445</v>
      </c>
      <c r="K16" s="10">
        <f t="shared" si="7"/>
        <v>9.9253</v>
      </c>
      <c r="L16" s="9">
        <f t="shared" si="8"/>
        <v>347.09278308967993</v>
      </c>
      <c r="M16" s="9"/>
      <c r="N16" s="10">
        <f t="shared" si="9"/>
        <v>3470</v>
      </c>
      <c r="O16" s="10">
        <f t="shared" si="10"/>
        <v>9.7904999999999998</v>
      </c>
      <c r="P16" s="9">
        <f t="shared" si="11"/>
        <v>354.42520810990248</v>
      </c>
    </row>
    <row r="17" spans="1:18">
      <c r="A17" s="6" t="s">
        <v>21</v>
      </c>
      <c r="B17" s="10">
        <f t="shared" si="0"/>
        <v>3210</v>
      </c>
      <c r="C17" s="10">
        <f t="shared" si="1"/>
        <v>7.5654000000000003</v>
      </c>
      <c r="D17" s="9">
        <f t="shared" si="2"/>
        <v>424.30010310095963</v>
      </c>
      <c r="E17" s="9"/>
      <c r="F17" s="10">
        <f t="shared" si="3"/>
        <v>3225</v>
      </c>
      <c r="G17" s="10">
        <f t="shared" si="4"/>
        <v>7.4067999999999996</v>
      </c>
      <c r="H17" s="9">
        <f t="shared" si="5"/>
        <v>435.41070367770158</v>
      </c>
      <c r="I17" s="9"/>
      <c r="J17" s="10">
        <f t="shared" si="6"/>
        <v>3175</v>
      </c>
      <c r="K17" s="10">
        <f t="shared" si="7"/>
        <v>7.4131</v>
      </c>
      <c r="L17" s="9">
        <f t="shared" si="8"/>
        <v>428.29585463571243</v>
      </c>
      <c r="M17" s="9"/>
      <c r="N17" s="10">
        <f t="shared" si="9"/>
        <v>3130</v>
      </c>
      <c r="O17" s="10">
        <f t="shared" si="10"/>
        <v>7.4067999999999996</v>
      </c>
      <c r="P17" s="9">
        <f t="shared" si="11"/>
        <v>422.58465194145924</v>
      </c>
    </row>
    <row r="18" spans="1:18">
      <c r="A18" s="6" t="s">
        <v>22</v>
      </c>
      <c r="B18" s="10">
        <f t="shared" si="0"/>
        <v>2900</v>
      </c>
      <c r="C18" s="10">
        <f t="shared" si="1"/>
        <v>6.4306999999999999</v>
      </c>
      <c r="D18" s="9">
        <f t="shared" si="2"/>
        <v>450.96179265087784</v>
      </c>
      <c r="E18" s="9"/>
      <c r="F18" s="10">
        <f t="shared" si="3"/>
        <v>2835</v>
      </c>
      <c r="G18" s="10">
        <f t="shared" si="4"/>
        <v>6.3285</v>
      </c>
      <c r="H18" s="9">
        <f t="shared" si="5"/>
        <v>447.97345342498221</v>
      </c>
      <c r="I18" s="9"/>
      <c r="J18" s="10">
        <f t="shared" si="6"/>
        <v>2790</v>
      </c>
      <c r="K18" s="10">
        <f t="shared" si="7"/>
        <v>6.3072999999999997</v>
      </c>
      <c r="L18" s="9">
        <f t="shared" si="8"/>
        <v>442.34458484613072</v>
      </c>
      <c r="M18" s="9"/>
      <c r="N18" s="10">
        <f t="shared" si="9"/>
        <v>2780</v>
      </c>
      <c r="O18" s="10">
        <f t="shared" si="10"/>
        <v>6.3285</v>
      </c>
      <c r="P18" s="9">
        <f t="shared" si="11"/>
        <v>439.28261041321008</v>
      </c>
    </row>
    <row r="19" spans="1:18">
      <c r="A19" s="6" t="s">
        <v>23</v>
      </c>
      <c r="B19" s="10">
        <f t="shared" si="0"/>
        <v>3185</v>
      </c>
      <c r="C19" s="10">
        <f t="shared" si="1"/>
        <v>6.6893000000000002</v>
      </c>
      <c r="D19" s="9">
        <f t="shared" si="2"/>
        <v>476.13352667693181</v>
      </c>
      <c r="E19" s="9"/>
      <c r="F19" s="10">
        <f t="shared" si="3"/>
        <v>3155</v>
      </c>
      <c r="G19" s="10">
        <f t="shared" si="4"/>
        <v>6.8402000000000003</v>
      </c>
      <c r="H19" s="9">
        <f t="shared" si="5"/>
        <v>461.24382328002105</v>
      </c>
      <c r="I19" s="9"/>
      <c r="J19" s="10">
        <f t="shared" si="6"/>
        <v>3110</v>
      </c>
      <c r="K19" s="10">
        <f t="shared" si="7"/>
        <v>6.9076000000000004</v>
      </c>
      <c r="L19" s="9">
        <f t="shared" si="8"/>
        <v>450.22873356882275</v>
      </c>
      <c r="M19" s="9"/>
      <c r="N19" s="10">
        <f t="shared" si="9"/>
        <v>3160</v>
      </c>
      <c r="O19" s="10">
        <f t="shared" si="10"/>
        <v>6.8402000000000003</v>
      </c>
      <c r="P19" s="9">
        <f t="shared" si="11"/>
        <v>461.97479605859473</v>
      </c>
    </row>
    <row r="20" spans="1:18">
      <c r="A20" s="6" t="s">
        <v>24</v>
      </c>
      <c r="B20" s="10">
        <f t="shared" si="0"/>
        <v>2670</v>
      </c>
      <c r="C20" s="10">
        <f t="shared" si="1"/>
        <v>5.7032999999999996</v>
      </c>
      <c r="D20" s="9">
        <f t="shared" si="2"/>
        <v>468.15001841039401</v>
      </c>
      <c r="E20" s="9"/>
      <c r="F20" s="10">
        <f t="shared" si="3"/>
        <v>2660</v>
      </c>
      <c r="G20" s="10">
        <f t="shared" si="4"/>
        <v>5.6600999999999999</v>
      </c>
      <c r="H20" s="9">
        <f t="shared" si="5"/>
        <v>469.95636119503189</v>
      </c>
      <c r="I20" s="9"/>
      <c r="J20" s="10">
        <f t="shared" si="6"/>
        <v>2615</v>
      </c>
      <c r="K20" s="10">
        <f t="shared" si="7"/>
        <v>5.73</v>
      </c>
      <c r="L20" s="9">
        <f t="shared" si="8"/>
        <v>456.369982547993</v>
      </c>
      <c r="M20" s="9"/>
      <c r="N20" s="10">
        <f t="shared" si="9"/>
        <v>2670</v>
      </c>
      <c r="O20" s="10">
        <f t="shared" si="10"/>
        <v>5.6600999999999999</v>
      </c>
      <c r="P20" s="9">
        <f t="shared" si="11"/>
        <v>471.72311443260719</v>
      </c>
    </row>
    <row r="21" spans="1:18">
      <c r="A21" s="6" t="s">
        <v>25</v>
      </c>
      <c r="B21" s="10">
        <f t="shared" si="0"/>
        <v>3675</v>
      </c>
      <c r="C21" s="10">
        <f t="shared" si="1"/>
        <v>10.2021</v>
      </c>
      <c r="D21" s="9">
        <f t="shared" si="2"/>
        <v>360.21995471520569</v>
      </c>
      <c r="E21" s="9"/>
      <c r="F21" s="10">
        <f t="shared" si="3"/>
        <v>3555</v>
      </c>
      <c r="G21" s="10">
        <f t="shared" si="4"/>
        <v>10.0328</v>
      </c>
      <c r="H21" s="9">
        <f t="shared" si="5"/>
        <v>354.33777210748747</v>
      </c>
      <c r="I21" s="9"/>
      <c r="J21" s="10">
        <f t="shared" si="6"/>
        <v>3495</v>
      </c>
      <c r="K21" s="10">
        <f t="shared" si="7"/>
        <v>10.0274</v>
      </c>
      <c r="L21" s="9">
        <f t="shared" si="8"/>
        <v>348.54498673634242</v>
      </c>
      <c r="M21" s="9"/>
      <c r="N21" s="10">
        <f t="shared" si="9"/>
        <v>3520</v>
      </c>
      <c r="O21" s="10">
        <f t="shared" si="10"/>
        <v>10.0328</v>
      </c>
      <c r="P21" s="9">
        <f t="shared" si="11"/>
        <v>350.84921457619009</v>
      </c>
    </row>
    <row r="22" spans="1:18">
      <c r="A22" s="6" t="s">
        <v>26</v>
      </c>
      <c r="B22" s="10">
        <f t="shared" si="0"/>
        <v>9535</v>
      </c>
      <c r="C22" s="10">
        <f t="shared" si="1"/>
        <v>23.163499999999999</v>
      </c>
      <c r="D22" s="9">
        <f t="shared" si="2"/>
        <v>411.6390010145272</v>
      </c>
      <c r="E22" s="9"/>
      <c r="F22" s="10">
        <f t="shared" si="3"/>
        <v>9155</v>
      </c>
      <c r="G22" s="10">
        <f t="shared" si="4"/>
        <v>22.922499999999999</v>
      </c>
      <c r="H22" s="9">
        <f t="shared" si="5"/>
        <v>399.38924637365034</v>
      </c>
      <c r="I22" s="9"/>
      <c r="J22" s="10">
        <f t="shared" si="6"/>
        <v>8980</v>
      </c>
      <c r="K22" s="10">
        <f t="shared" si="7"/>
        <v>23.0154</v>
      </c>
      <c r="L22" s="9">
        <f t="shared" si="8"/>
        <v>390.1735359802567</v>
      </c>
      <c r="M22" s="9"/>
      <c r="N22" s="10">
        <f t="shared" si="9"/>
        <v>8950</v>
      </c>
      <c r="O22" s="10">
        <f t="shared" si="10"/>
        <v>22.922499999999999</v>
      </c>
      <c r="P22" s="9">
        <f t="shared" si="11"/>
        <v>390.44606827353039</v>
      </c>
    </row>
    <row r="23" spans="1:18">
      <c r="A23" s="6" t="s">
        <v>27</v>
      </c>
      <c r="B23" s="10">
        <f t="shared" si="0"/>
        <v>19440</v>
      </c>
      <c r="C23" s="10">
        <f t="shared" si="1"/>
        <v>44.8645</v>
      </c>
      <c r="D23" s="9">
        <f t="shared" si="2"/>
        <v>433.30472868303445</v>
      </c>
      <c r="E23" s="9"/>
      <c r="F23" s="10">
        <f t="shared" si="3"/>
        <v>19590</v>
      </c>
      <c r="G23" s="10">
        <f t="shared" si="4"/>
        <v>43.915799999999997</v>
      </c>
      <c r="H23" s="9">
        <f t="shared" si="5"/>
        <v>446.08090937657977</v>
      </c>
      <c r="I23" s="9"/>
      <c r="J23" s="10">
        <f t="shared" si="6"/>
        <v>19435</v>
      </c>
      <c r="K23" s="10">
        <f t="shared" si="7"/>
        <v>44.574300000000001</v>
      </c>
      <c r="L23" s="9">
        <f t="shared" si="8"/>
        <v>436.01357733043477</v>
      </c>
      <c r="M23" s="9"/>
      <c r="N23" s="10">
        <f t="shared" si="9"/>
        <v>19595</v>
      </c>
      <c r="O23" s="10">
        <f t="shared" si="10"/>
        <v>43.915799999999997</v>
      </c>
      <c r="P23" s="9">
        <f t="shared" si="11"/>
        <v>446.19476361582849</v>
      </c>
      <c r="R23" s="428"/>
    </row>
    <row r="24" spans="1:18">
      <c r="A24" s="6" t="s">
        <v>28</v>
      </c>
      <c r="B24" s="10">
        <f t="shared" si="0"/>
        <v>10775</v>
      </c>
      <c r="C24" s="10">
        <f t="shared" si="1"/>
        <v>14.470599999999999</v>
      </c>
      <c r="D24" s="9">
        <f t="shared" si="2"/>
        <v>744.61321576161322</v>
      </c>
      <c r="E24" s="9"/>
      <c r="F24" s="10">
        <f t="shared" si="3"/>
        <v>10805</v>
      </c>
      <c r="G24" s="10">
        <f t="shared" si="4"/>
        <v>14.230700000000001</v>
      </c>
      <c r="H24" s="9">
        <f t="shared" si="5"/>
        <v>759.27396403550074</v>
      </c>
      <c r="I24" s="9"/>
      <c r="J24" s="10">
        <f t="shared" si="6"/>
        <v>10710</v>
      </c>
      <c r="K24" s="10">
        <f t="shared" si="7"/>
        <v>14.2159</v>
      </c>
      <c r="L24" s="9">
        <f t="shared" si="8"/>
        <v>753.38177674294275</v>
      </c>
      <c r="M24" s="9"/>
      <c r="N24" s="10">
        <f t="shared" si="9"/>
        <v>10840</v>
      </c>
      <c r="O24" s="10">
        <f t="shared" si="10"/>
        <v>14.230700000000001</v>
      </c>
      <c r="P24" s="9">
        <f t="shared" si="11"/>
        <v>761.73343545995624</v>
      </c>
    </row>
    <row r="25" spans="1:18">
      <c r="A25" s="6" t="s">
        <v>29</v>
      </c>
      <c r="B25" s="10">
        <f t="shared" si="0"/>
        <v>1585</v>
      </c>
      <c r="C25" s="10">
        <f t="shared" si="1"/>
        <v>4.7782</v>
      </c>
      <c r="D25" s="9">
        <f t="shared" si="2"/>
        <v>331.71487170901179</v>
      </c>
      <c r="E25" s="9"/>
      <c r="F25" s="10">
        <f t="shared" si="3"/>
        <v>1530</v>
      </c>
      <c r="G25" s="10">
        <f t="shared" si="4"/>
        <v>4.8719000000000001</v>
      </c>
      <c r="H25" s="9">
        <f t="shared" si="5"/>
        <v>314.04585479997536</v>
      </c>
      <c r="I25" s="9"/>
      <c r="J25" s="10">
        <f t="shared" si="6"/>
        <v>1520</v>
      </c>
      <c r="K25" s="10">
        <f t="shared" si="7"/>
        <v>4.8402000000000003</v>
      </c>
      <c r="L25" s="9">
        <f t="shared" si="8"/>
        <v>314.03661005743561</v>
      </c>
      <c r="M25" s="9"/>
      <c r="N25" s="10">
        <f t="shared" si="9"/>
        <v>1485</v>
      </c>
      <c r="O25" s="10">
        <f t="shared" si="10"/>
        <v>4.8719000000000001</v>
      </c>
      <c r="P25" s="9">
        <f t="shared" si="11"/>
        <v>304.80921201174078</v>
      </c>
    </row>
    <row r="26" spans="1:18">
      <c r="A26" s="6" t="s">
        <v>30</v>
      </c>
      <c r="B26" s="10">
        <f t="shared" si="0"/>
        <v>2475</v>
      </c>
      <c r="C26" s="10">
        <f t="shared" si="1"/>
        <v>5.8532000000000002</v>
      </c>
      <c r="D26" s="9">
        <f t="shared" si="2"/>
        <v>422.84562290712773</v>
      </c>
      <c r="E26" s="9"/>
      <c r="F26" s="10">
        <f t="shared" si="3"/>
        <v>2510</v>
      </c>
      <c r="G26" s="10">
        <f t="shared" si="4"/>
        <v>6.0293000000000001</v>
      </c>
      <c r="H26" s="9">
        <f t="shared" si="5"/>
        <v>416.30039971472644</v>
      </c>
      <c r="I26" s="9"/>
      <c r="J26" s="10">
        <f t="shared" si="6"/>
        <v>2515</v>
      </c>
      <c r="K26" s="10">
        <f t="shared" si="7"/>
        <v>6.0930999999999997</v>
      </c>
      <c r="L26" s="9">
        <f t="shared" si="8"/>
        <v>412.76197666212602</v>
      </c>
      <c r="M26" s="9"/>
      <c r="N26" s="10">
        <f t="shared" si="9"/>
        <v>2570</v>
      </c>
      <c r="O26" s="10">
        <f t="shared" si="10"/>
        <v>6.0293000000000001</v>
      </c>
      <c r="P26" s="9">
        <f t="shared" si="11"/>
        <v>426.25180369197085</v>
      </c>
    </row>
    <row r="27" spans="1:18">
      <c r="A27" s="6" t="s">
        <v>31</v>
      </c>
      <c r="B27" s="10">
        <f t="shared" si="0"/>
        <v>3180</v>
      </c>
      <c r="C27" s="10">
        <f t="shared" si="1"/>
        <v>5.8935000000000004</v>
      </c>
      <c r="D27" s="9">
        <f t="shared" si="2"/>
        <v>539.57750063629419</v>
      </c>
      <c r="E27" s="9"/>
      <c r="F27" s="10">
        <f t="shared" si="3"/>
        <v>3135</v>
      </c>
      <c r="G27" s="10">
        <f t="shared" si="4"/>
        <v>5.7099000000000002</v>
      </c>
      <c r="H27" s="9">
        <f t="shared" si="5"/>
        <v>549.04639310670939</v>
      </c>
      <c r="I27" s="9"/>
      <c r="J27" s="10">
        <f t="shared" si="6"/>
        <v>3135</v>
      </c>
      <c r="K27" s="10">
        <f t="shared" si="7"/>
        <v>5.7256999999999998</v>
      </c>
      <c r="L27" s="9">
        <f t="shared" si="8"/>
        <v>547.53130621583387</v>
      </c>
      <c r="M27" s="9"/>
      <c r="N27" s="10">
        <f t="shared" si="9"/>
        <v>3120</v>
      </c>
      <c r="O27" s="10">
        <f t="shared" si="10"/>
        <v>5.7099000000000002</v>
      </c>
      <c r="P27" s="9">
        <f t="shared" si="11"/>
        <v>546.41937687174902</v>
      </c>
    </row>
    <row r="28" spans="1:18">
      <c r="A28" s="6" t="s">
        <v>32</v>
      </c>
      <c r="B28" s="10">
        <f t="shared" si="0"/>
        <v>1185</v>
      </c>
      <c r="C28" s="10">
        <f t="shared" si="1"/>
        <v>1.5508</v>
      </c>
      <c r="D28" s="9">
        <f t="shared" si="2"/>
        <v>764.12174361619816</v>
      </c>
      <c r="E28" s="9"/>
      <c r="F28" s="10">
        <f t="shared" si="3"/>
        <v>1185</v>
      </c>
      <c r="G28" s="10">
        <f t="shared" si="4"/>
        <v>1.5176000000000001</v>
      </c>
      <c r="H28" s="9">
        <f t="shared" si="5"/>
        <v>780.83816552451231</v>
      </c>
      <c r="I28" s="9"/>
      <c r="J28" s="10">
        <f t="shared" si="6"/>
        <v>1185</v>
      </c>
      <c r="K28" s="10">
        <f t="shared" si="7"/>
        <v>1.5125999999999999</v>
      </c>
      <c r="L28" s="9">
        <f t="shared" si="8"/>
        <v>783.4192780642602</v>
      </c>
      <c r="M28" s="9"/>
      <c r="N28" s="10">
        <f t="shared" si="9"/>
        <v>1205</v>
      </c>
      <c r="O28" s="10">
        <f t="shared" si="10"/>
        <v>1.5176000000000001</v>
      </c>
      <c r="P28" s="9">
        <f t="shared" si="11"/>
        <v>794.01686874011591</v>
      </c>
    </row>
    <row r="29" spans="1:18">
      <c r="A29" s="6" t="s">
        <v>33</v>
      </c>
      <c r="B29" s="10">
        <f t="shared" si="0"/>
        <v>3260</v>
      </c>
      <c r="C29" s="10">
        <f t="shared" si="1"/>
        <v>8.1035000000000004</v>
      </c>
      <c r="D29" s="9">
        <f t="shared" si="2"/>
        <v>402.2953044980564</v>
      </c>
      <c r="E29" s="9"/>
      <c r="F29" s="10">
        <f t="shared" si="3"/>
        <v>3115</v>
      </c>
      <c r="G29" s="10">
        <f t="shared" si="4"/>
        <v>8.0451999999999995</v>
      </c>
      <c r="H29" s="9">
        <f t="shared" si="5"/>
        <v>387.18739123949689</v>
      </c>
      <c r="I29" s="9"/>
      <c r="J29" s="10">
        <f t="shared" si="6"/>
        <v>3060</v>
      </c>
      <c r="K29" s="10">
        <f t="shared" si="7"/>
        <v>8.0167000000000002</v>
      </c>
      <c r="L29" s="9">
        <f t="shared" si="8"/>
        <v>381.70319458131149</v>
      </c>
      <c r="M29" s="9"/>
      <c r="N29" s="10">
        <f t="shared" si="9"/>
        <v>3035</v>
      </c>
      <c r="O29" s="10">
        <f t="shared" si="10"/>
        <v>8.0451999999999995</v>
      </c>
      <c r="P29" s="9">
        <f t="shared" si="11"/>
        <v>377.24357380798489</v>
      </c>
    </row>
    <row r="30" spans="1:18">
      <c r="A30" s="6" t="s">
        <v>34</v>
      </c>
      <c r="B30" s="10">
        <f t="shared" si="0"/>
        <v>7585</v>
      </c>
      <c r="C30" s="10">
        <f t="shared" si="1"/>
        <v>21.9178</v>
      </c>
      <c r="D30" s="9">
        <f t="shared" si="2"/>
        <v>346.06575477465805</v>
      </c>
      <c r="E30" s="9"/>
      <c r="F30" s="10">
        <f t="shared" si="3"/>
        <v>7690</v>
      </c>
      <c r="G30" s="10">
        <f t="shared" si="4"/>
        <v>21.9482</v>
      </c>
      <c r="H30" s="9">
        <f t="shared" si="5"/>
        <v>350.3704176196681</v>
      </c>
      <c r="I30" s="9"/>
      <c r="J30" s="10">
        <f t="shared" si="6"/>
        <v>7575</v>
      </c>
      <c r="K30" s="10">
        <f t="shared" si="7"/>
        <v>21.947800000000001</v>
      </c>
      <c r="L30" s="9">
        <f t="shared" si="8"/>
        <v>345.13709802349211</v>
      </c>
      <c r="M30" s="9"/>
      <c r="N30" s="10">
        <f t="shared" si="9"/>
        <v>7645</v>
      </c>
      <c r="O30" s="10">
        <f t="shared" si="10"/>
        <v>21.9482</v>
      </c>
      <c r="P30" s="9">
        <f t="shared" si="11"/>
        <v>348.32013559198475</v>
      </c>
    </row>
    <row r="31" spans="1:18">
      <c r="A31" s="6" t="s">
        <v>35</v>
      </c>
      <c r="B31" s="10">
        <f t="shared" si="0"/>
        <v>1445</v>
      </c>
      <c r="C31" s="10">
        <f t="shared" si="1"/>
        <v>1.3447</v>
      </c>
      <c r="D31" s="9">
        <f t="shared" si="2"/>
        <v>1074.5891276864729</v>
      </c>
      <c r="E31" s="9"/>
      <c r="F31" s="10">
        <f t="shared" si="3"/>
        <v>1480</v>
      </c>
      <c r="G31" s="10">
        <f t="shared" si="4"/>
        <v>1.302</v>
      </c>
      <c r="H31" s="9">
        <f t="shared" si="5"/>
        <v>1136.7127496159753</v>
      </c>
      <c r="I31" s="9"/>
      <c r="J31" s="10">
        <f t="shared" si="6"/>
        <v>1475</v>
      </c>
      <c r="K31" s="10">
        <f t="shared" si="7"/>
        <v>1.2952999999999999</v>
      </c>
      <c r="L31" s="9">
        <f t="shared" si="8"/>
        <v>1138.7323399984562</v>
      </c>
      <c r="M31" s="9"/>
      <c r="N31" s="10">
        <f t="shared" si="9"/>
        <v>1475</v>
      </c>
      <c r="O31" s="10">
        <f t="shared" si="10"/>
        <v>1.302</v>
      </c>
      <c r="P31" s="9">
        <f t="shared" si="11"/>
        <v>1132.8725038402458</v>
      </c>
    </row>
    <row r="32" spans="1:18">
      <c r="A32" s="6" t="s">
        <v>36</v>
      </c>
      <c r="B32" s="10">
        <f t="shared" si="0"/>
        <v>6070</v>
      </c>
      <c r="C32" s="10">
        <f t="shared" si="1"/>
        <v>9.2593999999999994</v>
      </c>
      <c r="D32" s="9">
        <f t="shared" si="2"/>
        <v>655.55003563945832</v>
      </c>
      <c r="E32" s="9"/>
      <c r="F32" s="10">
        <f t="shared" si="3"/>
        <v>6155</v>
      </c>
      <c r="G32" s="10">
        <f t="shared" si="4"/>
        <v>8.9719999999999995</v>
      </c>
      <c r="H32" s="9">
        <f t="shared" si="5"/>
        <v>686.0231832367366</v>
      </c>
      <c r="I32" s="9"/>
      <c r="J32" s="10">
        <f t="shared" si="6"/>
        <v>6120</v>
      </c>
      <c r="K32" s="10">
        <f t="shared" si="7"/>
        <v>9.0436999999999994</v>
      </c>
      <c r="L32" s="9">
        <f t="shared" si="8"/>
        <v>676.71417671970551</v>
      </c>
      <c r="M32" s="9"/>
      <c r="N32" s="10">
        <f t="shared" si="9"/>
        <v>6180</v>
      </c>
      <c r="O32" s="10">
        <f t="shared" si="10"/>
        <v>8.9719999999999995</v>
      </c>
      <c r="P32" s="9">
        <f t="shared" si="11"/>
        <v>688.80962995987522</v>
      </c>
    </row>
    <row r="33" spans="1:16">
      <c r="A33" s="6" t="s">
        <v>37</v>
      </c>
      <c r="B33" s="10">
        <f t="shared" si="0"/>
        <v>4720</v>
      </c>
      <c r="C33" s="10">
        <f t="shared" si="1"/>
        <v>11.5571</v>
      </c>
      <c r="D33" s="9">
        <f t="shared" si="2"/>
        <v>408.40695330143376</v>
      </c>
      <c r="E33" s="9"/>
      <c r="F33" s="10">
        <f t="shared" si="3"/>
        <v>4680</v>
      </c>
      <c r="G33" s="10">
        <f t="shared" si="4"/>
        <v>11.8453</v>
      </c>
      <c r="H33" s="9">
        <f t="shared" si="5"/>
        <v>395.09341257714033</v>
      </c>
      <c r="I33" s="9"/>
      <c r="J33" s="10">
        <f t="shared" si="6"/>
        <v>4630</v>
      </c>
      <c r="K33" s="10">
        <f t="shared" si="7"/>
        <v>11.931900000000001</v>
      </c>
      <c r="L33" s="9">
        <f t="shared" si="8"/>
        <v>388.03543442368772</v>
      </c>
      <c r="M33" s="9"/>
      <c r="N33" s="10">
        <f t="shared" si="9"/>
        <v>4665</v>
      </c>
      <c r="O33" s="10">
        <f t="shared" si="10"/>
        <v>11.8453</v>
      </c>
      <c r="P33" s="9">
        <f t="shared" si="11"/>
        <v>393.82708753682897</v>
      </c>
    </row>
    <row r="34" spans="1:16">
      <c r="A34" s="6" t="s">
        <v>38</v>
      </c>
      <c r="B34" s="10">
        <f t="shared" si="0"/>
        <v>4970</v>
      </c>
      <c r="C34" s="10">
        <f t="shared" si="1"/>
        <v>6.7641999999999998</v>
      </c>
      <c r="D34" s="9">
        <f t="shared" si="2"/>
        <v>734.75059874042756</v>
      </c>
      <c r="E34" s="9"/>
      <c r="F34" s="10">
        <f t="shared" si="3"/>
        <v>5050</v>
      </c>
      <c r="G34" s="10">
        <f t="shared" si="4"/>
        <v>6.78</v>
      </c>
      <c r="H34" s="9">
        <f t="shared" si="5"/>
        <v>744.83775811209432</v>
      </c>
      <c r="I34" s="9"/>
      <c r="J34" s="10">
        <f t="shared" si="6"/>
        <v>5010</v>
      </c>
      <c r="K34" s="10">
        <f t="shared" si="7"/>
        <v>6.7271000000000001</v>
      </c>
      <c r="L34" s="9">
        <f t="shared" si="8"/>
        <v>744.74885165970477</v>
      </c>
      <c r="M34" s="9"/>
      <c r="N34" s="10">
        <f t="shared" si="9"/>
        <v>5005</v>
      </c>
      <c r="O34" s="10">
        <f t="shared" si="10"/>
        <v>6.78</v>
      </c>
      <c r="P34" s="9">
        <f t="shared" si="11"/>
        <v>738.20058997050148</v>
      </c>
    </row>
    <row r="35" spans="1:16">
      <c r="A35" s="6" t="s">
        <v>39</v>
      </c>
      <c r="B35" s="10">
        <f t="shared" si="0"/>
        <v>1550</v>
      </c>
      <c r="C35" s="10">
        <f t="shared" si="1"/>
        <v>1.3912</v>
      </c>
      <c r="D35" s="9">
        <f t="shared" si="2"/>
        <v>1114.1460609545716</v>
      </c>
      <c r="E35" s="9"/>
      <c r="F35" s="10">
        <f t="shared" si="3"/>
        <v>1580</v>
      </c>
      <c r="G35" s="10">
        <f t="shared" si="4"/>
        <v>1.3827</v>
      </c>
      <c r="H35" s="9">
        <f t="shared" si="5"/>
        <v>1142.6918348159397</v>
      </c>
      <c r="I35" s="9"/>
      <c r="J35" s="10">
        <f t="shared" si="6"/>
        <v>1575</v>
      </c>
      <c r="K35" s="10">
        <f t="shared" si="7"/>
        <v>1.385</v>
      </c>
      <c r="L35" s="9">
        <f t="shared" si="8"/>
        <v>1137.1841155234656</v>
      </c>
      <c r="M35" s="9"/>
      <c r="N35" s="10">
        <f t="shared" si="9"/>
        <v>1570</v>
      </c>
      <c r="O35" s="10">
        <f t="shared" si="10"/>
        <v>1.3827</v>
      </c>
      <c r="P35" s="9">
        <f t="shared" si="11"/>
        <v>1135.4596080133072</v>
      </c>
    </row>
    <row r="36" spans="1:16">
      <c r="A36" s="6" t="s">
        <v>40</v>
      </c>
      <c r="B36" s="10">
        <f t="shared" si="0"/>
        <v>3505</v>
      </c>
      <c r="C36" s="10">
        <f t="shared" si="1"/>
        <v>6.5843999999999996</v>
      </c>
      <c r="D36" s="9">
        <f t="shared" si="2"/>
        <v>532.31881416681858</v>
      </c>
      <c r="E36" s="9"/>
      <c r="F36" s="10">
        <f t="shared" si="3"/>
        <v>3455</v>
      </c>
      <c r="G36" s="10">
        <f t="shared" si="4"/>
        <v>6.4930000000000003</v>
      </c>
      <c r="H36" s="9">
        <f t="shared" si="5"/>
        <v>532.1115046973664</v>
      </c>
      <c r="I36" s="9"/>
      <c r="J36" s="10">
        <f t="shared" si="6"/>
        <v>3490</v>
      </c>
      <c r="K36" s="10">
        <f t="shared" si="7"/>
        <v>6.4805999999999999</v>
      </c>
      <c r="L36" s="9">
        <f t="shared" si="8"/>
        <v>538.53038298922945</v>
      </c>
      <c r="M36" s="9"/>
      <c r="N36" s="10">
        <f t="shared" si="9"/>
        <v>3490</v>
      </c>
      <c r="O36" s="10">
        <f t="shared" si="10"/>
        <v>6.4930000000000003</v>
      </c>
      <c r="P36" s="9">
        <f t="shared" si="11"/>
        <v>537.5019251501617</v>
      </c>
    </row>
    <row r="37" spans="1:16">
      <c r="A37" s="6" t="s">
        <v>41</v>
      </c>
      <c r="B37" s="10">
        <f t="shared" si="0"/>
        <v>9015</v>
      </c>
      <c r="C37" s="10">
        <f t="shared" si="1"/>
        <v>20.242999999999999</v>
      </c>
      <c r="D37" s="9">
        <f t="shared" si="2"/>
        <v>445.33912957565582</v>
      </c>
      <c r="E37" s="9"/>
      <c r="F37" s="10">
        <f t="shared" si="3"/>
        <v>9020</v>
      </c>
      <c r="G37" s="10">
        <f t="shared" si="4"/>
        <v>20.548999999999999</v>
      </c>
      <c r="H37" s="9">
        <f t="shared" si="5"/>
        <v>438.95080052557302</v>
      </c>
      <c r="I37" s="9"/>
      <c r="J37" s="10">
        <f t="shared" si="6"/>
        <v>9010</v>
      </c>
      <c r="K37" s="10">
        <f t="shared" si="7"/>
        <v>20.646000000000001</v>
      </c>
      <c r="L37" s="9">
        <f t="shared" si="8"/>
        <v>436.40414608156544</v>
      </c>
      <c r="M37" s="9"/>
      <c r="N37" s="10">
        <f t="shared" si="9"/>
        <v>9075</v>
      </c>
      <c r="O37" s="10">
        <f t="shared" si="10"/>
        <v>20.548999999999999</v>
      </c>
      <c r="P37" s="9">
        <f t="shared" si="11"/>
        <v>441.62732979707044</v>
      </c>
    </row>
    <row r="38" spans="1:16">
      <c r="A38" s="6" t="s">
        <v>42</v>
      </c>
      <c r="B38" s="10">
        <f t="shared" si="0"/>
        <v>3895</v>
      </c>
      <c r="C38" s="10">
        <f t="shared" si="1"/>
        <v>5.9730999999999996</v>
      </c>
      <c r="D38" s="9">
        <f t="shared" si="2"/>
        <v>652.09020441646715</v>
      </c>
      <c r="E38" s="9"/>
      <c r="F38" s="10">
        <f t="shared" si="3"/>
        <v>3845</v>
      </c>
      <c r="G38" s="10">
        <f t="shared" si="4"/>
        <v>5.8746</v>
      </c>
      <c r="H38" s="9">
        <f t="shared" si="5"/>
        <v>654.51264766962856</v>
      </c>
      <c r="I38" s="9"/>
      <c r="J38" s="10">
        <f t="shared" si="6"/>
        <v>3830</v>
      </c>
      <c r="K38" s="10">
        <f t="shared" si="7"/>
        <v>5.9542000000000002</v>
      </c>
      <c r="L38" s="9">
        <f t="shared" si="8"/>
        <v>643.24342480937821</v>
      </c>
      <c r="M38" s="9"/>
      <c r="N38" s="10">
        <f t="shared" si="9"/>
        <v>3850</v>
      </c>
      <c r="O38" s="10">
        <f t="shared" si="10"/>
        <v>5.8746</v>
      </c>
      <c r="P38" s="9">
        <f t="shared" si="11"/>
        <v>655.36376944813264</v>
      </c>
    </row>
    <row r="39" spans="1:16">
      <c r="A39" s="6" t="s">
        <v>43</v>
      </c>
      <c r="B39" s="10">
        <f t="shared" si="0"/>
        <v>1930</v>
      </c>
      <c r="C39" s="10">
        <f t="shared" si="1"/>
        <v>5.5414000000000003</v>
      </c>
      <c r="D39" s="9">
        <f t="shared" si="2"/>
        <v>348.28743638791639</v>
      </c>
      <c r="E39" s="9"/>
      <c r="F39" s="10">
        <f t="shared" si="3"/>
        <v>1785</v>
      </c>
      <c r="G39" s="10">
        <f t="shared" si="4"/>
        <v>5.5507999999999997</v>
      </c>
      <c r="H39" s="9">
        <f t="shared" si="5"/>
        <v>321.57526842977592</v>
      </c>
      <c r="I39" s="9"/>
      <c r="J39" s="10">
        <f t="shared" si="6"/>
        <v>1775</v>
      </c>
      <c r="K39" s="10">
        <f t="shared" si="7"/>
        <v>5.5601000000000003</v>
      </c>
      <c r="L39" s="9">
        <f t="shared" si="8"/>
        <v>319.23886261038467</v>
      </c>
      <c r="M39" s="9"/>
      <c r="N39" s="10">
        <f t="shared" si="9"/>
        <v>1770</v>
      </c>
      <c r="O39" s="10">
        <f t="shared" si="10"/>
        <v>5.5507999999999997</v>
      </c>
      <c r="P39" s="9">
        <f t="shared" si="11"/>
        <v>318.87295524969375</v>
      </c>
    </row>
    <row r="40" spans="1:16">
      <c r="A40" s="6" t="s">
        <v>44</v>
      </c>
      <c r="B40" s="10">
        <f t="shared" si="0"/>
        <v>4625</v>
      </c>
      <c r="C40" s="10">
        <f t="shared" si="1"/>
        <v>11.8894</v>
      </c>
      <c r="D40" s="9">
        <f t="shared" si="2"/>
        <v>389.00196813968745</v>
      </c>
      <c r="E40" s="9"/>
      <c r="F40" s="10">
        <f t="shared" si="3"/>
        <v>4550</v>
      </c>
      <c r="G40" s="10">
        <f t="shared" si="4"/>
        <v>11.617100000000001</v>
      </c>
      <c r="H40" s="9">
        <f t="shared" si="5"/>
        <v>391.66401253324835</v>
      </c>
      <c r="I40" s="9"/>
      <c r="J40" s="10">
        <f t="shared" si="6"/>
        <v>4510</v>
      </c>
      <c r="K40" s="10">
        <f t="shared" si="7"/>
        <v>11.7166</v>
      </c>
      <c r="L40" s="9">
        <f t="shared" si="8"/>
        <v>384.9239540481027</v>
      </c>
      <c r="M40" s="9"/>
      <c r="N40" s="10">
        <f t="shared" si="9"/>
        <v>4610</v>
      </c>
      <c r="O40" s="10">
        <f t="shared" si="10"/>
        <v>11.617100000000001</v>
      </c>
      <c r="P40" s="9">
        <f t="shared" si="11"/>
        <v>396.82881269852197</v>
      </c>
    </row>
    <row r="41" spans="1:16">
      <c r="A41" s="6"/>
      <c r="B41" s="10"/>
      <c r="C41" s="10"/>
      <c r="D41" s="9"/>
      <c r="E41" s="9"/>
      <c r="F41" s="10"/>
      <c r="G41" s="10"/>
      <c r="H41" s="9"/>
      <c r="I41" s="9"/>
      <c r="J41" s="10"/>
      <c r="K41" s="10"/>
      <c r="L41" s="9"/>
      <c r="M41" s="9"/>
      <c r="N41" s="10"/>
      <c r="O41" s="10"/>
      <c r="P41" s="9"/>
    </row>
    <row r="42" spans="1:16">
      <c r="A42" s="6" t="s">
        <v>45</v>
      </c>
      <c r="B42" s="10">
        <f t="shared" ref="B42:B43" si="12">INDEX($B$59:$E$93,MATCH($A42,$A$59:$A$93,0),MATCH(D$8,$B$58:$E$58,0))</f>
        <v>175400</v>
      </c>
      <c r="C42" s="10">
        <f t="shared" ref="C42:C43" si="13">SUM(INDEX($H$59:$K$93,MATCH($A42,$G$59:$G$93,0),MATCH(D$8,$H$58:$K$58,0)))/10000</f>
        <v>349.45170000000002</v>
      </c>
      <c r="D42" s="9">
        <f t="shared" ref="D42:D43" si="14">SUM(B42/C42)</f>
        <v>501.9291650319629</v>
      </c>
      <c r="E42" s="9"/>
      <c r="F42" s="10">
        <f t="shared" ref="F42:F43" si="15">INDEX($B$59:$E$93,MATCH($A42,$A$59:$A$93,0),MATCH(H$8,$B$58:$E$58,0))</f>
        <v>173655</v>
      </c>
      <c r="G42" s="10">
        <f t="shared" ref="G42:G43" si="16">SUM(INDEX($H$59:$K$93,MATCH($A42,$G$59:$G$93,0),MATCH(H$8,$H$58:$K$58,0)))/10000</f>
        <v>345.84129999999999</v>
      </c>
      <c r="H42" s="9">
        <f t="shared" ref="H42:H43" si="17">SUM(F42/G42)</f>
        <v>502.12337277242483</v>
      </c>
      <c r="I42" s="9"/>
      <c r="J42" s="10">
        <f t="shared" ref="J42:J43" si="18">INDEX($B$59:$E$93,MATCH($A42,$A$59:$A$93,0),MATCH(L$8,$B$58:$E$58,0))</f>
        <v>171350</v>
      </c>
      <c r="K42" s="10">
        <f t="shared" si="7"/>
        <v>347.90440000000001</v>
      </c>
      <c r="L42" s="9">
        <f t="shared" ref="L42:L43" si="19">SUM(J42/K42)</f>
        <v>492.5203590411619</v>
      </c>
      <c r="M42" s="9"/>
      <c r="N42" s="10">
        <f t="shared" ref="N42:N43" si="20">INDEX($B$59:$E$93,MATCH($A42,$A$59:$A$93,0),MATCH(P$8,$B$58:$E$58,0))</f>
        <v>172255</v>
      </c>
      <c r="O42" s="10">
        <f>SUM(INDEX($H$59:$K$93,MATCH($A42,$G$59:$G$93,0),MATCH(2022,$H$58:$K$58,0)))/10000</f>
        <v>345.84129999999999</v>
      </c>
      <c r="P42" s="9">
        <f t="shared" ref="P42:P43" si="21">SUM(N42/O42)</f>
        <v>498.07527325394625</v>
      </c>
    </row>
    <row r="43" spans="1:16">
      <c r="A43" s="6" t="s">
        <v>46</v>
      </c>
      <c r="B43" s="10">
        <f t="shared" si="12"/>
        <v>2765150</v>
      </c>
      <c r="C43" s="10">
        <f t="shared" si="13"/>
        <v>4213.8347999999996</v>
      </c>
      <c r="D43" s="9">
        <f t="shared" si="14"/>
        <v>656.20750011367329</v>
      </c>
      <c r="E43" s="9"/>
      <c r="F43" s="10">
        <f t="shared" si="15"/>
        <v>2767700</v>
      </c>
      <c r="G43" s="10">
        <f t="shared" si="16"/>
        <v>4246.9493000000002</v>
      </c>
      <c r="H43" s="9">
        <f t="shared" si="17"/>
        <v>651.69132110901342</v>
      </c>
      <c r="I43" s="9"/>
      <c r="J43" s="10">
        <f t="shared" si="18"/>
        <v>2726830</v>
      </c>
      <c r="K43" s="10">
        <f t="shared" ref="K43" si="22">SUM(INDEX($H$59:$K$93,MATCH($A43,$G$59:$G$93,0),MATCH(2021,$H$58:$K$58,0)))/10000</f>
        <v>4213.8347999999996</v>
      </c>
      <c r="L43" s="9">
        <f t="shared" si="19"/>
        <v>647.11364574615038</v>
      </c>
      <c r="M43" s="9"/>
      <c r="N43" s="10">
        <f t="shared" si="20"/>
        <v>2724770</v>
      </c>
      <c r="O43" s="10">
        <f>SUM(INDEX($H$59:$K$93,MATCH($A43,$G$59:$G$93,0),MATCH(2022,$H$58:$K$58,0)))/10000</f>
        <v>4246.9493000000002</v>
      </c>
      <c r="P43" s="9">
        <f t="shared" si="21"/>
        <v>641.58288868670979</v>
      </c>
    </row>
    <row r="44" spans="1:16">
      <c r="A44" s="6" t="s">
        <v>543</v>
      </c>
      <c r="B44" s="98" cm="1">
        <f t="array" ref="B44">SUM(SUMIFS(B$9:B$40,$A$9:$A$40,{"Na h-Eileanan Siar","Argyll and Bute","Shetland Islands","Highland","Orkney Islands","Scottish Borders","Dumfries and Galloway","Aberdeenshire"}))</f>
        <v>43455</v>
      </c>
      <c r="C44" s="98">
        <f>SUM(SUMIFS(C$9:C$40,$A$9:$A$40,{"Na h-Eileanan Siar","Argyll and Bute","Shetland Islands","Highland","Orkney Islands","Scottish Borders","Dumfries and Galloway","Aberdeenshire"}))</f>
        <v>55.305799999999991</v>
      </c>
      <c r="D44" s="9">
        <f t="shared" ref="D44:D47" si="23">SUM(B44/SUM(C44))</f>
        <v>785.72229314104504</v>
      </c>
      <c r="E44" s="9"/>
      <c r="F44" s="98">
        <f>SUM(SUMIFS(F$9:F$40,$A$9:$A$40,{"Na h-Eileanan Siar","Argyll and Bute","Shetland Islands","Highland","Orkney Islands","Scottish Borders","Dumfries and Galloway","Aberdeenshire"}))</f>
        <v>43390</v>
      </c>
      <c r="G44" s="98">
        <f>SUM(SUMIFS(G$9:G$40,$A$9:$A$40,{"Na h-Eileanan Siar","Argyll and Bute","Shetland Islands","Highland","Orkney Islands","Scottish Borders","Dumfries and Galloway","Aberdeenshire"}))</f>
        <v>54.715699999999998</v>
      </c>
      <c r="H44" s="9">
        <f t="shared" ref="H44:H47" si="24">SUM(F44/SUM(G44))</f>
        <v>793.00822250286478</v>
      </c>
      <c r="I44" s="9"/>
      <c r="J44" s="98">
        <f>SUM(SUMIFS(J$9:J$40,$A$9:$A$40,{"Na h-Eileanan Siar","Argyll and Bute","Shetland Islands","Highland","Orkney Islands","Scottish Borders","Dumfries and Galloway","Aberdeenshire"}))</f>
        <v>42695</v>
      </c>
      <c r="K44" s="98">
        <f>SUM(SUMIFS(K$9:K$40,$A$9:$A$40,{"Na h-Eileanan Siar","Argyll and Bute","Shetland Islands","Highland","Orkney Islands","Scottish Borders","Dumfries and Galloway","Aberdeenshire"}))</f>
        <v>54.523400000000002</v>
      </c>
      <c r="L44" s="9">
        <f t="shared" ref="L44:L47" si="25">SUM(J44/SUM(K44))</f>
        <v>783.05828323252035</v>
      </c>
      <c r="M44" s="9"/>
      <c r="N44" s="98">
        <f>SUM(SUMIFS(N$9:N$40,$A$9:$A$40,{"Na h-Eileanan Siar","Argyll and Bute","Shetland Islands","Highland","Orkney Islands","Scottish Borders","Dumfries and Galloway","Aberdeenshire"}))</f>
        <v>42785</v>
      </c>
      <c r="O44" s="98">
        <f>SUM(SUMIFS(O$9:O$40,$A$9:$A$40,{"Na h-Eileanan Siar","Argyll and Bute","Shetland Islands","Highland","Orkney Islands","Scottish Borders","Dumfries and Galloway","Aberdeenshire"}))</f>
        <v>54.715699999999998</v>
      </c>
      <c r="P44" s="9">
        <f t="shared" ref="P44:P47" si="26">SUM(N44/SUM(O44))</f>
        <v>781.95106706119088</v>
      </c>
    </row>
    <row r="45" spans="1:16">
      <c r="A45" s="6" t="s">
        <v>544</v>
      </c>
      <c r="B45" s="98">
        <f>SUM(SUMIFS(B$9:B$40,$A$9:$A$40,{"Perth and Kinross","Stirling","Moray","South Ayrshire","East Ayrshire","East Lothian","North Ayrshire","Fife"}))</f>
        <v>35840</v>
      </c>
      <c r="C45" s="98">
        <f>SUM(SUMIFS(C$9:C$40,$A$9:$A$40,{"Perth and Kinross","Stirling","Moray","South Ayrshire","East Ayrshire","East Lothian","North Ayrshire","Fife"}))</f>
        <v>73.232100000000003</v>
      </c>
      <c r="D45" s="9">
        <f t="shared" si="23"/>
        <v>489.40287114530378</v>
      </c>
      <c r="E45" s="9"/>
      <c r="F45" s="98">
        <f>SUM(SUMIFS(F$9:F$40,$A$9:$A$40,{"Perth and Kinross","Stirling","Moray","South Ayrshire","East Ayrshire","East Lothian","North Ayrshire","Fife"}))</f>
        <v>35240</v>
      </c>
      <c r="G45" s="98">
        <f>SUM(SUMIFS(G$9:G$40,$A$9:$A$40,{"Perth and Kinross","Stirling","Moray","South Ayrshire","East Ayrshire","East Lothian","North Ayrshire","Fife"}))</f>
        <v>72.264200000000002</v>
      </c>
      <c r="H45" s="9">
        <f t="shared" si="24"/>
        <v>487.65502143523349</v>
      </c>
      <c r="I45" s="9"/>
      <c r="J45" s="98">
        <f>SUM(SUMIFS(J$9:J$40,$A$9:$A$40,{"Perth and Kinross","Stirling","Moray","South Ayrshire","East Ayrshire","East Lothian","North Ayrshire","Fife"}))</f>
        <v>34900</v>
      </c>
      <c r="K45" s="98">
        <f>SUM(SUMIFS(K$9:K$40,$A$9:$A$40,{"Perth and Kinross","Stirling","Moray","South Ayrshire","East Ayrshire","East Lothian","North Ayrshire","Fife"}))</f>
        <v>72.557000000000002</v>
      </c>
      <c r="L45" s="9">
        <f t="shared" si="25"/>
        <v>481.00114392822195</v>
      </c>
      <c r="M45" s="9"/>
      <c r="N45" s="98">
        <f>SUM(SUMIFS(N$9:N$40,$A$9:$A$40,{"Perth and Kinross","Stirling","Moray","South Ayrshire","East Ayrshire","East Lothian","North Ayrshire","Fife"}))</f>
        <v>34915</v>
      </c>
      <c r="O45" s="98">
        <f>SUM(SUMIFS(O$9:O$40,$A$9:$A$40,{"Perth and Kinross","Stirling","Moray","South Ayrshire","East Ayrshire","East Lothian","North Ayrshire","Fife"}))</f>
        <v>72.264200000000002</v>
      </c>
      <c r="P45" s="9">
        <f t="shared" si="26"/>
        <v>483.15763545434669</v>
      </c>
    </row>
    <row r="46" spans="1:16">
      <c r="A46" s="6" t="s">
        <v>545</v>
      </c>
      <c r="B46" s="98">
        <f>SUM(SUMIFS(B$9:B$40,$A$9:$A$40,{"Angus","Clackmannanshire","Midlothian","South Lanarkshire","Inverclyde","Renfrewshire","West Lothian","East Renfrewshire"}))</f>
        <v>30050</v>
      </c>
      <c r="C46" s="98">
        <f>SUM(SUMIFS(C$9:C$40,$A$9:$A$40,{"Angus","Clackmannanshire","Midlothian","South Lanarkshire","Inverclyde","Renfrewshire","West Lothian","East Renfrewshire"}))</f>
        <v>70.120399999999989</v>
      </c>
      <c r="D46" s="9">
        <f t="shared" si="23"/>
        <v>428.54861067535273</v>
      </c>
      <c r="E46" s="9"/>
      <c r="F46" s="98">
        <f>SUM(SUMIFS(F$9:F$40,$A$9:$A$40,{"Angus","Clackmannanshire","Midlothian","South Lanarkshire","Inverclyde","Renfrewshire","West Lothian","East Renfrewshire"}))</f>
        <v>29890</v>
      </c>
      <c r="G46" s="98">
        <f>SUM(SUMIFS(G$9:G$40,$A$9:$A$40,{"Angus","Clackmannanshire","Midlothian","South Lanarkshire","Inverclyde","Renfrewshire","West Lothian","East Renfrewshire"}))</f>
        <v>70.550899999999999</v>
      </c>
      <c r="H46" s="9">
        <f t="shared" si="24"/>
        <v>423.66575054322482</v>
      </c>
      <c r="I46" s="9"/>
      <c r="J46" s="98">
        <f>SUM(SUMIFS(J$9:J$40,$A$9:$A$40,{"Angus","Clackmannanshire","Midlothian","South Lanarkshire","Inverclyde","Renfrewshire","West Lothian","East Renfrewshire"}))</f>
        <v>29650</v>
      </c>
      <c r="K46" s="98">
        <f>SUM(SUMIFS(K$9:K$40,$A$9:$A$40,{"Angus","Clackmannanshire","Midlothian","South Lanarkshire","Inverclyde","Renfrewshire","West Lothian","East Renfrewshire"}))</f>
        <v>70.934000000000012</v>
      </c>
      <c r="L46" s="9">
        <f t="shared" si="25"/>
        <v>417.99419178391173</v>
      </c>
      <c r="M46" s="9"/>
      <c r="N46" s="98">
        <f>SUM(SUMIFS(N$9:N$40,$A$9:$A$40,{"Angus","Clackmannanshire","Midlothian","South Lanarkshire","Inverclyde","Renfrewshire","West Lothian","East Renfrewshire"}))</f>
        <v>29895</v>
      </c>
      <c r="O46" s="98">
        <f>SUM(SUMIFS(O$9:O$40,$A$9:$A$40,{"Angus","Clackmannanshire","Midlothian","South Lanarkshire","Inverclyde","Renfrewshire","West Lothian","East Renfrewshire"}))</f>
        <v>70.550899999999999</v>
      </c>
      <c r="P46" s="9">
        <f t="shared" si="26"/>
        <v>423.73662136131503</v>
      </c>
    </row>
    <row r="47" spans="1:16">
      <c r="A47" s="6" t="s">
        <v>546</v>
      </c>
      <c r="B47" s="98">
        <f>SUM(SUMIFS(B$9:B$40,$A$9:$A$40,{"North Lanarkshire","Falkirk","East Dunbartonshire","Aberdeen City","Edinburgh, City of","West Dunbartonshire","Dundee City","Glasgow City"}))</f>
        <v>66055</v>
      </c>
      <c r="C47" s="98">
        <f>SUM(SUMIFS(C$9:C$40,$A$9:$A$40,{"North Lanarkshire","Falkirk","East Dunbartonshire","Aberdeen City","Edinburgh, City of","West Dunbartonshire","Dundee City","Glasgow City"}))</f>
        <v>150.79339999999999</v>
      </c>
      <c r="D47" s="9">
        <f t="shared" si="23"/>
        <v>438.04967591419785</v>
      </c>
      <c r="E47" s="9"/>
      <c r="F47" s="98">
        <f>SUM(SUMIFS(F$9:F$40,$A$9:$A$40,{"North Lanarkshire","Falkirk","East Dunbartonshire","Aberdeen City","Edinburgh, City of","West Dunbartonshire","Dundee City","Glasgow City"}))</f>
        <v>65135</v>
      </c>
      <c r="G47" s="98">
        <f>SUM(SUMIFS(G$9:G$40,$A$9:$A$40,{"North Lanarkshire","Falkirk","East Dunbartonshire","Aberdeen City","Edinburgh, City of","West Dunbartonshire","Dundee City","Glasgow City"}))</f>
        <v>148.31049999999999</v>
      </c>
      <c r="H47" s="9">
        <f t="shared" si="24"/>
        <v>439.17996365732705</v>
      </c>
      <c r="I47" s="9"/>
      <c r="J47" s="98">
        <f>SUM(SUMIFS(J$9:J$40,$A$9:$A$40,{"North Lanarkshire","Falkirk","East Dunbartonshire","Aberdeen City","Edinburgh, City of","West Dunbartonshire","Dundee City","Glasgow City"}))</f>
        <v>64100</v>
      </c>
      <c r="K47" s="98">
        <f>SUM(SUMIFS(K$9:K$40,$A$9:$A$40,{"North Lanarkshire","Falkirk","East Dunbartonshire","Aberdeen City","Edinburgh, City of","West Dunbartonshire","Dundee City","Glasgow City"}))</f>
        <v>149.88999999999999</v>
      </c>
      <c r="L47" s="9">
        <f t="shared" si="25"/>
        <v>427.64694109013283</v>
      </c>
      <c r="M47" s="9"/>
      <c r="N47" s="98">
        <f>SUM(SUMIFS(N$9:N$40,$A$9:$A$40,{"North Lanarkshire","Falkirk","East Dunbartonshire","Aberdeen City","Edinburgh, City of","West Dunbartonshire","Dundee City","Glasgow City"}))</f>
        <v>64655</v>
      </c>
      <c r="O47" s="98">
        <f>SUM(SUMIFS(O$9:O$40,$A$9:$A$40,{"North Lanarkshire","Falkirk","East Dunbartonshire","Aberdeen City","Edinburgh, City of","West Dunbartonshire","Dundee City","Glasgow City"}))</f>
        <v>148.31049999999999</v>
      </c>
      <c r="P47" s="9">
        <f t="shared" si="26"/>
        <v>435.94351040553437</v>
      </c>
    </row>
    <row r="48" spans="1:16">
      <c r="A48" s="6" t="s">
        <v>47</v>
      </c>
      <c r="B48" s="10">
        <f t="shared" ref="B48" si="27">INDEX($B$59:$E$93,MATCH($A48,$A$59:$A$93,0),MATCH(D$8,$B$58:$E$58,0))</f>
        <v>49845</v>
      </c>
      <c r="C48" s="10">
        <f t="shared" ref="C48" si="28">SUM(INDEX($H$59:$K$93,MATCH($A48,$G$59:$G$93,0),MATCH(D$8,$H$58:$K$58,0)))/10000</f>
        <v>115.3327</v>
      </c>
      <c r="D48" s="9">
        <f t="shared" ref="D48" si="29">SUM(B48/C48)</f>
        <v>432.1844541920895</v>
      </c>
      <c r="E48" s="9"/>
      <c r="F48" s="10">
        <f t="shared" ref="F48" si="30">INDEX($B$59:$E$93,MATCH($A48,$A$59:$A$93,0),MATCH(H$8,$B$58:$E$58,0))</f>
        <v>49795</v>
      </c>
      <c r="G48" s="10">
        <f t="shared" ref="G48" si="31">SUM(INDEX($H$59:$K$93,MATCH($A48,$G$59:$G$93,0),MATCH(H$8,$H$58:$K$58,0)))/10000</f>
        <v>115.0095</v>
      </c>
      <c r="H48" s="9">
        <f t="shared" ref="H48" si="32">SUM(F48/G48)</f>
        <v>432.96423338941565</v>
      </c>
      <c r="I48" s="9"/>
      <c r="J48" s="10">
        <f t="shared" ref="J48" si="33">INDEX($B$59:$E$93,MATCH($A48,$A$59:$A$93,0),MATCH(L$8,$B$58:$E$58,0))</f>
        <v>49355</v>
      </c>
      <c r="K48" s="10">
        <f>SUM(INDEX($H$59:$K$93,MATCH($A48,$G$59:$G$93,0),MATCH(L$8,$H$58:$K$58,0)))/10000</f>
        <v>115.80759999999999</v>
      </c>
      <c r="L48" s="9">
        <f t="shared" ref="L48" si="34">SUM(J48/K48)</f>
        <v>426.18101057270854</v>
      </c>
      <c r="M48" s="9"/>
      <c r="N48" s="10">
        <f t="shared" ref="N48" si="35">INDEX($B$59:$E$93,MATCH($A48,$A$59:$A$93,0),MATCH(P$8,$B$58:$E$58,0))</f>
        <v>49690</v>
      </c>
      <c r="O48" s="10">
        <f>SUM(INDEX($H$59:$K$93,MATCH($A48,$G$59:$G$93,0),MATCH(2022,$H$58:$K$58,0)))/10000</f>
        <v>115.0095</v>
      </c>
      <c r="P48" s="9">
        <f t="shared" ref="P48" si="36">SUM(N48/O48)</f>
        <v>432.05126533025532</v>
      </c>
    </row>
    <row r="50" spans="1:11">
      <c r="A50" s="357"/>
      <c r="B50" s="358"/>
      <c r="C50" s="358"/>
      <c r="D50" s="358"/>
      <c r="E50" s="358"/>
    </row>
    <row r="51" spans="1:11" ht="15.5">
      <c r="A51" s="440" t="s">
        <v>214</v>
      </c>
      <c r="G51" s="440" t="s">
        <v>216</v>
      </c>
    </row>
    <row r="52" spans="1:11">
      <c r="A52" s="441" t="s">
        <v>715</v>
      </c>
      <c r="G52" s="441" t="s">
        <v>715</v>
      </c>
    </row>
    <row r="54" spans="1:11">
      <c r="A54" s="442" t="s">
        <v>213</v>
      </c>
      <c r="B54" s="442" t="s">
        <v>82</v>
      </c>
      <c r="G54" s="442" t="s">
        <v>150</v>
      </c>
      <c r="H54" s="442" t="s">
        <v>82</v>
      </c>
    </row>
    <row r="55" spans="1:11">
      <c r="A55" s="442" t="s">
        <v>212</v>
      </c>
      <c r="B55" s="442" t="s">
        <v>82</v>
      </c>
      <c r="G55" s="442" t="s">
        <v>149</v>
      </c>
      <c r="H55" s="442" t="s">
        <v>215</v>
      </c>
    </row>
    <row r="56" spans="1:11">
      <c r="A56" s="442" t="s">
        <v>211</v>
      </c>
      <c r="B56" s="442" t="s">
        <v>82</v>
      </c>
    </row>
    <row r="58" spans="1:11">
      <c r="A58" s="443" t="s">
        <v>5</v>
      </c>
      <c r="B58" s="444">
        <v>2021</v>
      </c>
      <c r="C58" s="444">
        <v>2022</v>
      </c>
      <c r="D58" s="444">
        <v>2023</v>
      </c>
      <c r="E58" s="444">
        <v>2024</v>
      </c>
      <c r="G58" s="443" t="s">
        <v>5</v>
      </c>
      <c r="H58" s="444">
        <v>2020</v>
      </c>
      <c r="I58" s="444">
        <v>2021</v>
      </c>
      <c r="J58" s="444">
        <v>2022</v>
      </c>
      <c r="K58" s="444">
        <v>2023</v>
      </c>
    </row>
    <row r="59" spans="1:11">
      <c r="A59" s="442" t="s">
        <v>14</v>
      </c>
      <c r="B59" s="435">
        <v>8390</v>
      </c>
      <c r="C59" s="435">
        <v>7930</v>
      </c>
      <c r="D59" s="435">
        <v>7705</v>
      </c>
      <c r="E59" s="435">
        <v>7860</v>
      </c>
      <c r="G59" s="442" t="s">
        <v>14</v>
      </c>
      <c r="H59" s="435">
        <v>156660</v>
      </c>
      <c r="I59" s="435">
        <v>154229</v>
      </c>
      <c r="J59" s="435">
        <v>150298</v>
      </c>
      <c r="K59" s="435">
        <v>151691</v>
      </c>
    </row>
    <row r="60" spans="1:11">
      <c r="A60" s="442" t="s">
        <v>15</v>
      </c>
      <c r="B60" s="435">
        <v>13495</v>
      </c>
      <c r="C60" s="435">
        <v>13100</v>
      </c>
      <c r="D60" s="435">
        <v>12615</v>
      </c>
      <c r="E60" s="435">
        <v>12540</v>
      </c>
      <c r="G60" s="442" t="s">
        <v>15</v>
      </c>
      <c r="H60" s="435">
        <v>160000</v>
      </c>
      <c r="I60" s="435">
        <v>160495</v>
      </c>
      <c r="J60" s="435">
        <v>159263</v>
      </c>
      <c r="K60" s="435">
        <v>158823</v>
      </c>
    </row>
    <row r="61" spans="1:11">
      <c r="A61" s="442" t="s">
        <v>16</v>
      </c>
      <c r="B61" s="435">
        <v>3885</v>
      </c>
      <c r="C61" s="435">
        <v>3870</v>
      </c>
      <c r="D61" s="435">
        <v>3775</v>
      </c>
      <c r="E61" s="435">
        <v>3735</v>
      </c>
      <c r="G61" s="442" t="s">
        <v>16</v>
      </c>
      <c r="H61" s="435">
        <v>68871</v>
      </c>
      <c r="I61" s="435">
        <v>69017</v>
      </c>
      <c r="J61" s="435">
        <v>67593</v>
      </c>
      <c r="K61" s="435">
        <v>67488</v>
      </c>
    </row>
    <row r="62" spans="1:11">
      <c r="A62" s="442" t="s">
        <v>17</v>
      </c>
      <c r="B62" s="435">
        <v>3800</v>
      </c>
      <c r="C62" s="435">
        <v>3895</v>
      </c>
      <c r="D62" s="435">
        <v>3880</v>
      </c>
      <c r="E62" s="435">
        <v>3860</v>
      </c>
      <c r="G62" s="442" t="s">
        <v>17</v>
      </c>
      <c r="H62" s="435">
        <v>50511</v>
      </c>
      <c r="I62" s="435">
        <v>51002</v>
      </c>
      <c r="J62" s="435">
        <v>51868</v>
      </c>
      <c r="K62" s="435">
        <v>51516</v>
      </c>
    </row>
    <row r="63" spans="1:11">
      <c r="A63" s="6" t="s">
        <v>189</v>
      </c>
      <c r="B63" s="435">
        <v>18695</v>
      </c>
      <c r="C63" s="435">
        <v>18270</v>
      </c>
      <c r="D63" s="435">
        <v>17880</v>
      </c>
      <c r="E63" s="435">
        <v>18015</v>
      </c>
      <c r="G63" s="6" t="s">
        <v>189</v>
      </c>
      <c r="H63" s="435">
        <v>368491</v>
      </c>
      <c r="I63" s="435">
        <v>366367</v>
      </c>
      <c r="J63" s="435">
        <v>357141</v>
      </c>
      <c r="K63" s="435">
        <v>363787</v>
      </c>
    </row>
    <row r="64" spans="1:11">
      <c r="A64" s="442" t="s">
        <v>18</v>
      </c>
      <c r="B64" s="435">
        <v>1075</v>
      </c>
      <c r="C64" s="435">
        <v>1070</v>
      </c>
      <c r="D64" s="435">
        <v>1075</v>
      </c>
      <c r="E64" s="435">
        <v>1085</v>
      </c>
      <c r="G64" s="442" t="s">
        <v>18</v>
      </c>
      <c r="H64" s="435">
        <v>31817</v>
      </c>
      <c r="I64" s="435">
        <v>31945</v>
      </c>
      <c r="J64" s="435">
        <v>32189</v>
      </c>
      <c r="K64" s="435">
        <v>32274</v>
      </c>
    </row>
    <row r="65" spans="1:11">
      <c r="A65" s="442" t="s">
        <v>19</v>
      </c>
      <c r="B65" s="435">
        <v>6235</v>
      </c>
      <c r="C65" s="435">
        <v>6295</v>
      </c>
      <c r="D65" s="435">
        <v>6245</v>
      </c>
      <c r="E65" s="435">
        <v>6290</v>
      </c>
      <c r="G65" s="442" t="s">
        <v>19</v>
      </c>
      <c r="H65" s="435">
        <v>86182</v>
      </c>
      <c r="I65" s="435">
        <v>86346</v>
      </c>
      <c r="J65" s="435">
        <v>83896</v>
      </c>
      <c r="K65" s="435">
        <v>83536</v>
      </c>
    </row>
    <row r="66" spans="1:11">
      <c r="A66" s="442" t="s">
        <v>20</v>
      </c>
      <c r="B66" s="435">
        <v>3440</v>
      </c>
      <c r="C66" s="435">
        <v>3480</v>
      </c>
      <c r="D66" s="435">
        <v>3445</v>
      </c>
      <c r="E66" s="435">
        <v>3470</v>
      </c>
      <c r="G66" s="442" t="s">
        <v>20</v>
      </c>
      <c r="H66" s="435">
        <v>98822</v>
      </c>
      <c r="I66" s="435">
        <v>97773</v>
      </c>
      <c r="J66" s="435">
        <v>97905</v>
      </c>
      <c r="K66" s="435">
        <v>99253</v>
      </c>
    </row>
    <row r="67" spans="1:11">
      <c r="A67" s="442" t="s">
        <v>21</v>
      </c>
      <c r="B67" s="435">
        <v>3210</v>
      </c>
      <c r="C67" s="435">
        <v>3225</v>
      </c>
      <c r="D67" s="435">
        <v>3175</v>
      </c>
      <c r="E67" s="435">
        <v>3130</v>
      </c>
      <c r="G67" s="442" t="s">
        <v>21</v>
      </c>
      <c r="H67" s="435">
        <v>75511</v>
      </c>
      <c r="I67" s="435">
        <v>75654</v>
      </c>
      <c r="J67" s="435">
        <v>74068</v>
      </c>
      <c r="K67" s="435">
        <v>74131</v>
      </c>
    </row>
    <row r="68" spans="1:11">
      <c r="A68" s="442" t="s">
        <v>22</v>
      </c>
      <c r="B68" s="435">
        <v>2900</v>
      </c>
      <c r="C68" s="435">
        <v>2835</v>
      </c>
      <c r="D68" s="435">
        <v>2790</v>
      </c>
      <c r="E68" s="435">
        <v>2780</v>
      </c>
      <c r="G68" s="442" t="s">
        <v>22</v>
      </c>
      <c r="H68" s="435">
        <v>64517</v>
      </c>
      <c r="I68" s="435">
        <v>64307</v>
      </c>
      <c r="J68" s="435">
        <v>63285</v>
      </c>
      <c r="K68" s="435">
        <v>63073</v>
      </c>
    </row>
    <row r="69" spans="1:11">
      <c r="A69" s="442" t="s">
        <v>23</v>
      </c>
      <c r="B69" s="435">
        <v>3185</v>
      </c>
      <c r="C69" s="435">
        <v>3155</v>
      </c>
      <c r="D69" s="435">
        <v>3110</v>
      </c>
      <c r="E69" s="435">
        <v>3160</v>
      </c>
      <c r="G69" s="442" t="s">
        <v>23</v>
      </c>
      <c r="H69" s="435">
        <v>66007</v>
      </c>
      <c r="I69" s="435">
        <v>66893</v>
      </c>
      <c r="J69" s="435">
        <v>68402</v>
      </c>
      <c r="K69" s="435">
        <v>69076</v>
      </c>
    </row>
    <row r="70" spans="1:11">
      <c r="A70" s="442" t="s">
        <v>24</v>
      </c>
      <c r="B70" s="435">
        <v>2670</v>
      </c>
      <c r="C70" s="435">
        <v>2660</v>
      </c>
      <c r="D70" s="435">
        <v>2615</v>
      </c>
      <c r="E70" s="435">
        <v>2670</v>
      </c>
      <c r="G70" s="442" t="s">
        <v>24</v>
      </c>
      <c r="H70" s="435">
        <v>56973</v>
      </c>
      <c r="I70" s="435">
        <v>57033</v>
      </c>
      <c r="J70" s="435">
        <v>56601</v>
      </c>
      <c r="K70" s="435">
        <v>57300</v>
      </c>
    </row>
    <row r="71" spans="1:11">
      <c r="A71" s="442" t="s">
        <v>25</v>
      </c>
      <c r="B71" s="435">
        <v>3675</v>
      </c>
      <c r="C71" s="435">
        <v>3555</v>
      </c>
      <c r="D71" s="435">
        <v>3495</v>
      </c>
      <c r="E71" s="435">
        <v>3520</v>
      </c>
      <c r="G71" s="442" t="s">
        <v>25</v>
      </c>
      <c r="H71" s="435">
        <v>102019</v>
      </c>
      <c r="I71" s="435">
        <v>102021</v>
      </c>
      <c r="J71" s="435">
        <v>100328</v>
      </c>
      <c r="K71" s="435">
        <v>100274</v>
      </c>
    </row>
    <row r="72" spans="1:11">
      <c r="A72" s="442" t="s">
        <v>26</v>
      </c>
      <c r="B72" s="435">
        <v>9535</v>
      </c>
      <c r="C72" s="435">
        <v>9155</v>
      </c>
      <c r="D72" s="435">
        <v>8980</v>
      </c>
      <c r="E72" s="435">
        <v>8950</v>
      </c>
      <c r="G72" s="442" t="s">
        <v>26</v>
      </c>
      <c r="H72" s="435">
        <v>231809</v>
      </c>
      <c r="I72" s="435">
        <v>231635</v>
      </c>
      <c r="J72" s="435">
        <v>229225</v>
      </c>
      <c r="K72" s="435">
        <v>230154</v>
      </c>
    </row>
    <row r="73" spans="1:11">
      <c r="A73" s="442" t="s">
        <v>27</v>
      </c>
      <c r="B73" s="435">
        <v>19440</v>
      </c>
      <c r="C73" s="435">
        <v>19590</v>
      </c>
      <c r="D73" s="435">
        <v>19435</v>
      </c>
      <c r="E73" s="435">
        <v>19595</v>
      </c>
      <c r="G73" s="442" t="s">
        <v>27</v>
      </c>
      <c r="H73" s="435">
        <v>449539</v>
      </c>
      <c r="I73" s="435">
        <v>448645</v>
      </c>
      <c r="J73" s="435">
        <v>439158</v>
      </c>
      <c r="K73" s="435">
        <v>445743</v>
      </c>
    </row>
    <row r="74" spans="1:11">
      <c r="A74" s="442" t="s">
        <v>28</v>
      </c>
      <c r="B74" s="435">
        <v>10775</v>
      </c>
      <c r="C74" s="435">
        <v>10805</v>
      </c>
      <c r="D74" s="435">
        <v>10710</v>
      </c>
      <c r="E74" s="435">
        <v>10840</v>
      </c>
      <c r="G74" s="442" t="s">
        <v>28</v>
      </c>
      <c r="H74" s="435">
        <v>142939</v>
      </c>
      <c r="I74" s="435">
        <v>144706</v>
      </c>
      <c r="J74" s="435">
        <v>142307</v>
      </c>
      <c r="K74" s="435">
        <v>142159</v>
      </c>
    </row>
    <row r="75" spans="1:11">
      <c r="A75" s="442" t="s">
        <v>29</v>
      </c>
      <c r="B75" s="435">
        <v>1585</v>
      </c>
      <c r="C75" s="435">
        <v>1530</v>
      </c>
      <c r="D75" s="435">
        <v>1520</v>
      </c>
      <c r="E75" s="435">
        <v>1485</v>
      </c>
      <c r="G75" s="442" t="s">
        <v>29</v>
      </c>
      <c r="H75" s="435">
        <v>48152</v>
      </c>
      <c r="I75" s="435">
        <v>47782</v>
      </c>
      <c r="J75" s="435">
        <v>48719</v>
      </c>
      <c r="K75" s="435">
        <v>48402</v>
      </c>
    </row>
    <row r="76" spans="1:11">
      <c r="A76" s="442" t="s">
        <v>30</v>
      </c>
      <c r="B76" s="435">
        <v>2475</v>
      </c>
      <c r="C76" s="435">
        <v>2510</v>
      </c>
      <c r="D76" s="435">
        <v>2515</v>
      </c>
      <c r="E76" s="435">
        <v>2570</v>
      </c>
      <c r="G76" s="442" t="s">
        <v>30</v>
      </c>
      <c r="H76" s="435">
        <v>57491</v>
      </c>
      <c r="I76" s="435">
        <v>58532</v>
      </c>
      <c r="J76" s="435">
        <v>60293</v>
      </c>
      <c r="K76" s="435">
        <v>60931</v>
      </c>
    </row>
    <row r="77" spans="1:11">
      <c r="A77" s="442" t="s">
        <v>31</v>
      </c>
      <c r="B77" s="435">
        <v>3180</v>
      </c>
      <c r="C77" s="435">
        <v>3135</v>
      </c>
      <c r="D77" s="435">
        <v>3135</v>
      </c>
      <c r="E77" s="435">
        <v>3120</v>
      </c>
      <c r="G77" s="442" t="s">
        <v>31</v>
      </c>
      <c r="H77" s="435">
        <v>58602</v>
      </c>
      <c r="I77" s="435">
        <v>58935</v>
      </c>
      <c r="J77" s="435">
        <v>57099</v>
      </c>
      <c r="K77" s="435">
        <v>57257</v>
      </c>
    </row>
    <row r="78" spans="1:11">
      <c r="A78" s="442" t="s">
        <v>32</v>
      </c>
      <c r="B78" s="435">
        <v>1185</v>
      </c>
      <c r="C78" s="435">
        <v>1185</v>
      </c>
      <c r="D78" s="435">
        <v>1185</v>
      </c>
      <c r="E78" s="435">
        <v>1205</v>
      </c>
      <c r="G78" s="442" t="s">
        <v>32</v>
      </c>
      <c r="H78" s="435">
        <v>15392</v>
      </c>
      <c r="I78" s="435">
        <v>15508</v>
      </c>
      <c r="J78" s="435">
        <v>15176</v>
      </c>
      <c r="K78" s="435">
        <v>15126</v>
      </c>
    </row>
    <row r="79" spans="1:11">
      <c r="A79" s="442" t="s">
        <v>33</v>
      </c>
      <c r="B79" s="435">
        <v>3260</v>
      </c>
      <c r="C79" s="435">
        <v>3115</v>
      </c>
      <c r="D79" s="435">
        <v>3060</v>
      </c>
      <c r="E79" s="435">
        <v>3035</v>
      </c>
      <c r="G79" s="442" t="s">
        <v>33</v>
      </c>
      <c r="H79" s="435">
        <v>81123</v>
      </c>
      <c r="I79" s="435">
        <v>81035</v>
      </c>
      <c r="J79" s="435">
        <v>80452</v>
      </c>
      <c r="K79" s="435">
        <v>80167</v>
      </c>
    </row>
    <row r="80" spans="1:11">
      <c r="A80" s="442" t="s">
        <v>34</v>
      </c>
      <c r="B80" s="435">
        <v>7585</v>
      </c>
      <c r="C80" s="435">
        <v>7690</v>
      </c>
      <c r="D80" s="435">
        <v>7575</v>
      </c>
      <c r="E80" s="435">
        <v>7645</v>
      </c>
      <c r="G80" s="442" t="s">
        <v>34</v>
      </c>
      <c r="H80" s="435">
        <v>219051</v>
      </c>
      <c r="I80" s="435">
        <v>219178</v>
      </c>
      <c r="J80" s="435">
        <v>219482</v>
      </c>
      <c r="K80" s="435">
        <v>219478</v>
      </c>
    </row>
    <row r="81" spans="1:11">
      <c r="A81" s="442" t="s">
        <v>35</v>
      </c>
      <c r="B81" s="435">
        <v>1445</v>
      </c>
      <c r="C81" s="435">
        <v>1480</v>
      </c>
      <c r="D81" s="435">
        <v>1475</v>
      </c>
      <c r="E81" s="435">
        <v>1475</v>
      </c>
      <c r="G81" s="442" t="s">
        <v>35</v>
      </c>
      <c r="H81" s="435">
        <v>13386</v>
      </c>
      <c r="I81" s="435">
        <v>13447</v>
      </c>
      <c r="J81" s="435">
        <v>13020</v>
      </c>
      <c r="K81" s="435">
        <v>12953</v>
      </c>
    </row>
    <row r="82" spans="1:11">
      <c r="A82" s="442" t="s">
        <v>36</v>
      </c>
      <c r="B82" s="435">
        <v>6070</v>
      </c>
      <c r="C82" s="435">
        <v>6155</v>
      </c>
      <c r="D82" s="435">
        <v>6120</v>
      </c>
      <c r="E82" s="435">
        <v>6180</v>
      </c>
      <c r="G82" s="442" t="s">
        <v>36</v>
      </c>
      <c r="H82" s="435">
        <v>91349</v>
      </c>
      <c r="I82" s="435">
        <v>92594</v>
      </c>
      <c r="J82" s="435">
        <v>89720</v>
      </c>
      <c r="K82" s="435">
        <v>90437</v>
      </c>
    </row>
    <row r="83" spans="1:11">
      <c r="A83" s="442" t="s">
        <v>37</v>
      </c>
      <c r="B83" s="435">
        <v>4720</v>
      </c>
      <c r="C83" s="435">
        <v>4680</v>
      </c>
      <c r="D83" s="435">
        <v>4630</v>
      </c>
      <c r="E83" s="435">
        <v>4665</v>
      </c>
      <c r="G83" s="442" t="s">
        <v>37</v>
      </c>
      <c r="H83" s="435">
        <v>115055</v>
      </c>
      <c r="I83" s="435">
        <v>115571</v>
      </c>
      <c r="J83" s="435">
        <v>118453</v>
      </c>
      <c r="K83" s="435">
        <v>119319</v>
      </c>
    </row>
    <row r="84" spans="1:11">
      <c r="A84" s="442" t="s">
        <v>38</v>
      </c>
      <c r="B84" s="435">
        <v>4970</v>
      </c>
      <c r="C84" s="435">
        <v>5050</v>
      </c>
      <c r="D84" s="435">
        <v>5010</v>
      </c>
      <c r="E84" s="435">
        <v>5005</v>
      </c>
      <c r="G84" s="442" t="s">
        <v>38</v>
      </c>
      <c r="H84" s="435">
        <v>67332</v>
      </c>
      <c r="I84" s="435">
        <v>67642</v>
      </c>
      <c r="J84" s="435">
        <v>67800</v>
      </c>
      <c r="K84" s="435">
        <v>67271</v>
      </c>
    </row>
    <row r="85" spans="1:11">
      <c r="A85" s="442" t="s">
        <v>39</v>
      </c>
      <c r="B85" s="435">
        <v>1550</v>
      </c>
      <c r="C85" s="435">
        <v>1580</v>
      </c>
      <c r="D85" s="435">
        <v>1575</v>
      </c>
      <c r="E85" s="435">
        <v>1570</v>
      </c>
      <c r="G85" s="442" t="s">
        <v>39</v>
      </c>
      <c r="H85" s="435">
        <v>13905</v>
      </c>
      <c r="I85" s="435">
        <v>13912</v>
      </c>
      <c r="J85" s="435">
        <v>13827</v>
      </c>
      <c r="K85" s="435">
        <v>13850</v>
      </c>
    </row>
    <row r="86" spans="1:11">
      <c r="A86" s="442" t="s">
        <v>40</v>
      </c>
      <c r="B86" s="435">
        <v>3505</v>
      </c>
      <c r="C86" s="435">
        <v>3455</v>
      </c>
      <c r="D86" s="435">
        <v>3490</v>
      </c>
      <c r="E86" s="435">
        <v>3490</v>
      </c>
      <c r="G86" s="442" t="s">
        <v>40</v>
      </c>
      <c r="H86" s="435">
        <v>65767</v>
      </c>
      <c r="I86" s="435">
        <v>65844</v>
      </c>
      <c r="J86" s="435">
        <v>64930</v>
      </c>
      <c r="K86" s="435">
        <v>64806</v>
      </c>
    </row>
    <row r="87" spans="1:11">
      <c r="A87" s="442" t="s">
        <v>41</v>
      </c>
      <c r="B87" s="435">
        <v>9015</v>
      </c>
      <c r="C87" s="435">
        <v>9020</v>
      </c>
      <c r="D87" s="435">
        <v>9010</v>
      </c>
      <c r="E87" s="435">
        <v>9075</v>
      </c>
      <c r="G87" s="442" t="s">
        <v>41</v>
      </c>
      <c r="H87" s="435">
        <v>201790</v>
      </c>
      <c r="I87" s="435">
        <v>202430</v>
      </c>
      <c r="J87" s="435">
        <v>205490</v>
      </c>
      <c r="K87" s="435">
        <v>206460</v>
      </c>
    </row>
    <row r="88" spans="1:11">
      <c r="A88" s="442" t="s">
        <v>42</v>
      </c>
      <c r="B88" s="435">
        <v>3895</v>
      </c>
      <c r="C88" s="435">
        <v>3845</v>
      </c>
      <c r="D88" s="435">
        <v>3830</v>
      </c>
      <c r="E88" s="435">
        <v>3850</v>
      </c>
      <c r="G88" s="442" t="s">
        <v>42</v>
      </c>
      <c r="H88" s="435">
        <v>60411</v>
      </c>
      <c r="I88" s="435">
        <v>59731</v>
      </c>
      <c r="J88" s="435">
        <v>58746</v>
      </c>
      <c r="K88" s="435">
        <v>59542</v>
      </c>
    </row>
    <row r="89" spans="1:11">
      <c r="A89" s="442" t="s">
        <v>43</v>
      </c>
      <c r="B89" s="435">
        <v>1930</v>
      </c>
      <c r="C89" s="435">
        <v>1785</v>
      </c>
      <c r="D89" s="435">
        <v>1775</v>
      </c>
      <c r="E89" s="435">
        <v>1770</v>
      </c>
      <c r="G89" s="442" t="s">
        <v>43</v>
      </c>
      <c r="H89" s="435">
        <v>55988</v>
      </c>
      <c r="I89" s="435">
        <v>55414</v>
      </c>
      <c r="J89" s="435">
        <v>55508</v>
      </c>
      <c r="K89" s="435">
        <v>55601</v>
      </c>
    </row>
    <row r="90" spans="1:11">
      <c r="A90" s="442" t="s">
        <v>44</v>
      </c>
      <c r="B90" s="435">
        <v>4625</v>
      </c>
      <c r="C90" s="435">
        <v>4550</v>
      </c>
      <c r="D90" s="435">
        <v>4510</v>
      </c>
      <c r="E90" s="435">
        <v>4610</v>
      </c>
      <c r="G90" s="442" t="s">
        <v>44</v>
      </c>
      <c r="H90" s="435">
        <v>117675</v>
      </c>
      <c r="I90" s="435">
        <v>118894</v>
      </c>
      <c r="J90" s="435">
        <v>116171</v>
      </c>
      <c r="K90" s="435">
        <v>117166</v>
      </c>
    </row>
    <row r="91" spans="1:11">
      <c r="A91" s="442" t="s">
        <v>45</v>
      </c>
      <c r="B91" s="435">
        <v>175400</v>
      </c>
      <c r="C91" s="435">
        <v>173655</v>
      </c>
      <c r="D91" s="435">
        <v>171350</v>
      </c>
      <c r="E91" s="435">
        <v>172255</v>
      </c>
      <c r="G91" s="442" t="s">
        <v>45</v>
      </c>
      <c r="H91" s="435">
        <v>3493137</v>
      </c>
      <c r="I91" s="435">
        <v>3494517</v>
      </c>
      <c r="J91" s="435">
        <v>3458413</v>
      </c>
      <c r="K91" s="435">
        <v>3479044</v>
      </c>
    </row>
    <row r="92" spans="1:11">
      <c r="A92" s="442" t="s">
        <v>46</v>
      </c>
      <c r="B92" s="435">
        <v>2765150</v>
      </c>
      <c r="C92" s="435">
        <v>2767700</v>
      </c>
      <c r="D92" s="435">
        <v>2726830</v>
      </c>
      <c r="E92" s="435">
        <v>2724770</v>
      </c>
      <c r="G92" s="442" t="s">
        <v>46</v>
      </c>
      <c r="H92" s="243">
        <v>41999089</v>
      </c>
      <c r="I92" s="243">
        <v>42138348</v>
      </c>
      <c r="J92" s="243">
        <v>42469493</v>
      </c>
      <c r="K92" s="435">
        <v>42469493</v>
      </c>
    </row>
    <row r="93" spans="1:11">
      <c r="A93" s="442" t="s">
        <v>47</v>
      </c>
      <c r="B93" s="435">
        <v>49845</v>
      </c>
      <c r="C93" s="435">
        <v>49795</v>
      </c>
      <c r="D93" s="435">
        <v>49355</v>
      </c>
      <c r="E93" s="435">
        <v>49690</v>
      </c>
      <c r="G93" s="442" t="s">
        <v>47</v>
      </c>
      <c r="H93" s="435">
        <v>1154092</v>
      </c>
      <c r="I93" s="435">
        <v>1153327</v>
      </c>
      <c r="J93" s="435">
        <v>1150095</v>
      </c>
      <c r="K93" s="435">
        <v>1158076</v>
      </c>
    </row>
  </sheetData>
  <conditionalFormatting sqref="A1:XFD1048576">
    <cfRule type="expression" dxfId="2"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autoPageBreaks="0"/>
  </sheetPr>
  <dimension ref="A1:R93"/>
  <sheetViews>
    <sheetView zoomScale="90" zoomScaleNormal="90" workbookViewId="0"/>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440" t="s">
        <v>717</v>
      </c>
      <c r="B1" s="1"/>
      <c r="C1" s="1"/>
    </row>
    <row r="2" spans="1:16">
      <c r="A2" s="441"/>
      <c r="B2" s="2"/>
      <c r="C2" s="2"/>
    </row>
    <row r="4" spans="1:16">
      <c r="A4" s="6"/>
      <c r="B4" s="6"/>
      <c r="C4" s="6"/>
      <c r="E4" s="6"/>
      <c r="F4" s="6"/>
      <c r="G4" s="6"/>
    </row>
    <row r="5" spans="1:16">
      <c r="A5" s="6"/>
      <c r="B5" s="6"/>
      <c r="C5" s="6"/>
      <c r="E5" s="6"/>
      <c r="F5" s="6"/>
      <c r="G5" s="6"/>
    </row>
    <row r="6" spans="1:16">
      <c r="A6" s="6"/>
      <c r="B6" s="6"/>
      <c r="C6" s="6"/>
      <c r="E6" s="6"/>
      <c r="F6" s="6"/>
      <c r="G6" s="6"/>
    </row>
    <row r="8" spans="1:16" ht="22" customHeight="1">
      <c r="A8" s="12" t="s">
        <v>5</v>
      </c>
      <c r="B8" s="12"/>
      <c r="C8" s="12" t="s">
        <v>217</v>
      </c>
      <c r="D8" s="65">
        <v>2019</v>
      </c>
      <c r="E8" s="65"/>
      <c r="F8" s="65"/>
      <c r="G8" s="12" t="s">
        <v>217</v>
      </c>
      <c r="H8" s="65">
        <v>2020</v>
      </c>
      <c r="I8" s="65"/>
      <c r="J8" s="65"/>
      <c r="K8" s="12" t="s">
        <v>217</v>
      </c>
      <c r="L8" s="65">
        <v>2021</v>
      </c>
      <c r="M8" s="65"/>
      <c r="N8" s="65"/>
      <c r="O8" s="12" t="s">
        <v>217</v>
      </c>
      <c r="P8" s="65">
        <v>2022</v>
      </c>
    </row>
    <row r="9" spans="1:16">
      <c r="A9" s="6" t="s">
        <v>14</v>
      </c>
      <c r="B9" s="411">
        <f>INDEX($B$59:$E$93,MATCH($A9,$A$59:$A$93,0),MATCH(D$8,$B$58:$E$58,0))</f>
        <v>1065</v>
      </c>
      <c r="C9" s="411">
        <f>SUM(INDEX($H$59:$K$93,MATCH($A9,$G$59:$G$93,0),MATCH(D$8,$H$58:$K$58,0)))/10000</f>
        <v>15.709</v>
      </c>
      <c r="D9" s="388">
        <f>SUM(B9/C9)</f>
        <v>67.795531224139026</v>
      </c>
      <c r="E9" s="9"/>
      <c r="F9" s="411">
        <f>INDEX($B$59:$E$93,MATCH($A9,$A$59:$A$93,0),MATCH(H$8,$B$58:$E$58,0))</f>
        <v>830</v>
      </c>
      <c r="G9" s="411">
        <f>SUM(INDEX($H$59:$K$93,MATCH($A9,$G$59:$G$93,0),MATCH(H$8,$H$58:$K$58,0)))/10000</f>
        <v>15.666</v>
      </c>
      <c r="H9" s="388">
        <f>SUM(F9/G9)</f>
        <v>52.980977913953787</v>
      </c>
      <c r="I9" s="9"/>
      <c r="J9" s="411">
        <f>INDEX($B$59:$E$93,MATCH($A9,$A$59:$A$93,0),MATCH(L$8,$B$58:$E$58,0))</f>
        <v>860</v>
      </c>
      <c r="K9" s="411">
        <f>SUM(INDEX($H$59:$K$93,MATCH($A9,$G$59:$G$93,0),MATCH(L$8,$H$58:$K$58,0)))/10000</f>
        <v>15.4229</v>
      </c>
      <c r="L9" s="388">
        <f>SUM(J9/K9)</f>
        <v>55.761238158841721</v>
      </c>
      <c r="M9" s="9"/>
      <c r="N9" s="411">
        <f>INDEX($B$59:$E$93,MATCH($A9,$A$59:$A$93,0),MATCH(P$8,$B$58:$E$58,0))</f>
        <v>895</v>
      </c>
      <c r="O9" s="411">
        <f>SUM(INDEX($H$59:$K$93,MATCH($A9,$G$59:$G$93,0),MATCH(2022,$H$58:$K$58,0)))/10000</f>
        <v>15.0298</v>
      </c>
      <c r="P9" s="388">
        <f>SUM(N9/O9)</f>
        <v>59.548363917018193</v>
      </c>
    </row>
    <row r="10" spans="1:16">
      <c r="A10" s="6" t="s">
        <v>15</v>
      </c>
      <c r="B10" s="411">
        <f t="shared" ref="B10:B40" si="0">INDEX($B$59:$E$93,MATCH($A10,$A$59:$A$93,0),MATCH(D$8,$B$58:$E$58,0))</f>
        <v>1105</v>
      </c>
      <c r="C10" s="411">
        <f t="shared" ref="C10:C43" si="1">SUM(INDEX($H$59:$K$93,MATCH($A10,$G$59:$G$93,0),MATCH(D$8,$H$58:$K$58,0)))/10000</f>
        <v>16.112100000000002</v>
      </c>
      <c r="D10" s="388">
        <f t="shared" ref="D10:D40" si="2">SUM(B10/C10)</f>
        <v>68.58199738085041</v>
      </c>
      <c r="E10" s="9"/>
      <c r="F10" s="411">
        <f t="shared" ref="F10:F40" si="3">INDEX($B$59:$E$93,MATCH($A10,$A$59:$A$93,0),MATCH(H$8,$B$58:$E$58,0))</f>
        <v>845</v>
      </c>
      <c r="G10" s="411">
        <f t="shared" ref="G10:G43" si="4">SUM(INDEX($H$59:$K$93,MATCH($A10,$G$59:$G$93,0),MATCH(H$8,$H$58:$K$58,0)))/10000</f>
        <v>16</v>
      </c>
      <c r="H10" s="388">
        <f t="shared" ref="H10:H40" si="5">SUM(F10/G10)</f>
        <v>52.8125</v>
      </c>
      <c r="I10" s="9"/>
      <c r="J10" s="411">
        <f t="shared" ref="J10:J40" si="6">INDEX($B$59:$E$93,MATCH($A10,$A$59:$A$93,0),MATCH(L$8,$B$58:$E$58,0))</f>
        <v>895</v>
      </c>
      <c r="K10" s="411">
        <f t="shared" ref="K10:K43" si="7">SUM(INDEX($H$59:$K$93,MATCH($A10,$G$59:$G$93,0),MATCH(L$8,$H$58:$K$58,0)))/10000</f>
        <v>16.049499999999998</v>
      </c>
      <c r="L10" s="388">
        <f t="shared" ref="L10:L40" si="8">SUM(J10/K10)</f>
        <v>55.764977102090413</v>
      </c>
      <c r="M10" s="9"/>
      <c r="N10" s="411">
        <f>INDEX($B$59:$E$93,MATCH($A10,$A$59:$A$93,0),MATCH(P$8,$B$58:$E$58,0))</f>
        <v>840</v>
      </c>
      <c r="O10" s="411">
        <f t="shared" ref="O10:O40" si="9">SUM(INDEX($H$59:$K$93,MATCH($A10,$G$59:$G$93,0),MATCH(2022,$H$58:$K$58,0)))/10000</f>
        <v>15.926299999999999</v>
      </c>
      <c r="P10" s="388">
        <f t="shared" ref="P10:P40" si="10">SUM(N10/O10)</f>
        <v>52.742947200542503</v>
      </c>
    </row>
    <row r="11" spans="1:16">
      <c r="A11" s="6" t="s">
        <v>16</v>
      </c>
      <c r="B11" s="411">
        <f t="shared" si="0"/>
        <v>350</v>
      </c>
      <c r="C11" s="411">
        <f t="shared" si="1"/>
        <v>6.9264999999999999</v>
      </c>
      <c r="D11" s="388">
        <f t="shared" si="2"/>
        <v>50.530570995452251</v>
      </c>
      <c r="E11" s="9"/>
      <c r="F11" s="411">
        <f t="shared" si="3"/>
        <v>315</v>
      </c>
      <c r="G11" s="411">
        <f t="shared" si="4"/>
        <v>6.8871000000000002</v>
      </c>
      <c r="H11" s="388">
        <f t="shared" si="5"/>
        <v>45.737683495230215</v>
      </c>
      <c r="I11" s="9"/>
      <c r="J11" s="411">
        <f t="shared" si="6"/>
        <v>335</v>
      </c>
      <c r="K11" s="411">
        <f t="shared" si="7"/>
        <v>6.9016999999999999</v>
      </c>
      <c r="L11" s="388">
        <f t="shared" si="8"/>
        <v>48.538765811321852</v>
      </c>
      <c r="M11" s="9"/>
      <c r="N11" s="411">
        <f t="shared" ref="N11:N40" si="11">INDEX($B$59:$E$93,MATCH($A11,$A$59:$A$93,0),MATCH(P$8,$B$58:$E$58,0))</f>
        <v>325</v>
      </c>
      <c r="O11" s="411">
        <f t="shared" si="9"/>
        <v>6.7592999999999996</v>
      </c>
      <c r="P11" s="388">
        <f t="shared" si="10"/>
        <v>48.081901972097704</v>
      </c>
    </row>
    <row r="12" spans="1:16">
      <c r="A12" s="6" t="s">
        <v>17</v>
      </c>
      <c r="B12" s="411">
        <f t="shared" si="0"/>
        <v>265</v>
      </c>
      <c r="C12" s="411">
        <f t="shared" si="1"/>
        <v>5.0754000000000001</v>
      </c>
      <c r="D12" s="388">
        <f t="shared" si="2"/>
        <v>52.2126334870158</v>
      </c>
      <c r="E12" s="9"/>
      <c r="F12" s="411">
        <f t="shared" si="3"/>
        <v>210</v>
      </c>
      <c r="G12" s="411">
        <f t="shared" si="4"/>
        <v>5.0510999999999999</v>
      </c>
      <c r="H12" s="388">
        <f t="shared" si="5"/>
        <v>41.575102452931048</v>
      </c>
      <c r="I12" s="9"/>
      <c r="J12" s="411">
        <f t="shared" si="6"/>
        <v>295</v>
      </c>
      <c r="K12" s="411">
        <f t="shared" si="7"/>
        <v>5.1002000000000001</v>
      </c>
      <c r="L12" s="388">
        <f t="shared" si="8"/>
        <v>57.84086898552998</v>
      </c>
      <c r="M12" s="9"/>
      <c r="N12" s="411">
        <f t="shared" si="11"/>
        <v>265</v>
      </c>
      <c r="O12" s="411">
        <f t="shared" si="9"/>
        <v>5.1867999999999999</v>
      </c>
      <c r="P12" s="388">
        <f t="shared" si="10"/>
        <v>51.091231587876919</v>
      </c>
    </row>
    <row r="13" spans="1:16">
      <c r="A13" s="6" t="s">
        <v>189</v>
      </c>
      <c r="B13" s="411">
        <f t="shared" si="0"/>
        <v>2590</v>
      </c>
      <c r="C13" s="411">
        <f t="shared" si="1"/>
        <v>36.650799999999997</v>
      </c>
      <c r="D13" s="388">
        <f t="shared" si="2"/>
        <v>70.666943149944885</v>
      </c>
      <c r="E13" s="9"/>
      <c r="F13" s="411">
        <f t="shared" si="3"/>
        <v>2010</v>
      </c>
      <c r="G13" s="411">
        <f t="shared" si="4"/>
        <v>36.8491</v>
      </c>
      <c r="H13" s="388">
        <f t="shared" si="5"/>
        <v>54.546786760056555</v>
      </c>
      <c r="I13" s="9"/>
      <c r="J13" s="411">
        <f t="shared" si="6"/>
        <v>2220</v>
      </c>
      <c r="K13" s="411">
        <f t="shared" si="7"/>
        <v>36.636699999999998</v>
      </c>
      <c r="L13" s="388">
        <f t="shared" si="8"/>
        <v>60.594977167703426</v>
      </c>
      <c r="M13" s="9"/>
      <c r="N13" s="411">
        <f t="shared" si="11"/>
        <v>2270</v>
      </c>
      <c r="O13" s="411">
        <f t="shared" si="9"/>
        <v>35.714100000000002</v>
      </c>
      <c r="P13" s="388">
        <f t="shared" si="10"/>
        <v>63.560330513718668</v>
      </c>
    </row>
    <row r="14" spans="1:16">
      <c r="A14" s="6" t="s">
        <v>18</v>
      </c>
      <c r="B14" s="411">
        <f t="shared" si="0"/>
        <v>135</v>
      </c>
      <c r="C14" s="411">
        <f t="shared" si="1"/>
        <v>3.2132999999999998</v>
      </c>
      <c r="D14" s="388">
        <f t="shared" si="2"/>
        <v>42.012883951078337</v>
      </c>
      <c r="E14" s="9"/>
      <c r="F14" s="411">
        <f t="shared" si="3"/>
        <v>125</v>
      </c>
      <c r="G14" s="411">
        <f t="shared" si="4"/>
        <v>3.1817000000000002</v>
      </c>
      <c r="H14" s="388">
        <f t="shared" si="5"/>
        <v>39.287173523588017</v>
      </c>
      <c r="I14" s="9"/>
      <c r="J14" s="411">
        <f t="shared" si="6"/>
        <v>125</v>
      </c>
      <c r="K14" s="411">
        <f t="shared" si="7"/>
        <v>3.1945000000000001</v>
      </c>
      <c r="L14" s="388">
        <f t="shared" si="8"/>
        <v>39.129754265143212</v>
      </c>
      <c r="M14" s="9"/>
      <c r="N14" s="411">
        <f t="shared" si="11"/>
        <v>140</v>
      </c>
      <c r="O14" s="411">
        <f t="shared" si="9"/>
        <v>3.2189000000000001</v>
      </c>
      <c r="P14" s="388">
        <f t="shared" si="10"/>
        <v>43.493118767280748</v>
      </c>
    </row>
    <row r="15" spans="1:16">
      <c r="A15" s="6" t="s">
        <v>19</v>
      </c>
      <c r="B15" s="411">
        <f t="shared" si="0"/>
        <v>365</v>
      </c>
      <c r="C15" s="411">
        <f t="shared" si="1"/>
        <v>8.7047000000000008</v>
      </c>
      <c r="D15" s="388">
        <f t="shared" si="2"/>
        <v>41.93137040908934</v>
      </c>
      <c r="E15" s="9"/>
      <c r="F15" s="411">
        <f t="shared" si="3"/>
        <v>310</v>
      </c>
      <c r="G15" s="411">
        <f t="shared" si="4"/>
        <v>8.6181999999999999</v>
      </c>
      <c r="H15" s="388">
        <f t="shared" si="5"/>
        <v>35.970388248126056</v>
      </c>
      <c r="I15" s="9"/>
      <c r="J15" s="411">
        <f t="shared" si="6"/>
        <v>375</v>
      </c>
      <c r="K15" s="411">
        <f t="shared" si="7"/>
        <v>8.6346000000000007</v>
      </c>
      <c r="L15" s="388">
        <f t="shared" si="8"/>
        <v>43.429921478701964</v>
      </c>
      <c r="M15" s="9"/>
      <c r="N15" s="411">
        <f t="shared" si="11"/>
        <v>400</v>
      </c>
      <c r="O15" s="411">
        <f t="shared" si="9"/>
        <v>8.3895999999999997</v>
      </c>
      <c r="P15" s="388">
        <f t="shared" si="10"/>
        <v>47.678077619910368</v>
      </c>
    </row>
    <row r="16" spans="1:16">
      <c r="A16" s="6" t="s">
        <v>20</v>
      </c>
      <c r="B16" s="411">
        <f t="shared" si="0"/>
        <v>480</v>
      </c>
      <c r="C16" s="411">
        <f t="shared" si="1"/>
        <v>9.9208999999999996</v>
      </c>
      <c r="D16" s="388">
        <f t="shared" si="2"/>
        <v>48.382707214063245</v>
      </c>
      <c r="E16" s="9"/>
      <c r="F16" s="411">
        <f t="shared" si="3"/>
        <v>455</v>
      </c>
      <c r="G16" s="411">
        <f t="shared" si="4"/>
        <v>9.8821999999999992</v>
      </c>
      <c r="H16" s="388">
        <f t="shared" si="5"/>
        <v>46.042379227297566</v>
      </c>
      <c r="I16" s="9"/>
      <c r="J16" s="411">
        <f t="shared" si="6"/>
        <v>440</v>
      </c>
      <c r="K16" s="411">
        <f t="shared" si="7"/>
        <v>9.7773000000000003</v>
      </c>
      <c r="L16" s="388">
        <f t="shared" si="8"/>
        <v>45.002198971086088</v>
      </c>
      <c r="M16" s="9"/>
      <c r="N16" s="411">
        <f t="shared" si="11"/>
        <v>490</v>
      </c>
      <c r="O16" s="411">
        <f t="shared" si="9"/>
        <v>9.7904999999999998</v>
      </c>
      <c r="P16" s="388">
        <f t="shared" si="10"/>
        <v>50.048516418977584</v>
      </c>
    </row>
    <row r="17" spans="1:18">
      <c r="A17" s="6" t="s">
        <v>21</v>
      </c>
      <c r="B17" s="411">
        <f t="shared" si="0"/>
        <v>370</v>
      </c>
      <c r="C17" s="411">
        <f t="shared" si="1"/>
        <v>7.6005000000000003</v>
      </c>
      <c r="D17" s="388">
        <f t="shared" si="2"/>
        <v>48.681007828432335</v>
      </c>
      <c r="E17" s="9"/>
      <c r="F17" s="411">
        <f t="shared" si="3"/>
        <v>315</v>
      </c>
      <c r="G17" s="411">
        <f t="shared" si="4"/>
        <v>7.5510999999999999</v>
      </c>
      <c r="H17" s="388">
        <f t="shared" si="5"/>
        <v>41.715776509382742</v>
      </c>
      <c r="I17" s="9"/>
      <c r="J17" s="411">
        <f t="shared" si="6"/>
        <v>375</v>
      </c>
      <c r="K17" s="411">
        <f t="shared" si="7"/>
        <v>7.5654000000000003</v>
      </c>
      <c r="L17" s="388">
        <f t="shared" si="8"/>
        <v>49.567769053850419</v>
      </c>
      <c r="M17" s="9"/>
      <c r="N17" s="411">
        <f t="shared" si="11"/>
        <v>345</v>
      </c>
      <c r="O17" s="411">
        <f t="shared" si="9"/>
        <v>7.4067999999999996</v>
      </c>
      <c r="P17" s="388">
        <f t="shared" si="10"/>
        <v>46.578819463195984</v>
      </c>
    </row>
    <row r="18" spans="1:18">
      <c r="A18" s="6" t="s">
        <v>22</v>
      </c>
      <c r="B18" s="411">
        <f t="shared" si="0"/>
        <v>325</v>
      </c>
      <c r="C18" s="411">
        <f t="shared" si="1"/>
        <v>6.4766000000000004</v>
      </c>
      <c r="D18" s="388">
        <f t="shared" si="2"/>
        <v>50.180650341228421</v>
      </c>
      <c r="E18" s="9"/>
      <c r="F18" s="411">
        <f t="shared" si="3"/>
        <v>305</v>
      </c>
      <c r="G18" s="411">
        <f t="shared" si="4"/>
        <v>6.4516999999999998</v>
      </c>
      <c r="H18" s="388">
        <f t="shared" si="5"/>
        <v>47.274361796115755</v>
      </c>
      <c r="I18" s="9"/>
      <c r="J18" s="411">
        <f t="shared" si="6"/>
        <v>320</v>
      </c>
      <c r="K18" s="411">
        <f t="shared" si="7"/>
        <v>6.4306999999999999</v>
      </c>
      <c r="L18" s="388">
        <f t="shared" si="8"/>
        <v>49.761301258027899</v>
      </c>
      <c r="M18" s="9"/>
      <c r="N18" s="411">
        <f t="shared" si="11"/>
        <v>345</v>
      </c>
      <c r="O18" s="411">
        <f t="shared" si="9"/>
        <v>6.3285</v>
      </c>
      <c r="P18" s="388">
        <f t="shared" si="10"/>
        <v>54.515287982934346</v>
      </c>
    </row>
    <row r="19" spans="1:18">
      <c r="A19" s="6" t="s">
        <v>23</v>
      </c>
      <c r="B19" s="411">
        <f t="shared" si="0"/>
        <v>355</v>
      </c>
      <c r="C19" s="411">
        <f t="shared" si="1"/>
        <v>6.5659000000000001</v>
      </c>
      <c r="D19" s="388">
        <f t="shared" si="2"/>
        <v>54.067226122846826</v>
      </c>
      <c r="E19" s="9"/>
      <c r="F19" s="411">
        <f t="shared" si="3"/>
        <v>250</v>
      </c>
      <c r="G19" s="411">
        <f t="shared" si="4"/>
        <v>6.6006999999999998</v>
      </c>
      <c r="H19" s="388">
        <f t="shared" si="5"/>
        <v>37.874770857636314</v>
      </c>
      <c r="I19" s="9"/>
      <c r="J19" s="411">
        <f t="shared" si="6"/>
        <v>320</v>
      </c>
      <c r="K19" s="411">
        <f t="shared" si="7"/>
        <v>6.6893000000000002</v>
      </c>
      <c r="L19" s="388">
        <f t="shared" si="8"/>
        <v>47.837591377274151</v>
      </c>
      <c r="M19" s="9"/>
      <c r="N19" s="411">
        <f t="shared" si="11"/>
        <v>305</v>
      </c>
      <c r="O19" s="411">
        <f t="shared" si="9"/>
        <v>6.8402000000000003</v>
      </c>
      <c r="P19" s="388">
        <f t="shared" si="10"/>
        <v>44.589339492997276</v>
      </c>
    </row>
    <row r="20" spans="1:18">
      <c r="A20" s="6" t="s">
        <v>24</v>
      </c>
      <c r="B20" s="411">
        <f t="shared" si="0"/>
        <v>335</v>
      </c>
      <c r="C20" s="411">
        <f t="shared" si="1"/>
        <v>5.6818999999999997</v>
      </c>
      <c r="D20" s="388">
        <f t="shared" si="2"/>
        <v>58.959150988225772</v>
      </c>
      <c r="E20" s="9"/>
      <c r="F20" s="411">
        <f t="shared" si="3"/>
        <v>280</v>
      </c>
      <c r="G20" s="411">
        <f t="shared" si="4"/>
        <v>5.6973000000000003</v>
      </c>
      <c r="H20" s="388">
        <f t="shared" si="5"/>
        <v>49.146086742843096</v>
      </c>
      <c r="I20" s="9"/>
      <c r="J20" s="411">
        <f t="shared" si="6"/>
        <v>340</v>
      </c>
      <c r="K20" s="411">
        <f t="shared" si="7"/>
        <v>5.7032999999999996</v>
      </c>
      <c r="L20" s="388">
        <f t="shared" si="8"/>
        <v>59.614609085967778</v>
      </c>
      <c r="M20" s="9"/>
      <c r="N20" s="411">
        <f t="shared" si="11"/>
        <v>325</v>
      </c>
      <c r="O20" s="411">
        <f t="shared" si="9"/>
        <v>5.6600999999999999</v>
      </c>
      <c r="P20" s="388">
        <f t="shared" si="10"/>
        <v>57.419480221197503</v>
      </c>
      <c r="R20" s="428"/>
    </row>
    <row r="21" spans="1:18">
      <c r="A21" s="6" t="s">
        <v>25</v>
      </c>
      <c r="B21" s="411">
        <f t="shared" si="0"/>
        <v>490</v>
      </c>
      <c r="C21" s="411">
        <f t="shared" si="1"/>
        <v>10.232900000000001</v>
      </c>
      <c r="D21" s="388">
        <f t="shared" si="2"/>
        <v>47.884763849935013</v>
      </c>
      <c r="E21" s="9"/>
      <c r="F21" s="411">
        <f t="shared" si="3"/>
        <v>415</v>
      </c>
      <c r="G21" s="411">
        <f t="shared" si="4"/>
        <v>10.2019</v>
      </c>
      <c r="H21" s="388">
        <f t="shared" si="5"/>
        <v>40.678697105441145</v>
      </c>
      <c r="I21" s="9"/>
      <c r="J21" s="411">
        <f t="shared" si="6"/>
        <v>450</v>
      </c>
      <c r="K21" s="411">
        <f t="shared" si="7"/>
        <v>10.2021</v>
      </c>
      <c r="L21" s="388">
        <f t="shared" si="8"/>
        <v>44.108565883494578</v>
      </c>
      <c r="M21" s="9"/>
      <c r="N21" s="411">
        <f t="shared" si="11"/>
        <v>450</v>
      </c>
      <c r="O21" s="411">
        <f t="shared" si="9"/>
        <v>10.0328</v>
      </c>
      <c r="P21" s="388">
        <f t="shared" si="10"/>
        <v>44.852882545251575</v>
      </c>
    </row>
    <row r="22" spans="1:18">
      <c r="A22" s="6" t="s">
        <v>26</v>
      </c>
      <c r="B22" s="411">
        <f t="shared" si="0"/>
        <v>1495</v>
      </c>
      <c r="C22" s="411">
        <f t="shared" si="1"/>
        <v>23.197399999999998</v>
      </c>
      <c r="D22" s="388">
        <f t="shared" si="2"/>
        <v>64.446877667324785</v>
      </c>
      <c r="E22" s="9"/>
      <c r="F22" s="411">
        <f t="shared" si="3"/>
        <v>950</v>
      </c>
      <c r="G22" s="411">
        <f t="shared" si="4"/>
        <v>23.180900000000001</v>
      </c>
      <c r="H22" s="388">
        <f t="shared" si="5"/>
        <v>40.982015366098814</v>
      </c>
      <c r="I22" s="9"/>
      <c r="J22" s="411">
        <f t="shared" si="6"/>
        <v>1100</v>
      </c>
      <c r="K22" s="411">
        <f t="shared" si="7"/>
        <v>23.163499999999999</v>
      </c>
      <c r="L22" s="388">
        <f t="shared" si="8"/>
        <v>47.488505623070779</v>
      </c>
      <c r="M22" s="9"/>
      <c r="N22" s="411">
        <f t="shared" si="11"/>
        <v>1020</v>
      </c>
      <c r="O22" s="411">
        <f t="shared" si="9"/>
        <v>22.922499999999999</v>
      </c>
      <c r="P22" s="388">
        <f t="shared" si="10"/>
        <v>44.497764205474972</v>
      </c>
    </row>
    <row r="23" spans="1:18">
      <c r="A23" s="6" t="s">
        <v>27</v>
      </c>
      <c r="B23" s="411">
        <f t="shared" si="0"/>
        <v>3275</v>
      </c>
      <c r="C23" s="411">
        <f t="shared" si="1"/>
        <v>44.728999999999999</v>
      </c>
      <c r="D23" s="388">
        <f t="shared" si="2"/>
        <v>73.218717163361575</v>
      </c>
      <c r="E23" s="9"/>
      <c r="F23" s="411">
        <f t="shared" si="3"/>
        <v>2585</v>
      </c>
      <c r="G23" s="411">
        <f t="shared" si="4"/>
        <v>44.953899999999997</v>
      </c>
      <c r="H23" s="388">
        <f t="shared" si="5"/>
        <v>57.503353435408279</v>
      </c>
      <c r="I23" s="9"/>
      <c r="J23" s="411">
        <f t="shared" si="6"/>
        <v>2960</v>
      </c>
      <c r="K23" s="411">
        <f t="shared" si="7"/>
        <v>44.8645</v>
      </c>
      <c r="L23" s="388">
        <f t="shared" si="8"/>
        <v>65.97644016984475</v>
      </c>
      <c r="M23" s="9"/>
      <c r="N23" s="411">
        <f t="shared" si="11"/>
        <v>3050</v>
      </c>
      <c r="O23" s="411">
        <f t="shared" si="9"/>
        <v>43.915799999999997</v>
      </c>
      <c r="P23" s="388">
        <f>SUM(N23/O23)</f>
        <v>69.451085941733965</v>
      </c>
    </row>
    <row r="24" spans="1:18">
      <c r="A24" s="6" t="s">
        <v>28</v>
      </c>
      <c r="B24" s="411">
        <f t="shared" si="0"/>
        <v>880</v>
      </c>
      <c r="C24" s="411">
        <f t="shared" si="1"/>
        <v>14.3706</v>
      </c>
      <c r="D24" s="388">
        <f t="shared" si="2"/>
        <v>61.236134886504395</v>
      </c>
      <c r="E24" s="9"/>
      <c r="F24" s="411">
        <f t="shared" si="3"/>
        <v>705</v>
      </c>
      <c r="G24" s="411">
        <f t="shared" si="4"/>
        <v>14.293900000000001</v>
      </c>
      <c r="H24" s="388">
        <f t="shared" si="5"/>
        <v>49.321738643757122</v>
      </c>
      <c r="I24" s="9"/>
      <c r="J24" s="411">
        <f t="shared" si="6"/>
        <v>820</v>
      </c>
      <c r="K24" s="411">
        <f t="shared" si="7"/>
        <v>14.470599999999999</v>
      </c>
      <c r="L24" s="388">
        <f t="shared" si="8"/>
        <v>56.666620596243419</v>
      </c>
      <c r="M24" s="9"/>
      <c r="N24" s="411">
        <f t="shared" si="11"/>
        <v>810</v>
      </c>
      <c r="O24" s="411">
        <f t="shared" si="9"/>
        <v>14.230700000000001</v>
      </c>
      <c r="P24" s="388">
        <f t="shared" si="10"/>
        <v>56.919195823114812</v>
      </c>
    </row>
    <row r="25" spans="1:18">
      <c r="A25" s="6" t="s">
        <v>29</v>
      </c>
      <c r="B25" s="411">
        <f t="shared" si="0"/>
        <v>210</v>
      </c>
      <c r="C25" s="411">
        <f t="shared" si="1"/>
        <v>4.8689</v>
      </c>
      <c r="D25" s="388">
        <f t="shared" si="2"/>
        <v>43.130891987923349</v>
      </c>
      <c r="E25" s="9"/>
      <c r="F25" s="411">
        <f t="shared" si="3"/>
        <v>175</v>
      </c>
      <c r="G25" s="411">
        <f t="shared" si="4"/>
        <v>4.8151999999999999</v>
      </c>
      <c r="H25" s="388">
        <f t="shared" si="5"/>
        <v>36.343246386442928</v>
      </c>
      <c r="I25" s="9"/>
      <c r="J25" s="411">
        <f t="shared" si="6"/>
        <v>160</v>
      </c>
      <c r="K25" s="411">
        <f t="shared" si="7"/>
        <v>4.7782</v>
      </c>
      <c r="L25" s="388">
        <f t="shared" si="8"/>
        <v>33.48541291699803</v>
      </c>
      <c r="M25" s="9"/>
      <c r="N25" s="411">
        <f t="shared" si="11"/>
        <v>195</v>
      </c>
      <c r="O25" s="411">
        <f t="shared" si="9"/>
        <v>4.8719000000000001</v>
      </c>
      <c r="P25" s="388">
        <f t="shared" si="10"/>
        <v>40.025452082349801</v>
      </c>
    </row>
    <row r="26" spans="1:18">
      <c r="A26" s="6" t="s">
        <v>30</v>
      </c>
      <c r="B26" s="411">
        <f t="shared" si="0"/>
        <v>290</v>
      </c>
      <c r="C26" s="411">
        <f t="shared" si="1"/>
        <v>5.7123999999999997</v>
      </c>
      <c r="D26" s="388">
        <f t="shared" si="2"/>
        <v>50.766753028499409</v>
      </c>
      <c r="E26" s="9"/>
      <c r="F26" s="411">
        <f t="shared" si="3"/>
        <v>255</v>
      </c>
      <c r="G26" s="411">
        <f t="shared" si="4"/>
        <v>5.7491000000000003</v>
      </c>
      <c r="H26" s="388">
        <f t="shared" si="5"/>
        <v>44.35476857247221</v>
      </c>
      <c r="I26" s="9"/>
      <c r="J26" s="411">
        <f t="shared" si="6"/>
        <v>285</v>
      </c>
      <c r="K26" s="411">
        <f t="shared" si="7"/>
        <v>5.8532000000000002</v>
      </c>
      <c r="L26" s="388">
        <f t="shared" si="8"/>
        <v>48.691314152941978</v>
      </c>
      <c r="M26" s="9"/>
      <c r="N26" s="411">
        <f t="shared" si="11"/>
        <v>315</v>
      </c>
      <c r="O26" s="411">
        <f t="shared" si="9"/>
        <v>6.0293000000000001</v>
      </c>
      <c r="P26" s="388">
        <f t="shared" si="10"/>
        <v>52.244870880533398</v>
      </c>
    </row>
    <row r="27" spans="1:18">
      <c r="A27" s="6" t="s">
        <v>31</v>
      </c>
      <c r="B27" s="411">
        <f t="shared" si="0"/>
        <v>260</v>
      </c>
      <c r="C27" s="411">
        <f t="shared" si="1"/>
        <v>5.8959000000000001</v>
      </c>
      <c r="D27" s="388">
        <f t="shared" si="2"/>
        <v>44.098441289709797</v>
      </c>
      <c r="E27" s="9"/>
      <c r="F27" s="411">
        <f t="shared" si="3"/>
        <v>210</v>
      </c>
      <c r="G27" s="411">
        <f t="shared" si="4"/>
        <v>5.8601999999999999</v>
      </c>
      <c r="H27" s="388">
        <f t="shared" si="5"/>
        <v>35.834954438415075</v>
      </c>
      <c r="I27" s="9"/>
      <c r="J27" s="411">
        <f t="shared" si="6"/>
        <v>225</v>
      </c>
      <c r="K27" s="411">
        <f t="shared" si="7"/>
        <v>5.8935000000000004</v>
      </c>
      <c r="L27" s="388">
        <f t="shared" si="8"/>
        <v>38.177653346907604</v>
      </c>
      <c r="M27" s="9"/>
      <c r="N27" s="411">
        <f t="shared" si="11"/>
        <v>240</v>
      </c>
      <c r="O27" s="411">
        <f t="shared" si="9"/>
        <v>5.7099000000000002</v>
      </c>
      <c r="P27" s="388">
        <f t="shared" si="10"/>
        <v>42.03225975936531</v>
      </c>
    </row>
    <row r="28" spans="1:18">
      <c r="A28" s="6" t="s">
        <v>32</v>
      </c>
      <c r="B28" s="411">
        <f t="shared" si="0"/>
        <v>75</v>
      </c>
      <c r="C28" s="411">
        <f t="shared" si="1"/>
        <v>1.5570999999999999</v>
      </c>
      <c r="D28" s="388">
        <f t="shared" si="2"/>
        <v>48.166463297154969</v>
      </c>
      <c r="E28" s="9"/>
      <c r="F28" s="411">
        <f t="shared" si="3"/>
        <v>65</v>
      </c>
      <c r="G28" s="411">
        <f t="shared" si="4"/>
        <v>1.5391999999999999</v>
      </c>
      <c r="H28" s="388">
        <f t="shared" si="5"/>
        <v>42.229729729729733</v>
      </c>
      <c r="I28" s="9"/>
      <c r="J28" s="411">
        <f t="shared" si="6"/>
        <v>50</v>
      </c>
      <c r="K28" s="411">
        <f t="shared" si="7"/>
        <v>1.5508</v>
      </c>
      <c r="L28" s="388">
        <f t="shared" si="8"/>
        <v>32.241423781274179</v>
      </c>
      <c r="M28" s="9"/>
      <c r="N28" s="411">
        <f t="shared" si="11"/>
        <v>70</v>
      </c>
      <c r="O28" s="411">
        <f t="shared" si="9"/>
        <v>1.5176000000000001</v>
      </c>
      <c r="P28" s="388">
        <f t="shared" si="10"/>
        <v>46.125461254612546</v>
      </c>
    </row>
    <row r="29" spans="1:18">
      <c r="A29" s="6" t="s">
        <v>33</v>
      </c>
      <c r="B29" s="411">
        <f t="shared" si="0"/>
        <v>415</v>
      </c>
      <c r="C29" s="411">
        <f t="shared" si="1"/>
        <v>8.1739999999999995</v>
      </c>
      <c r="D29" s="388">
        <f t="shared" si="2"/>
        <v>50.770736481526797</v>
      </c>
      <c r="E29" s="9"/>
      <c r="F29" s="411">
        <f t="shared" si="3"/>
        <v>315</v>
      </c>
      <c r="G29" s="411">
        <f t="shared" si="4"/>
        <v>8.1122999999999994</v>
      </c>
      <c r="H29" s="388">
        <f t="shared" si="5"/>
        <v>38.829924928811806</v>
      </c>
      <c r="I29" s="9"/>
      <c r="J29" s="411">
        <f t="shared" si="6"/>
        <v>345</v>
      </c>
      <c r="K29" s="411">
        <f t="shared" si="7"/>
        <v>8.1035000000000004</v>
      </c>
      <c r="L29" s="388">
        <f t="shared" si="8"/>
        <v>42.574196334917012</v>
      </c>
      <c r="M29" s="9"/>
      <c r="N29" s="411">
        <f t="shared" si="11"/>
        <v>335</v>
      </c>
      <c r="O29" s="411">
        <f t="shared" si="9"/>
        <v>8.0451999999999995</v>
      </c>
      <c r="P29" s="388">
        <f t="shared" si="10"/>
        <v>41.639735494456325</v>
      </c>
    </row>
    <row r="30" spans="1:18">
      <c r="A30" s="6" t="s">
        <v>34</v>
      </c>
      <c r="B30" s="411">
        <f t="shared" si="0"/>
        <v>1155</v>
      </c>
      <c r="C30" s="411">
        <f t="shared" si="1"/>
        <v>21.9435</v>
      </c>
      <c r="D30" s="388">
        <f t="shared" si="2"/>
        <v>52.635176703807502</v>
      </c>
      <c r="E30" s="9"/>
      <c r="F30" s="411">
        <f t="shared" si="3"/>
        <v>980</v>
      </c>
      <c r="G30" s="411">
        <f t="shared" si="4"/>
        <v>21.905100000000001</v>
      </c>
      <c r="H30" s="388">
        <f t="shared" si="5"/>
        <v>44.738439906688392</v>
      </c>
      <c r="I30" s="9"/>
      <c r="J30" s="411">
        <f t="shared" si="6"/>
        <v>1170</v>
      </c>
      <c r="K30" s="411">
        <f t="shared" si="7"/>
        <v>21.9178</v>
      </c>
      <c r="L30" s="388">
        <f t="shared" si="8"/>
        <v>53.381270017976256</v>
      </c>
      <c r="M30" s="9"/>
      <c r="N30" s="411">
        <f t="shared" si="11"/>
        <v>1140</v>
      </c>
      <c r="O30" s="411">
        <f t="shared" si="9"/>
        <v>21.9482</v>
      </c>
      <c r="P30" s="388">
        <f t="shared" si="10"/>
        <v>51.94047803464521</v>
      </c>
    </row>
    <row r="31" spans="1:18">
      <c r="A31" s="6" t="s">
        <v>35</v>
      </c>
      <c r="B31" s="411">
        <f t="shared" si="0"/>
        <v>50</v>
      </c>
      <c r="C31" s="411">
        <f t="shared" si="1"/>
        <v>1.3382000000000001</v>
      </c>
      <c r="D31" s="388">
        <f t="shared" si="2"/>
        <v>37.363622776864446</v>
      </c>
      <c r="E31" s="9"/>
      <c r="F31" s="411">
        <f t="shared" si="3"/>
        <v>45</v>
      </c>
      <c r="G31" s="411">
        <f t="shared" si="4"/>
        <v>1.3386</v>
      </c>
      <c r="H31" s="388">
        <f t="shared" si="5"/>
        <v>33.617212012550425</v>
      </c>
      <c r="I31" s="9"/>
      <c r="J31" s="411">
        <f t="shared" si="6"/>
        <v>50</v>
      </c>
      <c r="K31" s="411">
        <f t="shared" si="7"/>
        <v>1.3447</v>
      </c>
      <c r="L31" s="388">
        <f t="shared" si="8"/>
        <v>37.183014798839892</v>
      </c>
      <c r="M31" s="9"/>
      <c r="N31" s="411">
        <f t="shared" si="11"/>
        <v>60</v>
      </c>
      <c r="O31" s="411">
        <f t="shared" si="9"/>
        <v>1.302</v>
      </c>
      <c r="P31" s="388">
        <f t="shared" si="10"/>
        <v>46.082949308755758</v>
      </c>
    </row>
    <row r="32" spans="1:18">
      <c r="A32" s="6" t="s">
        <v>36</v>
      </c>
      <c r="B32" s="411">
        <f t="shared" si="0"/>
        <v>465</v>
      </c>
      <c r="C32" s="411">
        <f t="shared" si="1"/>
        <v>9.1694999999999993</v>
      </c>
      <c r="D32" s="388">
        <f t="shared" si="2"/>
        <v>50.711598233273357</v>
      </c>
      <c r="E32" s="9"/>
      <c r="F32" s="411">
        <f t="shared" si="3"/>
        <v>430</v>
      </c>
      <c r="G32" s="411">
        <f t="shared" si="4"/>
        <v>9.1349</v>
      </c>
      <c r="H32" s="388">
        <f t="shared" si="5"/>
        <v>47.072217539327198</v>
      </c>
      <c r="I32" s="9"/>
      <c r="J32" s="411">
        <f t="shared" si="6"/>
        <v>530</v>
      </c>
      <c r="K32" s="411">
        <f t="shared" si="7"/>
        <v>9.2593999999999994</v>
      </c>
      <c r="L32" s="388">
        <f t="shared" si="8"/>
        <v>57.239129965224535</v>
      </c>
      <c r="M32" s="9"/>
      <c r="N32" s="411">
        <f t="shared" si="11"/>
        <v>510</v>
      </c>
      <c r="O32" s="411">
        <f t="shared" si="9"/>
        <v>8.9719999999999995</v>
      </c>
      <c r="P32" s="388">
        <f t="shared" si="10"/>
        <v>56.843513152028535</v>
      </c>
    </row>
    <row r="33" spans="1:16">
      <c r="A33" s="6" t="s">
        <v>37</v>
      </c>
      <c r="B33" s="411">
        <f t="shared" si="0"/>
        <v>660</v>
      </c>
      <c r="C33" s="411">
        <f t="shared" si="1"/>
        <v>11.4946</v>
      </c>
      <c r="D33" s="388">
        <f t="shared" si="2"/>
        <v>57.418265968367756</v>
      </c>
      <c r="E33" s="9"/>
      <c r="F33" s="411">
        <f t="shared" si="3"/>
        <v>545</v>
      </c>
      <c r="G33" s="411">
        <f t="shared" si="4"/>
        <v>11.5055</v>
      </c>
      <c r="H33" s="388">
        <f t="shared" si="5"/>
        <v>47.368649776193998</v>
      </c>
      <c r="I33" s="9"/>
      <c r="J33" s="411">
        <f t="shared" si="6"/>
        <v>640</v>
      </c>
      <c r="K33" s="411">
        <f t="shared" si="7"/>
        <v>11.5571</v>
      </c>
      <c r="L33" s="388">
        <f t="shared" si="8"/>
        <v>55.377214006974064</v>
      </c>
      <c r="M33" s="9"/>
      <c r="N33" s="411">
        <f t="shared" si="11"/>
        <v>570</v>
      </c>
      <c r="O33" s="411">
        <f t="shared" si="9"/>
        <v>11.8453</v>
      </c>
      <c r="P33" s="388">
        <f t="shared" si="10"/>
        <v>48.12035153183119</v>
      </c>
    </row>
    <row r="34" spans="1:16">
      <c r="A34" s="6" t="s">
        <v>38</v>
      </c>
      <c r="B34" s="411">
        <f t="shared" si="0"/>
        <v>335</v>
      </c>
      <c r="C34" s="411">
        <f t="shared" si="1"/>
        <v>6.7870999999999997</v>
      </c>
      <c r="D34" s="388">
        <f t="shared" si="2"/>
        <v>49.358341559723598</v>
      </c>
      <c r="E34" s="9"/>
      <c r="F34" s="411">
        <f t="shared" si="3"/>
        <v>315</v>
      </c>
      <c r="G34" s="411">
        <f t="shared" si="4"/>
        <v>6.7332000000000001</v>
      </c>
      <c r="H34" s="388">
        <f t="shared" si="5"/>
        <v>46.783104615932992</v>
      </c>
      <c r="I34" s="9"/>
      <c r="J34" s="411">
        <f t="shared" si="6"/>
        <v>375</v>
      </c>
      <c r="K34" s="411">
        <f t="shared" si="7"/>
        <v>6.7641999999999998</v>
      </c>
      <c r="L34" s="388">
        <f t="shared" si="8"/>
        <v>55.438928476390409</v>
      </c>
      <c r="M34" s="9"/>
      <c r="N34" s="411">
        <f t="shared" si="11"/>
        <v>365</v>
      </c>
      <c r="O34" s="411">
        <f t="shared" si="9"/>
        <v>6.78</v>
      </c>
      <c r="P34" s="388">
        <f t="shared" si="10"/>
        <v>53.834808259587021</v>
      </c>
    </row>
    <row r="35" spans="1:16">
      <c r="A35" s="6" t="s">
        <v>39</v>
      </c>
      <c r="B35" s="411">
        <f t="shared" si="0"/>
        <v>55</v>
      </c>
      <c r="C35" s="411">
        <f t="shared" si="1"/>
        <v>1.4036</v>
      </c>
      <c r="D35" s="388">
        <f t="shared" si="2"/>
        <v>39.18495297805643</v>
      </c>
      <c r="E35" s="9"/>
      <c r="F35" s="411">
        <f t="shared" si="3"/>
        <v>70</v>
      </c>
      <c r="G35" s="411">
        <f t="shared" si="4"/>
        <v>1.3905000000000001</v>
      </c>
      <c r="H35" s="388">
        <f t="shared" si="5"/>
        <v>50.341603739661991</v>
      </c>
      <c r="I35" s="9"/>
      <c r="J35" s="411">
        <f t="shared" si="6"/>
        <v>75</v>
      </c>
      <c r="K35" s="411">
        <f t="shared" si="7"/>
        <v>1.3912</v>
      </c>
      <c r="L35" s="388">
        <f t="shared" si="8"/>
        <v>53.9102932719954</v>
      </c>
      <c r="M35" s="9"/>
      <c r="N35" s="411">
        <f t="shared" si="11"/>
        <v>75</v>
      </c>
      <c r="O35" s="411">
        <f t="shared" si="9"/>
        <v>1.3827</v>
      </c>
      <c r="P35" s="388">
        <f t="shared" si="10"/>
        <v>54.241701019743978</v>
      </c>
    </row>
    <row r="36" spans="1:16">
      <c r="A36" s="6" t="s">
        <v>40</v>
      </c>
      <c r="B36" s="411">
        <f t="shared" si="0"/>
        <v>360</v>
      </c>
      <c r="C36" s="411">
        <f t="shared" si="1"/>
        <v>6.6257999999999999</v>
      </c>
      <c r="D36" s="388">
        <f t="shared" si="2"/>
        <v>54.333061668024996</v>
      </c>
      <c r="E36" s="9"/>
      <c r="F36" s="411">
        <f t="shared" si="3"/>
        <v>375</v>
      </c>
      <c r="G36" s="411">
        <f t="shared" si="4"/>
        <v>6.5766999999999998</v>
      </c>
      <c r="H36" s="388">
        <f t="shared" si="5"/>
        <v>57.019477853634804</v>
      </c>
      <c r="I36" s="9"/>
      <c r="J36" s="411">
        <f t="shared" si="6"/>
        <v>360</v>
      </c>
      <c r="K36" s="411">
        <f t="shared" si="7"/>
        <v>6.5843999999999996</v>
      </c>
      <c r="L36" s="388">
        <f t="shared" si="8"/>
        <v>54.674685620557682</v>
      </c>
      <c r="M36" s="9"/>
      <c r="N36" s="411">
        <f t="shared" si="11"/>
        <v>325</v>
      </c>
      <c r="O36" s="411">
        <f t="shared" si="9"/>
        <v>6.4930000000000003</v>
      </c>
      <c r="P36" s="388">
        <f t="shared" si="10"/>
        <v>50.053904204527953</v>
      </c>
    </row>
    <row r="37" spans="1:16">
      <c r="A37" s="6" t="s">
        <v>41</v>
      </c>
      <c r="B37" s="411">
        <f t="shared" si="0"/>
        <v>1155</v>
      </c>
      <c r="C37" s="411">
        <f t="shared" si="1"/>
        <v>20.217500000000001</v>
      </c>
      <c r="D37" s="388">
        <f t="shared" si="2"/>
        <v>57.128725114381105</v>
      </c>
      <c r="E37" s="9"/>
      <c r="F37" s="411">
        <f t="shared" si="3"/>
        <v>1010</v>
      </c>
      <c r="G37" s="411">
        <f t="shared" si="4"/>
        <v>20.178999999999998</v>
      </c>
      <c r="H37" s="388">
        <f t="shared" si="5"/>
        <v>50.052034293076964</v>
      </c>
      <c r="I37" s="9"/>
      <c r="J37" s="411">
        <f t="shared" si="6"/>
        <v>1170</v>
      </c>
      <c r="K37" s="411">
        <f t="shared" si="7"/>
        <v>20.242999999999999</v>
      </c>
      <c r="L37" s="388">
        <f t="shared" si="8"/>
        <v>57.797757249419554</v>
      </c>
      <c r="M37" s="9"/>
      <c r="N37" s="411">
        <f t="shared" si="11"/>
        <v>1175</v>
      </c>
      <c r="O37" s="411">
        <f t="shared" si="9"/>
        <v>20.548999999999999</v>
      </c>
      <c r="P37" s="388">
        <f t="shared" si="10"/>
        <v>57.180398072898925</v>
      </c>
    </row>
    <row r="38" spans="1:16">
      <c r="A38" s="6" t="s">
        <v>42</v>
      </c>
      <c r="B38" s="411">
        <f t="shared" si="0"/>
        <v>375</v>
      </c>
      <c r="C38" s="411">
        <f t="shared" si="1"/>
        <v>6.0529000000000002</v>
      </c>
      <c r="D38" s="388">
        <f t="shared" si="2"/>
        <v>61.95377422392572</v>
      </c>
      <c r="E38" s="9"/>
      <c r="F38" s="411">
        <f t="shared" si="3"/>
        <v>340</v>
      </c>
      <c r="G38" s="411">
        <f t="shared" si="4"/>
        <v>6.0411000000000001</v>
      </c>
      <c r="H38" s="388">
        <f t="shared" si="5"/>
        <v>56.281140851831616</v>
      </c>
      <c r="I38" s="9"/>
      <c r="J38" s="411">
        <f t="shared" si="6"/>
        <v>345</v>
      </c>
      <c r="K38" s="411">
        <f t="shared" si="7"/>
        <v>5.9730999999999996</v>
      </c>
      <c r="L38" s="388">
        <f t="shared" si="8"/>
        <v>57.758952637658844</v>
      </c>
      <c r="M38" s="9"/>
      <c r="N38" s="411">
        <f t="shared" si="11"/>
        <v>350</v>
      </c>
      <c r="O38" s="411">
        <f t="shared" si="9"/>
        <v>5.8746</v>
      </c>
      <c r="P38" s="388">
        <f t="shared" si="10"/>
        <v>59.578524495284782</v>
      </c>
    </row>
    <row r="39" spans="1:16">
      <c r="A39" s="6" t="s">
        <v>43</v>
      </c>
      <c r="B39" s="411">
        <f t="shared" si="0"/>
        <v>320</v>
      </c>
      <c r="C39" s="411">
        <f t="shared" si="1"/>
        <v>5.6551999999999998</v>
      </c>
      <c r="D39" s="388">
        <f t="shared" si="2"/>
        <v>56.585089828830107</v>
      </c>
      <c r="E39" s="9"/>
      <c r="F39" s="411">
        <f t="shared" si="3"/>
        <v>245</v>
      </c>
      <c r="G39" s="411">
        <f t="shared" si="4"/>
        <v>5.5987999999999998</v>
      </c>
      <c r="H39" s="388">
        <f t="shared" si="5"/>
        <v>43.759377009359149</v>
      </c>
      <c r="I39" s="9"/>
      <c r="J39" s="411">
        <f t="shared" si="6"/>
        <v>225</v>
      </c>
      <c r="K39" s="411">
        <f t="shared" si="7"/>
        <v>5.5414000000000003</v>
      </c>
      <c r="L39" s="388">
        <f t="shared" si="8"/>
        <v>40.603457609990251</v>
      </c>
      <c r="M39" s="9"/>
      <c r="N39" s="411">
        <f t="shared" si="11"/>
        <v>250</v>
      </c>
      <c r="O39" s="411">
        <f t="shared" si="9"/>
        <v>5.5507999999999997</v>
      </c>
      <c r="P39" s="388">
        <f t="shared" si="10"/>
        <v>45.038553001369174</v>
      </c>
    </row>
    <row r="40" spans="1:16">
      <c r="A40" s="6" t="s">
        <v>44</v>
      </c>
      <c r="B40" s="411">
        <f t="shared" si="0"/>
        <v>620</v>
      </c>
      <c r="C40" s="411">
        <f t="shared" si="1"/>
        <v>11.7121</v>
      </c>
      <c r="D40" s="388">
        <f t="shared" si="2"/>
        <v>52.936706483038911</v>
      </c>
      <c r="E40" s="9"/>
      <c r="F40" s="411">
        <f t="shared" si="3"/>
        <v>570</v>
      </c>
      <c r="G40" s="411">
        <f t="shared" si="4"/>
        <v>11.7675</v>
      </c>
      <c r="H40" s="388">
        <f t="shared" si="5"/>
        <v>48.43849585723391</v>
      </c>
      <c r="I40" s="9"/>
      <c r="J40" s="411">
        <f t="shared" si="6"/>
        <v>675</v>
      </c>
      <c r="K40" s="411">
        <f t="shared" si="7"/>
        <v>11.8894</v>
      </c>
      <c r="L40" s="388">
        <f t="shared" si="8"/>
        <v>56.773260214981413</v>
      </c>
      <c r="M40" s="9"/>
      <c r="N40" s="411">
        <f t="shared" si="11"/>
        <v>620</v>
      </c>
      <c r="O40" s="411">
        <f t="shared" si="9"/>
        <v>11.617100000000001</v>
      </c>
      <c r="P40" s="388">
        <f t="shared" si="10"/>
        <v>53.36960170782725</v>
      </c>
    </row>
    <row r="41" spans="1:16">
      <c r="A41" s="6"/>
      <c r="B41" s="10"/>
      <c r="C41" s="10"/>
      <c r="D41" s="9"/>
      <c r="E41" s="9"/>
      <c r="F41" s="10"/>
      <c r="G41" s="10"/>
      <c r="H41" s="9"/>
      <c r="I41" s="9"/>
      <c r="J41" s="10"/>
      <c r="K41" s="10"/>
      <c r="L41" s="9"/>
      <c r="M41" s="9"/>
      <c r="N41" s="10"/>
      <c r="O41" s="10"/>
      <c r="P41" s="9"/>
    </row>
    <row r="42" spans="1:16">
      <c r="A42" s="6" t="s">
        <v>45</v>
      </c>
      <c r="B42" s="411">
        <f t="shared" ref="B42:B43" si="12">INDEX($B$59:$E$93,MATCH($A42,$A$59:$A$93,0),MATCH(D$8,$B$58:$E$58,0))</f>
        <v>20680</v>
      </c>
      <c r="C42" s="411">
        <f t="shared" si="1"/>
        <v>349.7758</v>
      </c>
      <c r="D42" s="388">
        <f t="shared" ref="D42:D43" si="13">SUM(B42/C42)</f>
        <v>59.123587166407738</v>
      </c>
      <c r="E42" s="9"/>
      <c r="F42" s="411">
        <f t="shared" ref="F42:F43" si="14">INDEX($B$59:$E$93,MATCH($A42,$A$59:$A$93,0),MATCH(H$8,$B$58:$E$58,0))</f>
        <v>16850</v>
      </c>
      <c r="G42" s="411">
        <f t="shared" si="4"/>
        <v>349.31369999999998</v>
      </c>
      <c r="H42" s="388">
        <f t="shared" ref="H42:H43" si="15">SUM(F42/G42)</f>
        <v>48.237443879240928</v>
      </c>
      <c r="I42" s="9"/>
      <c r="J42" s="411">
        <f t="shared" ref="J42:J43" si="16">INDEX($B$59:$E$93,MATCH($A42,$A$59:$A$93,0),MATCH(L$8,$B$58:$E$58,0))</f>
        <v>18910</v>
      </c>
      <c r="K42" s="411">
        <f t="shared" si="7"/>
        <v>349.45170000000002</v>
      </c>
      <c r="L42" s="388">
        <f t="shared" ref="L42:L43" si="17">SUM(J42/K42)</f>
        <v>54.113343846946513</v>
      </c>
      <c r="M42" s="9"/>
      <c r="N42" s="411">
        <f t="shared" ref="N42:N43" si="18">INDEX($B$59:$E$93,MATCH($A42,$A$59:$A$93,0),MATCH(P$8,$B$58:$E$58,0))</f>
        <v>18870</v>
      </c>
      <c r="O42" s="411">
        <f>SUM(INDEX($H$59:$K$93,MATCH($A42,$G$59:$G$93,0),MATCH(2022,$H$58:$K$58,0)))/10000</f>
        <v>345.84129999999999</v>
      </c>
      <c r="P42" s="388">
        <f t="shared" ref="P42:P43" si="19">SUM(N42/O42)</f>
        <v>54.562598509778908</v>
      </c>
    </row>
    <row r="43" spans="1:16">
      <c r="A43" s="6" t="s">
        <v>46</v>
      </c>
      <c r="B43" s="411">
        <f t="shared" si="12"/>
        <v>363825</v>
      </c>
      <c r="C43" s="411">
        <f t="shared" si="1"/>
        <v>4172.4009999999998</v>
      </c>
      <c r="D43" s="388">
        <f t="shared" si="13"/>
        <v>87.197994631867843</v>
      </c>
      <c r="E43" s="9"/>
      <c r="F43" s="411">
        <f t="shared" si="14"/>
        <v>333020</v>
      </c>
      <c r="G43" s="411">
        <f t="shared" si="4"/>
        <v>4184.5027</v>
      </c>
      <c r="H43" s="388">
        <f t="shared" si="15"/>
        <v>79.584128360103577</v>
      </c>
      <c r="I43" s="9"/>
      <c r="J43" s="411">
        <f t="shared" si="16"/>
        <v>363995</v>
      </c>
      <c r="K43" s="411">
        <f t="shared" si="7"/>
        <v>4217.4675999999999</v>
      </c>
      <c r="L43" s="388">
        <f t="shared" si="17"/>
        <v>86.306531436068411</v>
      </c>
      <c r="M43" s="9"/>
      <c r="N43" s="411">
        <f t="shared" si="18"/>
        <v>336925</v>
      </c>
      <c r="O43" s="411">
        <f>SUM(INDEX($H$59:$K$93,MATCH($A43,$G$59:$G$93,0),MATCH(2022,$H$58:$K$58,0)))/10000</f>
        <v>4217.4675999999999</v>
      </c>
      <c r="P43" s="388">
        <f t="shared" si="19"/>
        <v>79.887987758341055</v>
      </c>
    </row>
    <row r="44" spans="1:16">
      <c r="A44" s="6" t="s">
        <v>543</v>
      </c>
      <c r="B44" s="385" cm="1">
        <f t="array" ref="B44">SUM(SUMIFS(B$9:B$40,$A$9:$A$40,{"Na h-Eileanan Siar","Argyll and Bute","Shetland Islands","Highland","Orkney Islands","Scottish Borders","Dumfries and Galloway","Aberdeenshire"}))</f>
        <v>3130</v>
      </c>
      <c r="C44" s="385">
        <f>SUM(SUMIFS(C$9:C$40,$A$9:$A$40,{"Na h-Eileanan Siar","Argyll and Bute","Shetland Islands","Highland","Orkney Islands","Scottish Borders","Dumfries and Galloway","Aberdeenshire"}))</f>
        <v>55.348799999999997</v>
      </c>
      <c r="D44" s="388">
        <f t="shared" ref="D44:D47" si="20">SUM(B44/SUM(C44))</f>
        <v>56.550458185181974</v>
      </c>
      <c r="E44" s="9"/>
      <c r="F44" s="385">
        <f>SUM(SUMIFS(F$9:F$40,$A$9:$A$40,{"Na h-Eileanan Siar","Argyll and Bute","Shetland Islands","Highland","Orkney Islands","Scottish Borders","Dumfries and Galloway","Aberdeenshire"}))</f>
        <v>2565</v>
      </c>
      <c r="G44" s="385">
        <f>SUM(SUMIFS(G$9:G$40,$A$9:$A$40,{"Na h-Eileanan Siar","Argyll and Bute","Shetland Islands","Highland","Orkney Islands","Scottish Borders","Dumfries and Galloway","Aberdeenshire"}))</f>
        <v>54.964700000000001</v>
      </c>
      <c r="H44" s="388">
        <f t="shared" ref="H44:H47" si="21">SUM(F44/SUM(G44))</f>
        <v>46.666314925761441</v>
      </c>
      <c r="I44" s="9"/>
      <c r="J44" s="385">
        <f>SUM(SUMIFS(J$9:J$40,$A$9:$A$40,{"Na h-Eileanan Siar","Argyll and Bute","Shetland Islands","Highland","Orkney Islands","Scottish Borders","Dumfries and Galloway","Aberdeenshire"}))</f>
        <v>2935</v>
      </c>
      <c r="K44" s="385">
        <f>SUM(SUMIFS(K$9:K$40,$A$9:$A$40,{"Na h-Eileanan Siar","Argyll and Bute","Shetland Islands","Highland","Orkney Islands","Scottish Borders","Dumfries and Galloway","Aberdeenshire"}))</f>
        <v>55.305799999999991</v>
      </c>
      <c r="L44" s="388">
        <f t="shared" ref="L44:L47" si="22">SUM(J44/SUM(K44))</f>
        <v>53.068575086157338</v>
      </c>
      <c r="M44" s="9"/>
      <c r="N44" s="385">
        <f>SUM(SUMIFS(N$9:N$40,$A$9:$A$40,{"Na h-Eileanan Siar","Argyll and Bute","Shetland Islands","Highland","Orkney Islands","Scottish Borders","Dumfries and Galloway","Aberdeenshire"}))</f>
        <v>2885</v>
      </c>
      <c r="O44" s="385">
        <f>SUM(SUMIFS(O$9:O$40,$A$9:$A$40,{"Na h-Eileanan Siar","Argyll and Bute","Shetland Islands","Highland","Orkney Islands","Scottish Borders","Dumfries and Galloway","Aberdeenshire"}))</f>
        <v>54.715699999999998</v>
      </c>
      <c r="P44" s="388">
        <f t="shared" ref="P44:P47" si="23">SUM(N44/SUM(O44))</f>
        <v>52.727096610296499</v>
      </c>
    </row>
    <row r="45" spans="1:16">
      <c r="A45" s="6" t="s">
        <v>544</v>
      </c>
      <c r="B45" s="385">
        <f>SUM(SUMIFS(B$9:B$40,$A$9:$A$40,{"Perth and Kinross","Stirling","Moray","South Ayrshire","East Ayrshire","East Lothian","North Ayrshire","Fife"}))</f>
        <v>4095</v>
      </c>
      <c r="C45" s="385">
        <f>SUM(SUMIFS(C$9:C$40,$A$9:$A$40,{"Perth and Kinross","Stirling","Moray","South Ayrshire","East Ayrshire","East Lothian","North Ayrshire","Fife"}))</f>
        <v>73.281899999999993</v>
      </c>
      <c r="D45" s="388">
        <f t="shared" si="20"/>
        <v>55.880101362000715</v>
      </c>
      <c r="E45" s="9"/>
      <c r="F45" s="385">
        <f>SUM(SUMIFS(F$9:F$40,$A$9:$A$40,{"Perth and Kinross","Stirling","Moray","South Ayrshire","East Ayrshire","East Lothian","North Ayrshire","Fife"}))</f>
        <v>3185</v>
      </c>
      <c r="G45" s="385">
        <f>SUM(SUMIFS(G$9:G$40,$A$9:$A$40,{"Perth and Kinross","Stirling","Moray","South Ayrshire","East Ayrshire","East Lothian","North Ayrshire","Fife"}))</f>
        <v>73.057900000000004</v>
      </c>
      <c r="H45" s="388">
        <f t="shared" si="21"/>
        <v>43.595559138710527</v>
      </c>
      <c r="I45" s="9"/>
      <c r="J45" s="385">
        <f>SUM(SUMIFS(J$9:J$40,$A$9:$A$40,{"Perth and Kinross","Stirling","Moray","South Ayrshire","East Ayrshire","East Lothian","North Ayrshire","Fife"}))</f>
        <v>3600</v>
      </c>
      <c r="K45" s="385">
        <f>SUM(SUMIFS(K$9:K$40,$A$9:$A$40,{"Perth and Kinross","Stirling","Moray","South Ayrshire","East Ayrshire","East Lothian","North Ayrshire","Fife"}))</f>
        <v>73.232100000000003</v>
      </c>
      <c r="L45" s="388">
        <f t="shared" si="22"/>
        <v>49.158770539148811</v>
      </c>
      <c r="M45" s="9"/>
      <c r="N45" s="385">
        <f>SUM(SUMIFS(N$9:N$40,$A$9:$A$40,{"Perth and Kinross","Stirling","Moray","South Ayrshire","East Ayrshire","East Lothian","North Ayrshire","Fife"}))</f>
        <v>3430</v>
      </c>
      <c r="O45" s="385">
        <f>SUM(SUMIFS(O$9:O$40,$A$9:$A$40,{"Perth and Kinross","Stirling","Moray","South Ayrshire","East Ayrshire","East Lothian","North Ayrshire","Fife"}))</f>
        <v>72.264200000000002</v>
      </c>
      <c r="P45" s="388">
        <f t="shared" si="23"/>
        <v>47.464719736743781</v>
      </c>
    </row>
    <row r="46" spans="1:16">
      <c r="A46" s="6" t="s">
        <v>545</v>
      </c>
      <c r="B46" s="385">
        <f>SUM(SUMIFS(B$9:B$40,$A$9:$A$40,{"Angus","Clackmannanshire","Midlothian","South Lanarkshire","Inverclyde","Renfrewshire","West Lothian","East Renfrewshire"}))</f>
        <v>3755</v>
      </c>
      <c r="C46" s="385">
        <f>SUM(SUMIFS(C$9:C$40,$A$9:$A$40,{"Angus","Clackmannanshire","Midlothian","South Lanarkshire","Inverclyde","Renfrewshire","West Lothian","East Renfrewshire"}))</f>
        <v>69.827199999999991</v>
      </c>
      <c r="D46" s="388">
        <f t="shared" si="20"/>
        <v>53.775606067549617</v>
      </c>
      <c r="E46" s="9"/>
      <c r="F46" s="385">
        <f>SUM(SUMIFS(F$9:F$40,$A$9:$A$40,{"Angus","Clackmannanshire","Midlothian","South Lanarkshire","Inverclyde","Renfrewshire","West Lothian","East Renfrewshire"}))</f>
        <v>3275</v>
      </c>
      <c r="G46" s="385">
        <f>SUM(SUMIFS(G$9:G$40,$A$9:$A$40,{"Angus","Clackmannanshire","Midlothian","South Lanarkshire","Inverclyde","Renfrewshire","West Lothian","East Renfrewshire"}))</f>
        <v>69.782399999999996</v>
      </c>
      <c r="H46" s="388">
        <f t="shared" si="21"/>
        <v>46.931604530655299</v>
      </c>
      <c r="I46" s="9"/>
      <c r="J46" s="385">
        <f>SUM(SUMIFS(J$9:J$40,$A$9:$A$40,{"Angus","Clackmannanshire","Midlothian","South Lanarkshire","Inverclyde","Renfrewshire","West Lothian","East Renfrewshire"}))</f>
        <v>3730</v>
      </c>
      <c r="K46" s="385">
        <f>SUM(SUMIFS(K$9:K$40,$A$9:$A$40,{"Angus","Clackmannanshire","Midlothian","South Lanarkshire","Inverclyde","Renfrewshire","West Lothian","East Renfrewshire"}))</f>
        <v>70.120399999999989</v>
      </c>
      <c r="L46" s="388">
        <f t="shared" si="22"/>
        <v>53.194220226923981</v>
      </c>
      <c r="M46" s="9"/>
      <c r="N46" s="385">
        <f>SUM(SUMIFS(N$9:N$40,$A$9:$A$40,{"Angus","Clackmannanshire","Midlothian","South Lanarkshire","Inverclyde","Renfrewshire","West Lothian","East Renfrewshire"}))</f>
        <v>3665</v>
      </c>
      <c r="O46" s="385">
        <f>SUM(SUMIFS(O$9:O$40,$A$9:$A$40,{"Angus","Clackmannanshire","Midlothian","South Lanarkshire","Inverclyde","Renfrewshire","West Lothian","East Renfrewshire"}))</f>
        <v>70.550899999999999</v>
      </c>
      <c r="P46" s="388">
        <f t="shared" si="23"/>
        <v>51.948309660117729</v>
      </c>
    </row>
    <row r="47" spans="1:16">
      <c r="A47" s="6" t="s">
        <v>546</v>
      </c>
      <c r="B47" s="385">
        <f>SUM(SUMIFS(B$9:B$40,$A$9:$A$40,{"North Lanarkshire","Falkirk","East Dunbartonshire","Aberdeen City","Edinburgh, City of","West Dunbartonshire","Dundee City","Glasgow City"}))</f>
        <v>9700</v>
      </c>
      <c r="C47" s="385">
        <f>SUM(SUMIFS(C$9:C$40,$A$9:$A$40,{"North Lanarkshire","Falkirk","East Dunbartonshire","Aberdeen City","Edinburgh, City of","West Dunbartonshire","Dundee City","Glasgow City"}))</f>
        <v>151.31790000000001</v>
      </c>
      <c r="D47" s="388">
        <f t="shared" si="20"/>
        <v>64.103453722262856</v>
      </c>
      <c r="E47" s="9"/>
      <c r="F47" s="385">
        <f>SUM(SUMIFS(F$9:F$40,$A$9:$A$40,{"North Lanarkshire","Falkirk","East Dunbartonshire","Aberdeen City","Edinburgh, City of","West Dunbartonshire","Dundee City","Glasgow City"}))</f>
        <v>7825</v>
      </c>
      <c r="G47" s="385">
        <f>SUM(SUMIFS(G$9:G$40,$A$9:$A$40,{"North Lanarkshire","Falkirk","East Dunbartonshire","Aberdeen City","Edinburgh, City of","West Dunbartonshire","Dundee City","Glasgow City"}))</f>
        <v>151.5087</v>
      </c>
      <c r="H47" s="388">
        <f t="shared" si="21"/>
        <v>51.647199137739285</v>
      </c>
      <c r="I47" s="9"/>
      <c r="J47" s="385">
        <f>SUM(SUMIFS(J$9:J$40,$A$9:$A$40,{"North Lanarkshire","Falkirk","East Dunbartonshire","Aberdeen City","Edinburgh, City of","West Dunbartonshire","Dundee City","Glasgow City"}))</f>
        <v>8645</v>
      </c>
      <c r="K47" s="385">
        <f>SUM(SUMIFS(K$9:K$40,$A$9:$A$40,{"North Lanarkshire","Falkirk","East Dunbartonshire","Aberdeen City","Edinburgh, City of","West Dunbartonshire","Dundee City","Glasgow City"}))</f>
        <v>150.79339999999999</v>
      </c>
      <c r="L47" s="388">
        <f t="shared" si="22"/>
        <v>57.330095349000686</v>
      </c>
      <c r="M47" s="9"/>
      <c r="N47" s="385">
        <f>SUM(SUMIFS(N$9:N$40,$A$9:$A$40,{"North Lanarkshire","Falkirk","East Dunbartonshire","Aberdeen City","Edinburgh, City of","West Dunbartonshire","Dundee City","Glasgow City"}))</f>
        <v>8890</v>
      </c>
      <c r="O47" s="385">
        <f>SUM(SUMIFS(O$9:O$40,$A$9:$A$40,{"North Lanarkshire","Falkirk","East Dunbartonshire","Aberdeen City","Edinburgh, City of","West Dunbartonshire","Dundee City","Glasgow City"}))</f>
        <v>148.31049999999999</v>
      </c>
      <c r="P47" s="388">
        <f t="shared" si="23"/>
        <v>59.941811267577151</v>
      </c>
    </row>
    <row r="48" spans="1:16">
      <c r="A48" s="6" t="s">
        <v>47</v>
      </c>
      <c r="B48" s="411">
        <f t="shared" ref="B48" si="24">INDEX($B$59:$E$93,MATCH($A48,$A$59:$A$93,0),MATCH(D$8,$B$58:$E$58,0))</f>
        <v>7435</v>
      </c>
      <c r="C48" s="411">
        <f t="shared" ref="C48" si="25">SUM(INDEX($H$59:$K$93,MATCH($A48,$G$59:$G$93,0),MATCH(D$8,$H$58:$K$58,0)))/10000</f>
        <v>121.0672</v>
      </c>
      <c r="D48" s="388">
        <f t="shared" ref="D48" si="26">SUM(B48/C48)</f>
        <v>61.41217439570751</v>
      </c>
      <c r="E48" s="9"/>
      <c r="F48" s="411">
        <f t="shared" ref="F48" si="27">INDEX($B$59:$E$93,MATCH($A48,$A$59:$A$93,0),MATCH(H$8,$B$58:$E$58,0))</f>
        <v>6125</v>
      </c>
      <c r="G48" s="411">
        <f t="shared" ref="G48" si="28">SUM(INDEX($H$59:$K$93,MATCH($A48,$G$59:$G$93,0),MATCH(H$8,$H$58:$K$58,0)))/10000</f>
        <v>121.1065</v>
      </c>
      <c r="H48" s="388">
        <f t="shared" ref="H48" si="29">SUM(F48/G48)</f>
        <v>50.575320069525581</v>
      </c>
      <c r="I48" s="9"/>
      <c r="J48" s="411">
        <f t="shared" ref="J48" si="30">INDEX($B$59:$E$93,MATCH($A48,$A$59:$A$93,0),MATCH(L$8,$B$58:$E$58,0))</f>
        <v>6985</v>
      </c>
      <c r="K48" s="411">
        <f t="shared" ref="K48" si="31">SUM(INDEX($H$59:$K$93,MATCH($A48,$G$59:$G$93,0),MATCH(L$8,$H$58:$K$58,0)))/10000</f>
        <v>121.036</v>
      </c>
      <c r="L48" s="388">
        <f t="shared" ref="L48" si="32">SUM(J48/K48)</f>
        <v>57.710102779338378</v>
      </c>
      <c r="M48" s="9"/>
      <c r="N48" s="411">
        <f t="shared" ref="N48" si="33">INDEX($B$59:$E$93,MATCH($A48,$A$59:$A$93,0),MATCH(P$8,$B$58:$E$58,0))</f>
        <v>7050</v>
      </c>
      <c r="O48" s="411">
        <f>SUM(INDEX($H$59:$K$93,MATCH($A48,$G$59:$G$93,0),MATCH(2022,$H$58:$K$58,0)))/10000</f>
        <v>120.6696</v>
      </c>
      <c r="P48" s="388">
        <f t="shared" ref="P48" si="34">SUM(N48/O48)</f>
        <v>58.423994112850295</v>
      </c>
    </row>
    <row r="50" spans="1:11">
      <c r="A50" s="357"/>
      <c r="B50" s="358"/>
      <c r="C50" s="358"/>
      <c r="D50" s="358"/>
      <c r="E50" s="358"/>
    </row>
    <row r="51" spans="1:11" ht="15.5">
      <c r="A51" s="440" t="s">
        <v>717</v>
      </c>
      <c r="G51" s="440" t="s">
        <v>216</v>
      </c>
    </row>
    <row r="52" spans="1:11">
      <c r="A52" s="441"/>
      <c r="G52" s="441" t="s">
        <v>715</v>
      </c>
    </row>
    <row r="54" spans="1:11">
      <c r="A54" s="442" t="s">
        <v>213</v>
      </c>
      <c r="B54" s="442" t="s">
        <v>718</v>
      </c>
      <c r="G54" s="442" t="s">
        <v>150</v>
      </c>
      <c r="H54" s="442" t="s">
        <v>82</v>
      </c>
    </row>
    <row r="55" spans="1:11">
      <c r="A55" s="442" t="s">
        <v>212</v>
      </c>
      <c r="B55" s="442"/>
      <c r="G55" s="442" t="s">
        <v>149</v>
      </c>
      <c r="H55" s="442" t="s">
        <v>215</v>
      </c>
    </row>
    <row r="56" spans="1:11">
      <c r="A56" s="442" t="s">
        <v>211</v>
      </c>
      <c r="B56" s="442"/>
    </row>
    <row r="58" spans="1:11">
      <c r="A58" s="443" t="s">
        <v>5</v>
      </c>
      <c r="B58" s="444">
        <v>2019</v>
      </c>
      <c r="C58" s="444">
        <v>2020</v>
      </c>
      <c r="D58" s="444">
        <v>2021</v>
      </c>
      <c r="E58" s="444">
        <v>2022</v>
      </c>
      <c r="G58" s="443" t="s">
        <v>5</v>
      </c>
      <c r="H58" s="444">
        <v>2019</v>
      </c>
      <c r="I58" s="444">
        <v>2020</v>
      </c>
      <c r="J58" s="444">
        <v>2021</v>
      </c>
      <c r="K58" s="444">
        <v>2022</v>
      </c>
    </row>
    <row r="59" spans="1:11">
      <c r="A59" s="442" t="s">
        <v>14</v>
      </c>
      <c r="B59" s="435">
        <v>1065</v>
      </c>
      <c r="C59" s="435">
        <v>830</v>
      </c>
      <c r="D59" s="435">
        <v>860</v>
      </c>
      <c r="E59" s="435">
        <v>895</v>
      </c>
      <c r="G59" s="442" t="s">
        <v>14</v>
      </c>
      <c r="H59" s="435">
        <v>157090</v>
      </c>
      <c r="I59" s="435">
        <v>156660</v>
      </c>
      <c r="J59" s="435">
        <v>154229</v>
      </c>
      <c r="K59" s="435">
        <v>150298</v>
      </c>
    </row>
    <row r="60" spans="1:11">
      <c r="A60" s="442" t="s">
        <v>15</v>
      </c>
      <c r="B60" s="435">
        <v>1105</v>
      </c>
      <c r="C60" s="435">
        <v>845</v>
      </c>
      <c r="D60" s="435">
        <v>895</v>
      </c>
      <c r="E60" s="435">
        <v>840</v>
      </c>
      <c r="G60" s="442" t="s">
        <v>15</v>
      </c>
      <c r="H60" s="435">
        <v>161121</v>
      </c>
      <c r="I60" s="435">
        <v>160000</v>
      </c>
      <c r="J60" s="435">
        <v>160495</v>
      </c>
      <c r="K60" s="435">
        <v>159263</v>
      </c>
    </row>
    <row r="61" spans="1:11">
      <c r="A61" s="442" t="s">
        <v>16</v>
      </c>
      <c r="B61" s="435">
        <v>350</v>
      </c>
      <c r="C61" s="435">
        <v>315</v>
      </c>
      <c r="D61" s="435">
        <v>335</v>
      </c>
      <c r="E61" s="435">
        <v>325</v>
      </c>
      <c r="G61" s="442" t="s">
        <v>16</v>
      </c>
      <c r="H61" s="435">
        <v>69265</v>
      </c>
      <c r="I61" s="435">
        <v>68871</v>
      </c>
      <c r="J61" s="435">
        <v>69017</v>
      </c>
      <c r="K61" s="435">
        <v>67593</v>
      </c>
    </row>
    <row r="62" spans="1:11">
      <c r="A62" s="442" t="s">
        <v>17</v>
      </c>
      <c r="B62" s="435">
        <v>265</v>
      </c>
      <c r="C62" s="435">
        <v>210</v>
      </c>
      <c r="D62" s="435">
        <v>295</v>
      </c>
      <c r="E62" s="435">
        <v>265</v>
      </c>
      <c r="G62" s="442" t="s">
        <v>17</v>
      </c>
      <c r="H62" s="435">
        <v>50754</v>
      </c>
      <c r="I62" s="435">
        <v>50511</v>
      </c>
      <c r="J62" s="435">
        <v>51002</v>
      </c>
      <c r="K62" s="435">
        <v>51868</v>
      </c>
    </row>
    <row r="63" spans="1:11">
      <c r="A63" s="6" t="s">
        <v>189</v>
      </c>
      <c r="B63" s="435">
        <v>2590</v>
      </c>
      <c r="C63" s="435">
        <v>2010</v>
      </c>
      <c r="D63" s="435">
        <v>2220</v>
      </c>
      <c r="E63" s="435">
        <v>2270</v>
      </c>
      <c r="G63" s="6" t="s">
        <v>189</v>
      </c>
      <c r="H63" s="435">
        <v>366508</v>
      </c>
      <c r="I63" s="435">
        <v>368491</v>
      </c>
      <c r="J63" s="435">
        <v>366367</v>
      </c>
      <c r="K63" s="435">
        <v>357141</v>
      </c>
    </row>
    <row r="64" spans="1:11">
      <c r="A64" s="442" t="s">
        <v>18</v>
      </c>
      <c r="B64" s="435">
        <v>135</v>
      </c>
      <c r="C64" s="435">
        <v>125</v>
      </c>
      <c r="D64" s="435">
        <v>125</v>
      </c>
      <c r="E64" s="435">
        <v>140</v>
      </c>
      <c r="G64" s="442" t="s">
        <v>18</v>
      </c>
      <c r="H64" s="435">
        <v>32133</v>
      </c>
      <c r="I64" s="435">
        <v>31817</v>
      </c>
      <c r="J64" s="435">
        <v>31945</v>
      </c>
      <c r="K64" s="435">
        <v>32189</v>
      </c>
    </row>
    <row r="65" spans="1:11">
      <c r="A65" s="442" t="s">
        <v>19</v>
      </c>
      <c r="B65" s="435">
        <v>365</v>
      </c>
      <c r="C65" s="435">
        <v>310</v>
      </c>
      <c r="D65" s="435">
        <v>375</v>
      </c>
      <c r="E65" s="435">
        <v>400</v>
      </c>
      <c r="G65" s="442" t="s">
        <v>19</v>
      </c>
      <c r="H65" s="435">
        <v>87047</v>
      </c>
      <c r="I65" s="435">
        <v>86182</v>
      </c>
      <c r="J65" s="435">
        <v>86346</v>
      </c>
      <c r="K65" s="435">
        <v>83896</v>
      </c>
    </row>
    <row r="66" spans="1:11">
      <c r="A66" s="442" t="s">
        <v>20</v>
      </c>
      <c r="B66" s="435">
        <v>480</v>
      </c>
      <c r="C66" s="435">
        <v>455</v>
      </c>
      <c r="D66" s="435">
        <v>440</v>
      </c>
      <c r="E66" s="435">
        <v>490</v>
      </c>
      <c r="G66" s="442" t="s">
        <v>20</v>
      </c>
      <c r="H66" s="435">
        <v>99209</v>
      </c>
      <c r="I66" s="435">
        <v>98822</v>
      </c>
      <c r="J66" s="435">
        <v>97773</v>
      </c>
      <c r="K66" s="435">
        <v>97905</v>
      </c>
    </row>
    <row r="67" spans="1:11">
      <c r="A67" s="442" t="s">
        <v>21</v>
      </c>
      <c r="B67" s="435">
        <v>370</v>
      </c>
      <c r="C67" s="435">
        <v>315</v>
      </c>
      <c r="D67" s="435">
        <v>375</v>
      </c>
      <c r="E67" s="435">
        <v>345</v>
      </c>
      <c r="G67" s="442" t="s">
        <v>21</v>
      </c>
      <c r="H67" s="435">
        <v>76005</v>
      </c>
      <c r="I67" s="435">
        <v>75511</v>
      </c>
      <c r="J67" s="435">
        <v>75654</v>
      </c>
      <c r="K67" s="435">
        <v>74068</v>
      </c>
    </row>
    <row r="68" spans="1:11">
      <c r="A68" s="442" t="s">
        <v>22</v>
      </c>
      <c r="B68" s="435">
        <v>325</v>
      </c>
      <c r="C68" s="435">
        <v>305</v>
      </c>
      <c r="D68" s="435">
        <v>320</v>
      </c>
      <c r="E68" s="435">
        <v>345</v>
      </c>
      <c r="G68" s="442" t="s">
        <v>22</v>
      </c>
      <c r="H68" s="435">
        <v>64766</v>
      </c>
      <c r="I68" s="435">
        <v>64517</v>
      </c>
      <c r="J68" s="435">
        <v>64307</v>
      </c>
      <c r="K68" s="435">
        <v>63285</v>
      </c>
    </row>
    <row r="69" spans="1:11">
      <c r="A69" s="442" t="s">
        <v>23</v>
      </c>
      <c r="B69" s="435">
        <v>355</v>
      </c>
      <c r="C69" s="435">
        <v>250</v>
      </c>
      <c r="D69" s="435">
        <v>320</v>
      </c>
      <c r="E69" s="435">
        <v>305</v>
      </c>
      <c r="G69" s="442" t="s">
        <v>23</v>
      </c>
      <c r="H69" s="435">
        <v>65659</v>
      </c>
      <c r="I69" s="435">
        <v>66007</v>
      </c>
      <c r="J69" s="435">
        <v>66893</v>
      </c>
      <c r="K69" s="435">
        <v>68402</v>
      </c>
    </row>
    <row r="70" spans="1:11">
      <c r="A70" s="442" t="s">
        <v>24</v>
      </c>
      <c r="B70" s="435">
        <v>335</v>
      </c>
      <c r="C70" s="435">
        <v>280</v>
      </c>
      <c r="D70" s="435">
        <v>340</v>
      </c>
      <c r="E70" s="435">
        <v>325</v>
      </c>
      <c r="G70" s="442" t="s">
        <v>24</v>
      </c>
      <c r="H70" s="435">
        <v>56819</v>
      </c>
      <c r="I70" s="435">
        <v>56973</v>
      </c>
      <c r="J70" s="435">
        <v>57033</v>
      </c>
      <c r="K70" s="435">
        <v>56601</v>
      </c>
    </row>
    <row r="71" spans="1:11">
      <c r="A71" s="442" t="s">
        <v>25</v>
      </c>
      <c r="B71" s="435">
        <v>490</v>
      </c>
      <c r="C71" s="435">
        <v>415</v>
      </c>
      <c r="D71" s="435">
        <v>450</v>
      </c>
      <c r="E71" s="435">
        <v>450</v>
      </c>
      <c r="G71" s="442" t="s">
        <v>25</v>
      </c>
      <c r="H71" s="435">
        <v>102329</v>
      </c>
      <c r="I71" s="435">
        <v>102019</v>
      </c>
      <c r="J71" s="435">
        <v>102021</v>
      </c>
      <c r="K71" s="435">
        <v>100328</v>
      </c>
    </row>
    <row r="72" spans="1:11">
      <c r="A72" s="442" t="s">
        <v>26</v>
      </c>
      <c r="B72" s="435">
        <v>1495</v>
      </c>
      <c r="C72" s="435">
        <v>950</v>
      </c>
      <c r="D72" s="435">
        <v>1100</v>
      </c>
      <c r="E72" s="435">
        <v>1020</v>
      </c>
      <c r="G72" s="442" t="s">
        <v>26</v>
      </c>
      <c r="H72" s="435">
        <v>231974</v>
      </c>
      <c r="I72" s="435">
        <v>231809</v>
      </c>
      <c r="J72" s="435">
        <v>231635</v>
      </c>
      <c r="K72" s="435">
        <v>229225</v>
      </c>
    </row>
    <row r="73" spans="1:11">
      <c r="A73" s="442" t="s">
        <v>27</v>
      </c>
      <c r="B73" s="435">
        <v>3275</v>
      </c>
      <c r="C73" s="435">
        <v>2585</v>
      </c>
      <c r="D73" s="435">
        <v>2960</v>
      </c>
      <c r="E73" s="435">
        <v>3050</v>
      </c>
      <c r="G73" s="442" t="s">
        <v>27</v>
      </c>
      <c r="H73" s="435">
        <v>447290</v>
      </c>
      <c r="I73" s="435">
        <v>449539</v>
      </c>
      <c r="J73" s="435">
        <v>448645</v>
      </c>
      <c r="K73" s="435">
        <v>439158</v>
      </c>
    </row>
    <row r="74" spans="1:11">
      <c r="A74" s="442" t="s">
        <v>28</v>
      </c>
      <c r="B74" s="435">
        <v>880</v>
      </c>
      <c r="C74" s="435">
        <v>705</v>
      </c>
      <c r="D74" s="435">
        <v>820</v>
      </c>
      <c r="E74" s="435">
        <v>810</v>
      </c>
      <c r="G74" s="442" t="s">
        <v>28</v>
      </c>
      <c r="H74" s="435">
        <v>143706</v>
      </c>
      <c r="I74" s="435">
        <v>142939</v>
      </c>
      <c r="J74" s="435">
        <v>144706</v>
      </c>
      <c r="K74" s="435">
        <v>142307</v>
      </c>
    </row>
    <row r="75" spans="1:11">
      <c r="A75" s="442" t="s">
        <v>29</v>
      </c>
      <c r="B75" s="435">
        <v>210</v>
      </c>
      <c r="C75" s="435">
        <v>175</v>
      </c>
      <c r="D75" s="435">
        <v>160</v>
      </c>
      <c r="E75" s="435">
        <v>195</v>
      </c>
      <c r="G75" s="442" t="s">
        <v>29</v>
      </c>
      <c r="H75" s="435">
        <v>48689</v>
      </c>
      <c r="I75" s="435">
        <v>48152</v>
      </c>
      <c r="J75" s="435">
        <v>47782</v>
      </c>
      <c r="K75" s="435">
        <v>48719</v>
      </c>
    </row>
    <row r="76" spans="1:11">
      <c r="A76" s="442" t="s">
        <v>30</v>
      </c>
      <c r="B76" s="435">
        <v>290</v>
      </c>
      <c r="C76" s="435">
        <v>255</v>
      </c>
      <c r="D76" s="435">
        <v>285</v>
      </c>
      <c r="E76" s="435">
        <v>315</v>
      </c>
      <c r="G76" s="442" t="s">
        <v>30</v>
      </c>
      <c r="H76" s="435">
        <v>57124</v>
      </c>
      <c r="I76" s="435">
        <v>57491</v>
      </c>
      <c r="J76" s="435">
        <v>58532</v>
      </c>
      <c r="K76" s="435">
        <v>60293</v>
      </c>
    </row>
    <row r="77" spans="1:11">
      <c r="A77" s="442" t="s">
        <v>31</v>
      </c>
      <c r="B77" s="435">
        <v>260</v>
      </c>
      <c r="C77" s="435">
        <v>210</v>
      </c>
      <c r="D77" s="435">
        <v>225</v>
      </c>
      <c r="E77" s="435">
        <v>240</v>
      </c>
      <c r="G77" s="442" t="s">
        <v>31</v>
      </c>
      <c r="H77" s="435">
        <v>58959</v>
      </c>
      <c r="I77" s="435">
        <v>58602</v>
      </c>
      <c r="J77" s="435">
        <v>58935</v>
      </c>
      <c r="K77" s="435">
        <v>57099</v>
      </c>
    </row>
    <row r="78" spans="1:11">
      <c r="A78" s="442" t="s">
        <v>32</v>
      </c>
      <c r="B78" s="435">
        <v>75</v>
      </c>
      <c r="C78" s="435">
        <v>65</v>
      </c>
      <c r="D78" s="435">
        <v>50</v>
      </c>
      <c r="E78" s="435">
        <v>70</v>
      </c>
      <c r="G78" s="442" t="s">
        <v>32</v>
      </c>
      <c r="H78" s="435">
        <v>15571</v>
      </c>
      <c r="I78" s="435">
        <v>15392</v>
      </c>
      <c r="J78" s="435">
        <v>15508</v>
      </c>
      <c r="K78" s="435">
        <v>15176</v>
      </c>
    </row>
    <row r="79" spans="1:11">
      <c r="A79" s="442" t="s">
        <v>33</v>
      </c>
      <c r="B79" s="435">
        <v>415</v>
      </c>
      <c r="C79" s="435">
        <v>315</v>
      </c>
      <c r="D79" s="435">
        <v>345</v>
      </c>
      <c r="E79" s="435">
        <v>335</v>
      </c>
      <c r="G79" s="442" t="s">
        <v>33</v>
      </c>
      <c r="H79" s="435">
        <v>81740</v>
      </c>
      <c r="I79" s="435">
        <v>81123</v>
      </c>
      <c r="J79" s="435">
        <v>81035</v>
      </c>
      <c r="K79" s="435">
        <v>80452</v>
      </c>
    </row>
    <row r="80" spans="1:11">
      <c r="A80" s="442" t="s">
        <v>34</v>
      </c>
      <c r="B80" s="435">
        <v>1155</v>
      </c>
      <c r="C80" s="435">
        <v>980</v>
      </c>
      <c r="D80" s="435">
        <v>1170</v>
      </c>
      <c r="E80" s="435">
        <v>1140</v>
      </c>
      <c r="G80" s="442" t="s">
        <v>34</v>
      </c>
      <c r="H80" s="435">
        <v>219435</v>
      </c>
      <c r="I80" s="435">
        <v>219051</v>
      </c>
      <c r="J80" s="435">
        <v>219178</v>
      </c>
      <c r="K80" s="435">
        <v>219482</v>
      </c>
    </row>
    <row r="81" spans="1:11">
      <c r="A81" s="442" t="s">
        <v>35</v>
      </c>
      <c r="B81" s="435">
        <v>50</v>
      </c>
      <c r="C81" s="435">
        <v>45</v>
      </c>
      <c r="D81" s="435">
        <v>50</v>
      </c>
      <c r="E81" s="435">
        <v>60</v>
      </c>
      <c r="G81" s="442" t="s">
        <v>35</v>
      </c>
      <c r="H81" s="435">
        <v>13382</v>
      </c>
      <c r="I81" s="435">
        <v>13386</v>
      </c>
      <c r="J81" s="435">
        <v>13447</v>
      </c>
      <c r="K81" s="435">
        <v>13020</v>
      </c>
    </row>
    <row r="82" spans="1:11">
      <c r="A82" s="442" t="s">
        <v>36</v>
      </c>
      <c r="B82" s="435">
        <v>465</v>
      </c>
      <c r="C82" s="435">
        <v>430</v>
      </c>
      <c r="D82" s="435">
        <v>530</v>
      </c>
      <c r="E82" s="435">
        <v>510</v>
      </c>
      <c r="G82" s="442" t="s">
        <v>36</v>
      </c>
      <c r="H82" s="435">
        <v>91695</v>
      </c>
      <c r="I82" s="435">
        <v>91349</v>
      </c>
      <c r="J82" s="435">
        <v>92594</v>
      </c>
      <c r="K82" s="435">
        <v>89720</v>
      </c>
    </row>
    <row r="83" spans="1:11">
      <c r="A83" s="442" t="s">
        <v>37</v>
      </c>
      <c r="B83" s="435">
        <v>660</v>
      </c>
      <c r="C83" s="435">
        <v>545</v>
      </c>
      <c r="D83" s="435">
        <v>640</v>
      </c>
      <c r="E83" s="435">
        <v>570</v>
      </c>
      <c r="G83" s="442" t="s">
        <v>37</v>
      </c>
      <c r="H83" s="435">
        <v>114946</v>
      </c>
      <c r="I83" s="435">
        <v>115055</v>
      </c>
      <c r="J83" s="435">
        <v>115571</v>
      </c>
      <c r="K83" s="435">
        <v>118453</v>
      </c>
    </row>
    <row r="84" spans="1:11">
      <c r="A84" s="442" t="s">
        <v>38</v>
      </c>
      <c r="B84" s="435">
        <v>335</v>
      </c>
      <c r="C84" s="435">
        <v>315</v>
      </c>
      <c r="D84" s="435">
        <v>375</v>
      </c>
      <c r="E84" s="435">
        <v>365</v>
      </c>
      <c r="G84" s="442" t="s">
        <v>38</v>
      </c>
      <c r="H84" s="435">
        <v>67871</v>
      </c>
      <c r="I84" s="435">
        <v>67332</v>
      </c>
      <c r="J84" s="435">
        <v>67642</v>
      </c>
      <c r="K84" s="435">
        <v>67800</v>
      </c>
    </row>
    <row r="85" spans="1:11">
      <c r="A85" s="442" t="s">
        <v>39</v>
      </c>
      <c r="B85" s="435">
        <v>55</v>
      </c>
      <c r="C85" s="435">
        <v>70</v>
      </c>
      <c r="D85" s="435">
        <v>75</v>
      </c>
      <c r="E85" s="435">
        <v>75</v>
      </c>
      <c r="G85" s="442" t="s">
        <v>39</v>
      </c>
      <c r="H85" s="435">
        <v>14036</v>
      </c>
      <c r="I85" s="435">
        <v>13905</v>
      </c>
      <c r="J85" s="435">
        <v>13912</v>
      </c>
      <c r="K85" s="435">
        <v>13827</v>
      </c>
    </row>
    <row r="86" spans="1:11">
      <c r="A86" s="442" t="s">
        <v>40</v>
      </c>
      <c r="B86" s="435">
        <v>360</v>
      </c>
      <c r="C86" s="435">
        <v>375</v>
      </c>
      <c r="D86" s="435">
        <v>360</v>
      </c>
      <c r="E86" s="435">
        <v>325</v>
      </c>
      <c r="G86" s="442" t="s">
        <v>40</v>
      </c>
      <c r="H86" s="435">
        <v>66258</v>
      </c>
      <c r="I86" s="435">
        <v>65767</v>
      </c>
      <c r="J86" s="435">
        <v>65844</v>
      </c>
      <c r="K86" s="435">
        <v>64930</v>
      </c>
    </row>
    <row r="87" spans="1:11">
      <c r="A87" s="442" t="s">
        <v>41</v>
      </c>
      <c r="B87" s="435">
        <v>1155</v>
      </c>
      <c r="C87" s="435">
        <v>1010</v>
      </c>
      <c r="D87" s="435">
        <v>1170</v>
      </c>
      <c r="E87" s="435">
        <v>1175</v>
      </c>
      <c r="G87" s="442" t="s">
        <v>41</v>
      </c>
      <c r="H87" s="435">
        <v>202175</v>
      </c>
      <c r="I87" s="435">
        <v>201790</v>
      </c>
      <c r="J87" s="435">
        <v>202430</v>
      </c>
      <c r="K87" s="435">
        <v>205490</v>
      </c>
    </row>
    <row r="88" spans="1:11">
      <c r="A88" s="442" t="s">
        <v>42</v>
      </c>
      <c r="B88" s="435">
        <v>375</v>
      </c>
      <c r="C88" s="435">
        <v>340</v>
      </c>
      <c r="D88" s="435">
        <v>345</v>
      </c>
      <c r="E88" s="435">
        <v>350</v>
      </c>
      <c r="G88" s="442" t="s">
        <v>42</v>
      </c>
      <c r="H88" s="435">
        <v>60529</v>
      </c>
      <c r="I88" s="435">
        <v>60411</v>
      </c>
      <c r="J88" s="435">
        <v>59731</v>
      </c>
      <c r="K88" s="435">
        <v>58746</v>
      </c>
    </row>
    <row r="89" spans="1:11">
      <c r="A89" s="442" t="s">
        <v>43</v>
      </c>
      <c r="B89" s="435">
        <v>320</v>
      </c>
      <c r="C89" s="435">
        <v>245</v>
      </c>
      <c r="D89" s="435">
        <v>225</v>
      </c>
      <c r="E89" s="435">
        <v>250</v>
      </c>
      <c r="G89" s="442" t="s">
        <v>43</v>
      </c>
      <c r="H89" s="435">
        <v>56552</v>
      </c>
      <c r="I89" s="435">
        <v>55988</v>
      </c>
      <c r="J89" s="435">
        <v>55414</v>
      </c>
      <c r="K89" s="435">
        <v>55508</v>
      </c>
    </row>
    <row r="90" spans="1:11">
      <c r="A90" s="442" t="s">
        <v>44</v>
      </c>
      <c r="B90" s="435">
        <v>620</v>
      </c>
      <c r="C90" s="435">
        <v>570</v>
      </c>
      <c r="D90" s="435">
        <v>675</v>
      </c>
      <c r="E90" s="435">
        <v>620</v>
      </c>
      <c r="G90" s="442" t="s">
        <v>44</v>
      </c>
      <c r="H90" s="435">
        <v>117121</v>
      </c>
      <c r="I90" s="435">
        <v>117675</v>
      </c>
      <c r="J90" s="435">
        <v>118894</v>
      </c>
      <c r="K90" s="435">
        <v>116171</v>
      </c>
    </row>
    <row r="91" spans="1:11">
      <c r="A91" s="442" t="s">
        <v>45</v>
      </c>
      <c r="B91" s="435">
        <v>20680</v>
      </c>
      <c r="C91" s="435">
        <v>16850</v>
      </c>
      <c r="D91" s="435">
        <v>18910</v>
      </c>
      <c r="E91" s="435">
        <v>18870</v>
      </c>
      <c r="G91" s="442" t="s">
        <v>45</v>
      </c>
      <c r="H91" s="435">
        <v>3497758</v>
      </c>
      <c r="I91" s="435">
        <v>3493137</v>
      </c>
      <c r="J91" s="435">
        <v>3494517</v>
      </c>
      <c r="K91" s="435">
        <v>3458413</v>
      </c>
    </row>
    <row r="92" spans="1:11">
      <c r="A92" s="442" t="s">
        <v>46</v>
      </c>
      <c r="B92" s="435">
        <v>363825</v>
      </c>
      <c r="C92" s="435">
        <v>333020</v>
      </c>
      <c r="D92" s="435">
        <v>363995</v>
      </c>
      <c r="E92" s="435">
        <v>336925</v>
      </c>
      <c r="G92" s="442" t="s">
        <v>46</v>
      </c>
      <c r="H92" s="435">
        <v>41724010</v>
      </c>
      <c r="I92" s="435">
        <v>41845027</v>
      </c>
      <c r="J92" s="435">
        <v>42174676</v>
      </c>
      <c r="K92" s="435">
        <v>42174676</v>
      </c>
    </row>
    <row r="93" spans="1:11">
      <c r="A93" s="442" t="s">
        <v>47</v>
      </c>
      <c r="B93" s="435">
        <f>SUM(B89+B87+B83+B80+B75+B73+B70+B68)</f>
        <v>7435</v>
      </c>
      <c r="C93" s="435">
        <f t="shared" ref="C93:E93" si="35">SUM(C89+C87+C83+C80+C75+C73+C70+C68)</f>
        <v>6125</v>
      </c>
      <c r="D93" s="435">
        <f t="shared" si="35"/>
        <v>6985</v>
      </c>
      <c r="E93" s="435">
        <f t="shared" si="35"/>
        <v>7050</v>
      </c>
      <c r="G93" s="442" t="s">
        <v>47</v>
      </c>
      <c r="H93" s="435">
        <f t="shared" ref="H93:J93" si="36">SUM(H89,H87,H83,H80,H75,H73,H70,H68)</f>
        <v>1210672</v>
      </c>
      <c r="I93" s="435">
        <f t="shared" si="36"/>
        <v>1211065</v>
      </c>
      <c r="J93" s="435">
        <f t="shared" si="36"/>
        <v>1210360</v>
      </c>
      <c r="K93" s="435">
        <v>1206696</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autoPageBreaks="0"/>
  </sheetPr>
  <dimension ref="A1:R93"/>
  <sheetViews>
    <sheetView topLeftCell="A50" zoomScale="90" zoomScaleNormal="90" workbookViewId="0">
      <selection activeCell="O9" sqref="O9"/>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440" t="s">
        <v>717</v>
      </c>
      <c r="B1" s="1"/>
      <c r="C1" s="1"/>
    </row>
    <row r="2" spans="1:16">
      <c r="A2" s="441"/>
      <c r="B2" s="2"/>
      <c r="C2" s="2"/>
    </row>
    <row r="4" spans="1:16">
      <c r="A4" s="6"/>
      <c r="B4" s="6"/>
      <c r="C4" s="6"/>
      <c r="E4" s="6"/>
      <c r="F4" s="6"/>
      <c r="G4" s="6"/>
    </row>
    <row r="5" spans="1:16">
      <c r="A5" s="6"/>
      <c r="B5" s="6"/>
      <c r="C5" s="6"/>
      <c r="E5" s="6"/>
      <c r="F5" s="6"/>
      <c r="G5" s="6"/>
    </row>
    <row r="6" spans="1:16">
      <c r="A6" s="6"/>
      <c r="B6" s="6"/>
      <c r="C6" s="6"/>
      <c r="E6" s="6"/>
      <c r="F6" s="6"/>
      <c r="G6" s="6"/>
    </row>
    <row r="8" spans="1:16" ht="22" customHeight="1">
      <c r="A8" s="12" t="s">
        <v>5</v>
      </c>
      <c r="B8" s="12"/>
      <c r="C8" s="12" t="s">
        <v>217</v>
      </c>
      <c r="D8" s="65">
        <v>2020</v>
      </c>
      <c r="E8" s="65"/>
      <c r="F8" s="65"/>
      <c r="G8" s="12" t="s">
        <v>217</v>
      </c>
      <c r="H8" s="65">
        <v>2021</v>
      </c>
      <c r="I8" s="65"/>
      <c r="J8" s="65"/>
      <c r="K8" s="12" t="s">
        <v>217</v>
      </c>
      <c r="L8" s="65">
        <v>2022</v>
      </c>
      <c r="M8" s="65"/>
      <c r="N8" s="65"/>
      <c r="O8" s="12" t="s">
        <v>217</v>
      </c>
      <c r="P8" s="65">
        <v>2022</v>
      </c>
    </row>
    <row r="9" spans="1:16">
      <c r="A9" s="6" t="s">
        <v>14</v>
      </c>
      <c r="B9" s="411">
        <f>INDEX($B$59:$E$93,MATCH($A9,$A$59:$A$93,0),MATCH(D$8,$B$58:$E$58,0))</f>
        <v>1030</v>
      </c>
      <c r="C9" s="411">
        <f>SUM(INDEX($H$59:$K$93,MATCH($A9,$G$59:$G$93,0),MATCH(D$8,$H$58:$K$58,0)))/10000</f>
        <v>15.666</v>
      </c>
      <c r="D9" s="388">
        <f>SUM(B9/C9)</f>
        <v>65.747478616111323</v>
      </c>
      <c r="E9" s="9"/>
      <c r="F9" s="411">
        <f>INDEX($B$59:$E$93,MATCH($A9,$A$59:$A$93,0),MATCH(H$8,$B$58:$E$58,0))</f>
        <v>1200</v>
      </c>
      <c r="G9" s="411">
        <f>SUM(INDEX($H$59:$K$93,MATCH($A9,$G$59:$G$93,0),MATCH(H$8,$H$58:$K$58,0)))/10000</f>
        <v>15.4229</v>
      </c>
      <c r="H9" s="388">
        <f>SUM(F9/G9)</f>
        <v>77.806378826290768</v>
      </c>
      <c r="I9" s="9"/>
      <c r="J9" s="411">
        <f>INDEX($B$59:$E$93,MATCH($A9,$A$59:$A$93,0),MATCH(L$8,$B$58:$E$58,0))</f>
        <v>1205</v>
      </c>
      <c r="K9" s="411">
        <f>SUM(INDEX($H$59:$K$93,MATCH($A9,$G$59:$G$93,0),MATCH(L$8,$H$58:$K$58,0)))/10000</f>
        <v>15.0298</v>
      </c>
      <c r="L9" s="388">
        <f>SUM(J9/K9)</f>
        <v>80.17405421229823</v>
      </c>
      <c r="M9" s="9"/>
      <c r="N9" s="411">
        <f>INDEX($B$59:$E$93,MATCH($A9,$A$59:$A$93,0),MATCH(P$8,$B$58:$E$58,0))</f>
        <v>1205</v>
      </c>
      <c r="O9" s="411">
        <f>SUM(INDEX($H$59:$K$93,MATCH($A9,$G$59:$G$93,0),MATCH(2022,$H$58:$K$58,0)))/10000</f>
        <v>15.0298</v>
      </c>
      <c r="P9" s="388">
        <f>SUM(N9/O9)</f>
        <v>80.17405421229823</v>
      </c>
    </row>
    <row r="10" spans="1:16">
      <c r="A10" s="6" t="s">
        <v>15</v>
      </c>
      <c r="B10" s="411">
        <f t="shared" ref="B10:B40" si="0">INDEX($B$59:$E$93,MATCH($A10,$A$59:$A$93,0),MATCH(D$8,$B$58:$E$58,0))</f>
        <v>1135</v>
      </c>
      <c r="C10" s="411">
        <f t="shared" ref="C10:C43" si="1">SUM(INDEX($H$59:$K$93,MATCH($A10,$G$59:$G$93,0),MATCH(D$8,$H$58:$K$58,0)))/10000</f>
        <v>16</v>
      </c>
      <c r="D10" s="388">
        <f t="shared" ref="D10:D40" si="2">SUM(B10/C10)</f>
        <v>70.9375</v>
      </c>
      <c r="E10" s="9"/>
      <c r="F10" s="411">
        <f t="shared" ref="F10:F40" si="3">INDEX($B$59:$E$93,MATCH($A10,$A$59:$A$93,0),MATCH(H$8,$B$58:$E$58,0))</f>
        <v>1240</v>
      </c>
      <c r="G10" s="411">
        <f t="shared" ref="G10:G43" si="4">SUM(INDEX($H$59:$K$93,MATCH($A10,$G$59:$G$93,0),MATCH(H$8,$H$58:$K$58,0)))/10000</f>
        <v>16.049499999999998</v>
      </c>
      <c r="H10" s="388">
        <f t="shared" ref="H10:H40" si="5">SUM(F10/G10)</f>
        <v>77.260973862114099</v>
      </c>
      <c r="I10" s="9"/>
      <c r="J10" s="411">
        <f t="shared" ref="J10:J40" si="6">INDEX($B$59:$E$93,MATCH($A10,$A$59:$A$93,0),MATCH(L$8,$B$58:$E$58,0))</f>
        <v>1265</v>
      </c>
      <c r="K10" s="411">
        <f t="shared" ref="K10:K43" si="7">SUM(INDEX($H$59:$K$93,MATCH($A10,$G$59:$G$93,0),MATCH(L$8,$H$58:$K$58,0)))/10000</f>
        <v>15.926299999999999</v>
      </c>
      <c r="L10" s="388">
        <f t="shared" ref="L10:L40" si="8">SUM(J10/K10)</f>
        <v>79.4283669151027</v>
      </c>
      <c r="M10" s="9"/>
      <c r="N10" s="411">
        <f t="shared" ref="N10:N40" si="9">INDEX($B$59:$E$93,MATCH($A10,$A$59:$A$93,0),MATCH(P$8,$B$58:$E$58,0))</f>
        <v>1265</v>
      </c>
      <c r="O10" s="411">
        <f t="shared" ref="O10:O40" si="10">SUM(INDEX($H$59:$K$93,MATCH($A10,$G$59:$G$93,0),MATCH(2022,$H$58:$K$58,0)))/10000</f>
        <v>15.926299999999999</v>
      </c>
      <c r="P10" s="388">
        <f t="shared" ref="P10:P40" si="11">SUM(N10/O10)</f>
        <v>79.4283669151027</v>
      </c>
    </row>
    <row r="11" spans="1:16">
      <c r="A11" s="6" t="s">
        <v>16</v>
      </c>
      <c r="B11" s="411">
        <f t="shared" si="0"/>
        <v>330</v>
      </c>
      <c r="C11" s="411">
        <f t="shared" si="1"/>
        <v>6.8871000000000002</v>
      </c>
      <c r="D11" s="388">
        <f t="shared" si="2"/>
        <v>47.915668423574509</v>
      </c>
      <c r="E11" s="9"/>
      <c r="F11" s="411">
        <f t="shared" si="3"/>
        <v>330</v>
      </c>
      <c r="G11" s="411">
        <f t="shared" si="4"/>
        <v>6.9016999999999999</v>
      </c>
      <c r="H11" s="388">
        <f t="shared" si="5"/>
        <v>47.814306620108091</v>
      </c>
      <c r="I11" s="9"/>
      <c r="J11" s="411">
        <f t="shared" si="6"/>
        <v>400</v>
      </c>
      <c r="K11" s="411">
        <f>SUM(INDEX($H$59:$K$93,MATCH($A11,$G$59:$G$93,0),MATCH(L$8,$H$58:$K$58,0)))/10000</f>
        <v>6.7592999999999996</v>
      </c>
      <c r="L11" s="388">
        <f t="shared" si="8"/>
        <v>59.177725504120254</v>
      </c>
      <c r="M11" s="9"/>
      <c r="N11" s="411">
        <f t="shared" si="9"/>
        <v>400</v>
      </c>
      <c r="O11" s="411">
        <f t="shared" si="10"/>
        <v>6.7592999999999996</v>
      </c>
      <c r="P11" s="388">
        <f t="shared" si="11"/>
        <v>59.177725504120254</v>
      </c>
    </row>
    <row r="12" spans="1:16">
      <c r="A12" s="6" t="s">
        <v>17</v>
      </c>
      <c r="B12" s="411">
        <f t="shared" si="0"/>
        <v>210</v>
      </c>
      <c r="C12" s="411">
        <f t="shared" si="1"/>
        <v>5.0510999999999999</v>
      </c>
      <c r="D12" s="388">
        <f t="shared" si="2"/>
        <v>41.575102452931048</v>
      </c>
      <c r="E12" s="9"/>
      <c r="F12" s="411">
        <f t="shared" si="3"/>
        <v>240</v>
      </c>
      <c r="G12" s="411">
        <f t="shared" si="4"/>
        <v>5.1002000000000001</v>
      </c>
      <c r="H12" s="388">
        <f t="shared" si="5"/>
        <v>47.056978157719307</v>
      </c>
      <c r="I12" s="9"/>
      <c r="J12" s="411">
        <f t="shared" si="6"/>
        <v>280</v>
      </c>
      <c r="K12" s="411">
        <f t="shared" si="7"/>
        <v>5.1867999999999999</v>
      </c>
      <c r="L12" s="388">
        <f t="shared" si="8"/>
        <v>53.983188092851087</v>
      </c>
      <c r="M12" s="9"/>
      <c r="N12" s="411">
        <f t="shared" si="9"/>
        <v>280</v>
      </c>
      <c r="O12" s="411">
        <f t="shared" si="10"/>
        <v>5.1867999999999999</v>
      </c>
      <c r="P12" s="388">
        <f t="shared" si="11"/>
        <v>53.983188092851087</v>
      </c>
    </row>
    <row r="13" spans="1:16">
      <c r="A13" s="6" t="s">
        <v>189</v>
      </c>
      <c r="B13" s="411">
        <f t="shared" si="0"/>
        <v>2520</v>
      </c>
      <c r="C13" s="411">
        <f t="shared" si="1"/>
        <v>36.8491</v>
      </c>
      <c r="D13" s="388">
        <f t="shared" si="2"/>
        <v>68.387016236488819</v>
      </c>
      <c r="E13" s="9"/>
      <c r="F13" s="411">
        <f t="shared" si="3"/>
        <v>2480</v>
      </c>
      <c r="G13" s="411">
        <f t="shared" si="4"/>
        <v>36.636699999999998</v>
      </c>
      <c r="H13" s="388">
        <f t="shared" si="5"/>
        <v>67.691686205362387</v>
      </c>
      <c r="I13" s="9"/>
      <c r="J13" s="411">
        <f t="shared" si="6"/>
        <v>2250</v>
      </c>
      <c r="K13" s="411">
        <f>SUM(INDEX($H$59:$K$93,MATCH($A13,$G$59:$G$93,0),MATCH(L$8,$H$58:$K$58,0)))/10000</f>
        <v>35.714100000000002</v>
      </c>
      <c r="L13" s="388">
        <f t="shared" si="8"/>
        <v>63.000327601703525</v>
      </c>
      <c r="M13" s="9"/>
      <c r="N13" s="411">
        <f t="shared" si="9"/>
        <v>2250</v>
      </c>
      <c r="O13" s="411">
        <f t="shared" si="10"/>
        <v>35.714100000000002</v>
      </c>
      <c r="P13" s="388">
        <f t="shared" si="11"/>
        <v>63.000327601703525</v>
      </c>
    </row>
    <row r="14" spans="1:16">
      <c r="A14" s="6" t="s">
        <v>18</v>
      </c>
      <c r="B14" s="411">
        <f t="shared" si="0"/>
        <v>125</v>
      </c>
      <c r="C14" s="411">
        <f t="shared" si="1"/>
        <v>3.1817000000000002</v>
      </c>
      <c r="D14" s="388">
        <f t="shared" si="2"/>
        <v>39.287173523588017</v>
      </c>
      <c r="E14" s="9"/>
      <c r="F14" s="411">
        <f t="shared" si="3"/>
        <v>130</v>
      </c>
      <c r="G14" s="411">
        <f t="shared" si="4"/>
        <v>3.1945000000000001</v>
      </c>
      <c r="H14" s="388">
        <f t="shared" si="5"/>
        <v>40.694944435748944</v>
      </c>
      <c r="I14" s="9"/>
      <c r="J14" s="411">
        <f t="shared" si="6"/>
        <v>135</v>
      </c>
      <c r="K14" s="411">
        <f t="shared" si="7"/>
        <v>3.2189000000000001</v>
      </c>
      <c r="L14" s="388">
        <f t="shared" si="8"/>
        <v>41.939793097020718</v>
      </c>
      <c r="M14" s="9"/>
      <c r="N14" s="411">
        <f t="shared" si="9"/>
        <v>135</v>
      </c>
      <c r="O14" s="411">
        <f t="shared" si="10"/>
        <v>3.2189000000000001</v>
      </c>
      <c r="P14" s="388">
        <f t="shared" si="11"/>
        <v>41.939793097020718</v>
      </c>
    </row>
    <row r="15" spans="1:16">
      <c r="A15" s="6" t="s">
        <v>19</v>
      </c>
      <c r="B15" s="411">
        <f t="shared" si="0"/>
        <v>335</v>
      </c>
      <c r="C15" s="411">
        <f t="shared" si="1"/>
        <v>8.6181999999999999</v>
      </c>
      <c r="D15" s="388">
        <f t="shared" si="2"/>
        <v>38.871226010071709</v>
      </c>
      <c r="E15" s="9"/>
      <c r="F15" s="411">
        <f t="shared" si="3"/>
        <v>325</v>
      </c>
      <c r="G15" s="411">
        <f t="shared" si="4"/>
        <v>8.6346000000000007</v>
      </c>
      <c r="H15" s="388">
        <f t="shared" si="5"/>
        <v>37.639265281541704</v>
      </c>
      <c r="I15" s="9"/>
      <c r="J15" s="411">
        <f t="shared" si="6"/>
        <v>365</v>
      </c>
      <c r="K15" s="411">
        <f t="shared" si="7"/>
        <v>8.3895999999999997</v>
      </c>
      <c r="L15" s="388">
        <f t="shared" si="8"/>
        <v>43.506245828168211</v>
      </c>
      <c r="M15" s="9"/>
      <c r="N15" s="411">
        <f t="shared" si="9"/>
        <v>365</v>
      </c>
      <c r="O15" s="411">
        <f t="shared" si="10"/>
        <v>8.3895999999999997</v>
      </c>
      <c r="P15" s="388">
        <f t="shared" si="11"/>
        <v>43.506245828168211</v>
      </c>
    </row>
    <row r="16" spans="1:16">
      <c r="A16" s="6" t="s">
        <v>20</v>
      </c>
      <c r="B16" s="411">
        <f t="shared" si="0"/>
        <v>365</v>
      </c>
      <c r="C16" s="411">
        <f t="shared" si="1"/>
        <v>9.8821999999999992</v>
      </c>
      <c r="D16" s="388">
        <f t="shared" si="2"/>
        <v>36.935095424095849</v>
      </c>
      <c r="E16" s="9"/>
      <c r="F16" s="411">
        <f t="shared" si="3"/>
        <v>385</v>
      </c>
      <c r="G16" s="411">
        <f t="shared" si="4"/>
        <v>9.7773000000000003</v>
      </c>
      <c r="H16" s="388">
        <f t="shared" si="5"/>
        <v>39.376924099700325</v>
      </c>
      <c r="I16" s="9"/>
      <c r="J16" s="411">
        <f t="shared" si="6"/>
        <v>490</v>
      </c>
      <c r="K16" s="411">
        <f t="shared" si="7"/>
        <v>9.7904999999999998</v>
      </c>
      <c r="L16" s="388">
        <f t="shared" si="8"/>
        <v>50.048516418977584</v>
      </c>
      <c r="M16" s="9"/>
      <c r="N16" s="411">
        <f t="shared" si="9"/>
        <v>490</v>
      </c>
      <c r="O16" s="411">
        <f t="shared" si="10"/>
        <v>9.7904999999999998</v>
      </c>
      <c r="P16" s="388">
        <f t="shared" si="11"/>
        <v>50.048516418977584</v>
      </c>
    </row>
    <row r="17" spans="1:18">
      <c r="A17" s="6" t="s">
        <v>21</v>
      </c>
      <c r="B17" s="411">
        <f t="shared" si="0"/>
        <v>355</v>
      </c>
      <c r="C17" s="411">
        <f t="shared" si="1"/>
        <v>7.5510999999999999</v>
      </c>
      <c r="D17" s="388">
        <f t="shared" si="2"/>
        <v>47.01301797089166</v>
      </c>
      <c r="E17" s="9"/>
      <c r="F17" s="411">
        <f t="shared" si="3"/>
        <v>360</v>
      </c>
      <c r="G17" s="411">
        <f t="shared" si="4"/>
        <v>7.5654000000000003</v>
      </c>
      <c r="H17" s="388">
        <f t="shared" si="5"/>
        <v>47.585058291696406</v>
      </c>
      <c r="I17" s="9"/>
      <c r="J17" s="411">
        <f t="shared" si="6"/>
        <v>360</v>
      </c>
      <c r="K17" s="411">
        <f t="shared" si="7"/>
        <v>7.4067999999999996</v>
      </c>
      <c r="L17" s="388">
        <f t="shared" si="8"/>
        <v>48.603985526813204</v>
      </c>
      <c r="M17" s="9"/>
      <c r="N17" s="411">
        <f t="shared" si="9"/>
        <v>360</v>
      </c>
      <c r="O17" s="411">
        <f t="shared" si="10"/>
        <v>7.4067999999999996</v>
      </c>
      <c r="P17" s="388">
        <f t="shared" si="11"/>
        <v>48.603985526813204</v>
      </c>
    </row>
    <row r="18" spans="1:18">
      <c r="A18" s="6" t="s">
        <v>22</v>
      </c>
      <c r="B18" s="411">
        <f t="shared" si="0"/>
        <v>365</v>
      </c>
      <c r="C18" s="411">
        <f t="shared" si="1"/>
        <v>6.4516999999999998</v>
      </c>
      <c r="D18" s="388">
        <f t="shared" si="2"/>
        <v>56.57423624781066</v>
      </c>
      <c r="E18" s="9"/>
      <c r="F18" s="411">
        <f t="shared" si="3"/>
        <v>365</v>
      </c>
      <c r="G18" s="411">
        <f t="shared" si="4"/>
        <v>6.4306999999999999</v>
      </c>
      <c r="H18" s="388">
        <f t="shared" si="5"/>
        <v>56.758984247438072</v>
      </c>
      <c r="I18" s="9"/>
      <c r="J18" s="411">
        <f t="shared" si="6"/>
        <v>380</v>
      </c>
      <c r="K18" s="411">
        <f t="shared" si="7"/>
        <v>6.3285</v>
      </c>
      <c r="L18" s="388">
        <f t="shared" si="8"/>
        <v>60.04582444497116</v>
      </c>
      <c r="M18" s="9"/>
      <c r="N18" s="411">
        <f t="shared" si="9"/>
        <v>380</v>
      </c>
      <c r="O18" s="411">
        <f t="shared" si="10"/>
        <v>6.3285</v>
      </c>
      <c r="P18" s="388">
        <f t="shared" si="11"/>
        <v>60.04582444497116</v>
      </c>
    </row>
    <row r="19" spans="1:18">
      <c r="A19" s="6" t="s">
        <v>23</v>
      </c>
      <c r="B19" s="411">
        <f t="shared" si="0"/>
        <v>335</v>
      </c>
      <c r="C19" s="411">
        <f t="shared" si="1"/>
        <v>6.6006999999999998</v>
      </c>
      <c r="D19" s="388">
        <f t="shared" si="2"/>
        <v>50.752192949232658</v>
      </c>
      <c r="E19" s="9"/>
      <c r="F19" s="411">
        <f t="shared" si="3"/>
        <v>325</v>
      </c>
      <c r="G19" s="411">
        <f t="shared" si="4"/>
        <v>6.6893000000000002</v>
      </c>
      <c r="H19" s="388">
        <f t="shared" si="5"/>
        <v>48.585053742544062</v>
      </c>
      <c r="I19" s="9"/>
      <c r="J19" s="411">
        <f t="shared" si="6"/>
        <v>360</v>
      </c>
      <c r="K19" s="411">
        <f t="shared" si="7"/>
        <v>6.8402000000000003</v>
      </c>
      <c r="L19" s="388">
        <f t="shared" si="8"/>
        <v>52.630040057308264</v>
      </c>
      <c r="M19" s="9"/>
      <c r="N19" s="411">
        <f t="shared" si="9"/>
        <v>360</v>
      </c>
      <c r="O19" s="411">
        <f t="shared" si="10"/>
        <v>6.8402000000000003</v>
      </c>
      <c r="P19" s="388">
        <f t="shared" si="11"/>
        <v>52.630040057308264</v>
      </c>
    </row>
    <row r="20" spans="1:18">
      <c r="A20" s="6" t="s">
        <v>24</v>
      </c>
      <c r="B20" s="411">
        <f t="shared" si="0"/>
        <v>290</v>
      </c>
      <c r="C20" s="411">
        <f t="shared" si="1"/>
        <v>5.6973000000000003</v>
      </c>
      <c r="D20" s="388">
        <f t="shared" si="2"/>
        <v>50.901304126516067</v>
      </c>
      <c r="E20" s="9"/>
      <c r="F20" s="411">
        <f t="shared" si="3"/>
        <v>370</v>
      </c>
      <c r="G20" s="411">
        <f t="shared" si="4"/>
        <v>5.7032999999999996</v>
      </c>
      <c r="H20" s="388">
        <f t="shared" si="5"/>
        <v>64.874721652376692</v>
      </c>
      <c r="I20" s="9"/>
      <c r="J20" s="411">
        <f t="shared" si="6"/>
        <v>355</v>
      </c>
      <c r="K20" s="411">
        <f t="shared" si="7"/>
        <v>5.6600999999999999</v>
      </c>
      <c r="L20" s="388">
        <f t="shared" si="8"/>
        <v>62.719739933923428</v>
      </c>
      <c r="M20" s="9"/>
      <c r="N20" s="411">
        <f t="shared" si="9"/>
        <v>355</v>
      </c>
      <c r="O20" s="411">
        <f t="shared" si="10"/>
        <v>5.6600999999999999</v>
      </c>
      <c r="P20" s="388">
        <f t="shared" si="11"/>
        <v>62.719739933923428</v>
      </c>
    </row>
    <row r="21" spans="1:18">
      <c r="A21" s="6" t="s">
        <v>25</v>
      </c>
      <c r="B21" s="411">
        <f t="shared" si="0"/>
        <v>480</v>
      </c>
      <c r="C21" s="411">
        <f t="shared" si="1"/>
        <v>10.2019</v>
      </c>
      <c r="D21" s="388">
        <f t="shared" si="2"/>
        <v>47.05005930267891</v>
      </c>
      <c r="E21" s="9"/>
      <c r="F21" s="411">
        <f t="shared" si="3"/>
        <v>540</v>
      </c>
      <c r="G21" s="411">
        <f t="shared" si="4"/>
        <v>10.2021</v>
      </c>
      <c r="H21" s="388">
        <f t="shared" si="5"/>
        <v>52.930279060193492</v>
      </c>
      <c r="I21" s="9"/>
      <c r="J21" s="411">
        <f t="shared" si="6"/>
        <v>445</v>
      </c>
      <c r="K21" s="411">
        <f t="shared" si="7"/>
        <v>10.0328</v>
      </c>
      <c r="L21" s="388">
        <f t="shared" si="8"/>
        <v>44.354517183637668</v>
      </c>
      <c r="M21" s="9"/>
      <c r="N21" s="411">
        <f t="shared" si="9"/>
        <v>445</v>
      </c>
      <c r="O21" s="411">
        <f t="shared" si="10"/>
        <v>10.0328</v>
      </c>
      <c r="P21" s="388">
        <f t="shared" si="11"/>
        <v>44.354517183637668</v>
      </c>
    </row>
    <row r="22" spans="1:18">
      <c r="A22" s="6" t="s">
        <v>26</v>
      </c>
      <c r="B22" s="411">
        <f t="shared" si="0"/>
        <v>1150</v>
      </c>
      <c r="C22" s="411">
        <f t="shared" si="1"/>
        <v>23.180900000000001</v>
      </c>
      <c r="D22" s="388">
        <f t="shared" si="2"/>
        <v>49.609808074751193</v>
      </c>
      <c r="E22" s="9"/>
      <c r="F22" s="411">
        <f t="shared" si="3"/>
        <v>1525</v>
      </c>
      <c r="G22" s="411">
        <f t="shared" si="4"/>
        <v>23.163499999999999</v>
      </c>
      <c r="H22" s="388">
        <f t="shared" si="5"/>
        <v>65.836337341075406</v>
      </c>
      <c r="I22" s="9"/>
      <c r="J22" s="411">
        <f t="shared" si="6"/>
        <v>1135</v>
      </c>
      <c r="K22" s="411">
        <f t="shared" si="7"/>
        <v>22.922499999999999</v>
      </c>
      <c r="L22" s="388">
        <f t="shared" si="8"/>
        <v>49.514668993347151</v>
      </c>
      <c r="M22" s="9"/>
      <c r="N22" s="411">
        <f t="shared" si="9"/>
        <v>1135</v>
      </c>
      <c r="O22" s="411">
        <f t="shared" si="10"/>
        <v>22.922499999999999</v>
      </c>
      <c r="P22" s="388">
        <f t="shared" si="11"/>
        <v>49.514668993347151</v>
      </c>
    </row>
    <row r="23" spans="1:18">
      <c r="A23" s="6" t="s">
        <v>27</v>
      </c>
      <c r="B23" s="411">
        <f t="shared" si="0"/>
        <v>2355</v>
      </c>
      <c r="C23" s="411">
        <f t="shared" si="1"/>
        <v>44.953899999999997</v>
      </c>
      <c r="D23" s="388">
        <f t="shared" si="2"/>
        <v>52.387000905371949</v>
      </c>
      <c r="E23" s="9"/>
      <c r="F23" s="411">
        <f t="shared" si="3"/>
        <v>2520</v>
      </c>
      <c r="G23" s="411">
        <f t="shared" si="4"/>
        <v>44.8645</v>
      </c>
      <c r="H23" s="388">
        <f t="shared" si="5"/>
        <v>56.169131495948911</v>
      </c>
      <c r="I23" s="9"/>
      <c r="J23" s="411">
        <f t="shared" si="6"/>
        <v>2700</v>
      </c>
      <c r="K23" s="411">
        <f t="shared" si="7"/>
        <v>43.915799999999997</v>
      </c>
      <c r="L23" s="388">
        <f t="shared" si="8"/>
        <v>61.481289194321867</v>
      </c>
      <c r="M23" s="9"/>
      <c r="N23" s="411">
        <f t="shared" si="9"/>
        <v>2700</v>
      </c>
      <c r="O23" s="411">
        <f t="shared" si="10"/>
        <v>43.915799999999997</v>
      </c>
      <c r="P23" s="388">
        <f t="shared" si="11"/>
        <v>61.481289194321867</v>
      </c>
      <c r="R23" s="428"/>
    </row>
    <row r="24" spans="1:18">
      <c r="A24" s="6" t="s">
        <v>28</v>
      </c>
      <c r="B24" s="411">
        <f t="shared" si="0"/>
        <v>745</v>
      </c>
      <c r="C24" s="411">
        <f t="shared" si="1"/>
        <v>14.293900000000001</v>
      </c>
      <c r="D24" s="388">
        <f t="shared" si="2"/>
        <v>52.120135162551854</v>
      </c>
      <c r="E24" s="9"/>
      <c r="F24" s="411">
        <f t="shared" si="3"/>
        <v>800</v>
      </c>
      <c r="G24" s="411">
        <f t="shared" si="4"/>
        <v>14.470599999999999</v>
      </c>
      <c r="H24" s="388">
        <f t="shared" si="5"/>
        <v>55.284507898774066</v>
      </c>
      <c r="I24" s="9"/>
      <c r="J24" s="411">
        <f t="shared" si="6"/>
        <v>895</v>
      </c>
      <c r="K24" s="411">
        <f t="shared" si="7"/>
        <v>14.230700000000001</v>
      </c>
      <c r="L24" s="388">
        <f t="shared" si="8"/>
        <v>62.892197853935507</v>
      </c>
      <c r="M24" s="9"/>
      <c r="N24" s="411">
        <f t="shared" si="9"/>
        <v>895</v>
      </c>
      <c r="O24" s="411">
        <f t="shared" si="10"/>
        <v>14.230700000000001</v>
      </c>
      <c r="P24" s="388">
        <f t="shared" si="11"/>
        <v>62.892197853935507</v>
      </c>
    </row>
    <row r="25" spans="1:18">
      <c r="A25" s="6" t="s">
        <v>29</v>
      </c>
      <c r="B25" s="411">
        <f t="shared" si="0"/>
        <v>205</v>
      </c>
      <c r="C25" s="411">
        <f t="shared" si="1"/>
        <v>4.8151999999999999</v>
      </c>
      <c r="D25" s="388">
        <f t="shared" si="2"/>
        <v>42.573517195547431</v>
      </c>
      <c r="E25" s="9"/>
      <c r="F25" s="411">
        <f t="shared" si="3"/>
        <v>185</v>
      </c>
      <c r="G25" s="411">
        <f t="shared" si="4"/>
        <v>4.7782</v>
      </c>
      <c r="H25" s="388">
        <f t="shared" si="5"/>
        <v>38.717508685278972</v>
      </c>
      <c r="I25" s="9"/>
      <c r="J25" s="411">
        <f t="shared" si="6"/>
        <v>210</v>
      </c>
      <c r="K25" s="411">
        <f t="shared" si="7"/>
        <v>4.8719000000000001</v>
      </c>
      <c r="L25" s="388">
        <f t="shared" si="8"/>
        <v>43.104333011761327</v>
      </c>
      <c r="M25" s="9"/>
      <c r="N25" s="411">
        <f t="shared" si="9"/>
        <v>210</v>
      </c>
      <c r="O25" s="411">
        <f t="shared" si="10"/>
        <v>4.8719000000000001</v>
      </c>
      <c r="P25" s="388">
        <f t="shared" si="11"/>
        <v>43.104333011761327</v>
      </c>
    </row>
    <row r="26" spans="1:18">
      <c r="A26" s="6" t="s">
        <v>30</v>
      </c>
      <c r="B26" s="411">
        <f t="shared" si="0"/>
        <v>280</v>
      </c>
      <c r="C26" s="411">
        <f t="shared" si="1"/>
        <v>5.7491000000000003</v>
      </c>
      <c r="D26" s="388">
        <f t="shared" si="2"/>
        <v>48.703275295263602</v>
      </c>
      <c r="E26" s="9"/>
      <c r="F26" s="411">
        <f t="shared" si="3"/>
        <v>280</v>
      </c>
      <c r="G26" s="411">
        <f t="shared" si="4"/>
        <v>5.8532000000000002</v>
      </c>
      <c r="H26" s="388">
        <f t="shared" si="5"/>
        <v>47.837080571311418</v>
      </c>
      <c r="I26" s="9"/>
      <c r="J26" s="411">
        <f t="shared" si="6"/>
        <v>295</v>
      </c>
      <c r="K26" s="411">
        <f t="shared" si="7"/>
        <v>6.0293000000000001</v>
      </c>
      <c r="L26" s="388">
        <f t="shared" si="8"/>
        <v>48.927736221451909</v>
      </c>
      <c r="M26" s="9"/>
      <c r="N26" s="411">
        <f t="shared" si="9"/>
        <v>295</v>
      </c>
      <c r="O26" s="411">
        <f t="shared" si="10"/>
        <v>6.0293000000000001</v>
      </c>
      <c r="P26" s="388">
        <f t="shared" si="11"/>
        <v>48.927736221451909</v>
      </c>
    </row>
    <row r="27" spans="1:18">
      <c r="A27" s="6" t="s">
        <v>31</v>
      </c>
      <c r="B27" s="411">
        <f t="shared" si="0"/>
        <v>255</v>
      </c>
      <c r="C27" s="411">
        <f t="shared" si="1"/>
        <v>5.8601999999999999</v>
      </c>
      <c r="D27" s="388">
        <f t="shared" si="2"/>
        <v>43.513873246646874</v>
      </c>
      <c r="E27" s="9"/>
      <c r="F27" s="411">
        <f t="shared" si="3"/>
        <v>255</v>
      </c>
      <c r="G27" s="411">
        <f t="shared" si="4"/>
        <v>5.8935000000000004</v>
      </c>
      <c r="H27" s="388">
        <f t="shared" si="5"/>
        <v>43.268007126495291</v>
      </c>
      <c r="I27" s="9"/>
      <c r="J27" s="411">
        <f t="shared" si="6"/>
        <v>265</v>
      </c>
      <c r="K27" s="411">
        <f t="shared" si="7"/>
        <v>5.7099000000000002</v>
      </c>
      <c r="L27" s="388">
        <f t="shared" si="8"/>
        <v>46.410620150965862</v>
      </c>
      <c r="M27" s="9"/>
      <c r="N27" s="411">
        <f t="shared" si="9"/>
        <v>265</v>
      </c>
      <c r="O27" s="411">
        <f t="shared" si="10"/>
        <v>5.7099000000000002</v>
      </c>
      <c r="P27" s="388">
        <f t="shared" si="11"/>
        <v>46.410620150965862</v>
      </c>
    </row>
    <row r="28" spans="1:18">
      <c r="A28" s="6" t="s">
        <v>32</v>
      </c>
      <c r="B28" s="411">
        <f t="shared" si="0"/>
        <v>55</v>
      </c>
      <c r="C28" s="411">
        <f t="shared" si="1"/>
        <v>1.5391999999999999</v>
      </c>
      <c r="D28" s="388">
        <f t="shared" si="2"/>
        <v>35.732848232848234</v>
      </c>
      <c r="E28" s="9"/>
      <c r="F28" s="411">
        <f t="shared" si="3"/>
        <v>45</v>
      </c>
      <c r="G28" s="411">
        <f t="shared" si="4"/>
        <v>1.5508</v>
      </c>
      <c r="H28" s="388">
        <f t="shared" si="5"/>
        <v>29.017281403146765</v>
      </c>
      <c r="I28" s="9"/>
      <c r="J28" s="411">
        <f t="shared" si="6"/>
        <v>75</v>
      </c>
      <c r="K28" s="411">
        <f t="shared" si="7"/>
        <v>1.5176000000000001</v>
      </c>
      <c r="L28" s="388">
        <f t="shared" si="8"/>
        <v>49.42013705851344</v>
      </c>
      <c r="M28" s="9"/>
      <c r="N28" s="411">
        <f t="shared" si="9"/>
        <v>75</v>
      </c>
      <c r="O28" s="411">
        <f t="shared" si="10"/>
        <v>1.5176000000000001</v>
      </c>
      <c r="P28" s="388">
        <f t="shared" si="11"/>
        <v>49.42013705851344</v>
      </c>
    </row>
    <row r="29" spans="1:18">
      <c r="A29" s="6" t="s">
        <v>33</v>
      </c>
      <c r="B29" s="411">
        <f t="shared" si="0"/>
        <v>350</v>
      </c>
      <c r="C29" s="411">
        <f t="shared" si="1"/>
        <v>8.1122999999999994</v>
      </c>
      <c r="D29" s="388">
        <f t="shared" si="2"/>
        <v>43.144361032013116</v>
      </c>
      <c r="E29" s="9"/>
      <c r="F29" s="411">
        <f t="shared" si="3"/>
        <v>450</v>
      </c>
      <c r="G29" s="411">
        <f t="shared" si="4"/>
        <v>8.1035000000000004</v>
      </c>
      <c r="H29" s="388">
        <f t="shared" si="5"/>
        <v>55.531560436848274</v>
      </c>
      <c r="I29" s="9"/>
      <c r="J29" s="411">
        <f t="shared" si="6"/>
        <v>425</v>
      </c>
      <c r="K29" s="411">
        <f t="shared" si="7"/>
        <v>8.0451999999999995</v>
      </c>
      <c r="L29" s="388">
        <f t="shared" si="8"/>
        <v>52.826530104907278</v>
      </c>
      <c r="M29" s="9"/>
      <c r="N29" s="411">
        <f t="shared" si="9"/>
        <v>425</v>
      </c>
      <c r="O29" s="411">
        <f t="shared" si="10"/>
        <v>8.0451999999999995</v>
      </c>
      <c r="P29" s="388">
        <f t="shared" si="11"/>
        <v>52.826530104907278</v>
      </c>
    </row>
    <row r="30" spans="1:18">
      <c r="A30" s="6" t="s">
        <v>34</v>
      </c>
      <c r="B30" s="411">
        <f t="shared" si="0"/>
        <v>970</v>
      </c>
      <c r="C30" s="411">
        <f t="shared" si="1"/>
        <v>21.905100000000001</v>
      </c>
      <c r="D30" s="388">
        <f t="shared" si="2"/>
        <v>44.281925213763003</v>
      </c>
      <c r="E30" s="9"/>
      <c r="F30" s="411">
        <f t="shared" si="3"/>
        <v>1075</v>
      </c>
      <c r="G30" s="411">
        <f t="shared" si="4"/>
        <v>21.9178</v>
      </c>
      <c r="H30" s="388">
        <f t="shared" si="5"/>
        <v>49.046893392585019</v>
      </c>
      <c r="I30" s="9"/>
      <c r="J30" s="411">
        <f t="shared" si="6"/>
        <v>1115</v>
      </c>
      <c r="K30" s="411">
        <f t="shared" si="7"/>
        <v>21.9482</v>
      </c>
      <c r="L30" s="388">
        <f t="shared" si="8"/>
        <v>50.801432463710007</v>
      </c>
      <c r="M30" s="9"/>
      <c r="N30" s="411">
        <f t="shared" si="9"/>
        <v>1115</v>
      </c>
      <c r="O30" s="411">
        <f t="shared" si="10"/>
        <v>21.9482</v>
      </c>
      <c r="P30" s="388">
        <f t="shared" si="11"/>
        <v>50.801432463710007</v>
      </c>
    </row>
    <row r="31" spans="1:18">
      <c r="A31" s="6" t="s">
        <v>35</v>
      </c>
      <c r="B31" s="411">
        <f t="shared" si="0"/>
        <v>65</v>
      </c>
      <c r="C31" s="411">
        <f t="shared" si="1"/>
        <v>1.3386</v>
      </c>
      <c r="D31" s="388">
        <f t="shared" si="2"/>
        <v>48.5581951292395</v>
      </c>
      <c r="E31" s="9"/>
      <c r="F31" s="411">
        <f t="shared" si="3"/>
        <v>50</v>
      </c>
      <c r="G31" s="411">
        <f t="shared" si="4"/>
        <v>1.3447</v>
      </c>
      <c r="H31" s="388">
        <f t="shared" si="5"/>
        <v>37.183014798839892</v>
      </c>
      <c r="I31" s="9"/>
      <c r="J31" s="411">
        <f t="shared" si="6"/>
        <v>45</v>
      </c>
      <c r="K31" s="411">
        <f t="shared" si="7"/>
        <v>1.302</v>
      </c>
      <c r="L31" s="388">
        <f t="shared" si="8"/>
        <v>34.562211981566819</v>
      </c>
      <c r="M31" s="9"/>
      <c r="N31" s="411">
        <f t="shared" si="9"/>
        <v>45</v>
      </c>
      <c r="O31" s="411">
        <f t="shared" si="10"/>
        <v>1.302</v>
      </c>
      <c r="P31" s="388">
        <f t="shared" si="11"/>
        <v>34.562211981566819</v>
      </c>
    </row>
    <row r="32" spans="1:18">
      <c r="A32" s="6" t="s">
        <v>36</v>
      </c>
      <c r="B32" s="411">
        <f t="shared" si="0"/>
        <v>435</v>
      </c>
      <c r="C32" s="411">
        <f t="shared" si="1"/>
        <v>9.1349</v>
      </c>
      <c r="D32" s="388">
        <f t="shared" si="2"/>
        <v>47.619568906063556</v>
      </c>
      <c r="E32" s="9"/>
      <c r="F32" s="411">
        <f t="shared" si="3"/>
        <v>485</v>
      </c>
      <c r="G32" s="411">
        <f t="shared" si="4"/>
        <v>9.2593999999999994</v>
      </c>
      <c r="H32" s="388">
        <f t="shared" si="5"/>
        <v>52.379203836101695</v>
      </c>
      <c r="I32" s="9"/>
      <c r="J32" s="411">
        <f t="shared" si="6"/>
        <v>510</v>
      </c>
      <c r="K32" s="411">
        <f t="shared" si="7"/>
        <v>8.9719999999999995</v>
      </c>
      <c r="L32" s="388">
        <f t="shared" si="8"/>
        <v>56.843513152028535</v>
      </c>
      <c r="M32" s="9"/>
      <c r="N32" s="411">
        <f t="shared" si="9"/>
        <v>510</v>
      </c>
      <c r="O32" s="411">
        <f t="shared" si="10"/>
        <v>8.9719999999999995</v>
      </c>
      <c r="P32" s="388">
        <f t="shared" si="11"/>
        <v>56.843513152028535</v>
      </c>
    </row>
    <row r="33" spans="1:16">
      <c r="A33" s="6" t="s">
        <v>37</v>
      </c>
      <c r="B33" s="411">
        <f t="shared" si="0"/>
        <v>570</v>
      </c>
      <c r="C33" s="411">
        <f t="shared" si="1"/>
        <v>11.5055</v>
      </c>
      <c r="D33" s="388">
        <f t="shared" si="2"/>
        <v>49.541523619138673</v>
      </c>
      <c r="E33" s="9"/>
      <c r="F33" s="411">
        <f t="shared" si="3"/>
        <v>580</v>
      </c>
      <c r="G33" s="411">
        <f t="shared" si="4"/>
        <v>11.5571</v>
      </c>
      <c r="H33" s="388">
        <f t="shared" si="5"/>
        <v>50.18560019382025</v>
      </c>
      <c r="I33" s="9"/>
      <c r="J33" s="411">
        <f t="shared" si="6"/>
        <v>595</v>
      </c>
      <c r="K33" s="411">
        <f t="shared" si="7"/>
        <v>11.8453</v>
      </c>
      <c r="L33" s="388">
        <f t="shared" si="8"/>
        <v>50.230893265683434</v>
      </c>
      <c r="M33" s="9"/>
      <c r="N33" s="411">
        <f t="shared" si="9"/>
        <v>595</v>
      </c>
      <c r="O33" s="411">
        <f t="shared" si="10"/>
        <v>11.8453</v>
      </c>
      <c r="P33" s="388">
        <f t="shared" si="11"/>
        <v>50.230893265683434</v>
      </c>
    </row>
    <row r="34" spans="1:16">
      <c r="A34" s="6" t="s">
        <v>38</v>
      </c>
      <c r="B34" s="411">
        <f t="shared" si="0"/>
        <v>320</v>
      </c>
      <c r="C34" s="411">
        <f t="shared" si="1"/>
        <v>6.7332000000000001</v>
      </c>
      <c r="D34" s="388">
        <f t="shared" si="2"/>
        <v>47.525693578090653</v>
      </c>
      <c r="E34" s="9"/>
      <c r="F34" s="411">
        <f t="shared" si="3"/>
        <v>300</v>
      </c>
      <c r="G34" s="411">
        <f t="shared" si="4"/>
        <v>6.7641999999999998</v>
      </c>
      <c r="H34" s="388">
        <f t="shared" si="5"/>
        <v>44.35114278111233</v>
      </c>
      <c r="I34" s="9"/>
      <c r="J34" s="411">
        <f t="shared" si="6"/>
        <v>355</v>
      </c>
      <c r="K34" s="411">
        <f t="shared" si="7"/>
        <v>6.78</v>
      </c>
      <c r="L34" s="388">
        <f t="shared" si="8"/>
        <v>52.359882005899706</v>
      </c>
      <c r="M34" s="9"/>
      <c r="N34" s="411">
        <f t="shared" si="9"/>
        <v>355</v>
      </c>
      <c r="O34" s="411">
        <f t="shared" si="10"/>
        <v>6.78</v>
      </c>
      <c r="P34" s="388">
        <f t="shared" si="11"/>
        <v>52.359882005899706</v>
      </c>
    </row>
    <row r="35" spans="1:16">
      <c r="A35" s="6" t="s">
        <v>39</v>
      </c>
      <c r="B35" s="411">
        <f t="shared" si="0"/>
        <v>60</v>
      </c>
      <c r="C35" s="411">
        <f t="shared" si="1"/>
        <v>1.3905000000000001</v>
      </c>
      <c r="D35" s="388">
        <f t="shared" si="2"/>
        <v>43.149946062567423</v>
      </c>
      <c r="E35" s="9"/>
      <c r="F35" s="411">
        <f t="shared" si="3"/>
        <v>45</v>
      </c>
      <c r="G35" s="411">
        <f t="shared" si="4"/>
        <v>1.3912</v>
      </c>
      <c r="H35" s="388">
        <f t="shared" si="5"/>
        <v>32.34617596319724</v>
      </c>
      <c r="I35" s="9"/>
      <c r="J35" s="411">
        <f t="shared" si="6"/>
        <v>65</v>
      </c>
      <c r="K35" s="411">
        <f t="shared" si="7"/>
        <v>1.3827</v>
      </c>
      <c r="L35" s="388">
        <f t="shared" si="8"/>
        <v>47.009474217111446</v>
      </c>
      <c r="M35" s="9"/>
      <c r="N35" s="411">
        <f t="shared" si="9"/>
        <v>65</v>
      </c>
      <c r="O35" s="411">
        <f t="shared" si="10"/>
        <v>1.3827</v>
      </c>
      <c r="P35" s="388">
        <f t="shared" si="11"/>
        <v>47.009474217111446</v>
      </c>
    </row>
    <row r="36" spans="1:16">
      <c r="A36" s="6" t="s">
        <v>40</v>
      </c>
      <c r="B36" s="411">
        <f t="shared" si="0"/>
        <v>325</v>
      </c>
      <c r="C36" s="411">
        <f t="shared" si="1"/>
        <v>6.5766999999999998</v>
      </c>
      <c r="D36" s="388">
        <f t="shared" si="2"/>
        <v>49.416880806483498</v>
      </c>
      <c r="E36" s="9"/>
      <c r="F36" s="411">
        <f t="shared" si="3"/>
        <v>350</v>
      </c>
      <c r="G36" s="411">
        <f t="shared" si="4"/>
        <v>6.5843999999999996</v>
      </c>
      <c r="H36" s="388">
        <f t="shared" si="5"/>
        <v>53.155944353319974</v>
      </c>
      <c r="I36" s="9"/>
      <c r="J36" s="411">
        <f t="shared" si="6"/>
        <v>335</v>
      </c>
      <c r="K36" s="411">
        <f t="shared" si="7"/>
        <v>6.4930000000000003</v>
      </c>
      <c r="L36" s="388">
        <f t="shared" si="8"/>
        <v>51.594024333898041</v>
      </c>
      <c r="M36" s="9"/>
      <c r="N36" s="411">
        <f t="shared" si="9"/>
        <v>335</v>
      </c>
      <c r="O36" s="411">
        <f t="shared" si="10"/>
        <v>6.4930000000000003</v>
      </c>
      <c r="P36" s="388">
        <f t="shared" si="11"/>
        <v>51.594024333898041</v>
      </c>
    </row>
    <row r="37" spans="1:16">
      <c r="A37" s="6" t="s">
        <v>41</v>
      </c>
      <c r="B37" s="411">
        <f t="shared" si="0"/>
        <v>1040</v>
      </c>
      <c r="C37" s="411">
        <f t="shared" si="1"/>
        <v>20.178999999999998</v>
      </c>
      <c r="D37" s="388">
        <f t="shared" si="2"/>
        <v>51.538728380990143</v>
      </c>
      <c r="E37" s="9"/>
      <c r="F37" s="411">
        <f t="shared" si="3"/>
        <v>1125</v>
      </c>
      <c r="G37" s="411">
        <f t="shared" si="4"/>
        <v>20.242999999999999</v>
      </c>
      <c r="H37" s="388">
        <f t="shared" si="5"/>
        <v>55.574766585980342</v>
      </c>
      <c r="I37" s="9"/>
      <c r="J37" s="411">
        <f t="shared" si="6"/>
        <v>1100</v>
      </c>
      <c r="K37" s="411">
        <f t="shared" si="7"/>
        <v>20.548999999999999</v>
      </c>
      <c r="L37" s="388">
        <f t="shared" si="8"/>
        <v>53.530585429947934</v>
      </c>
      <c r="M37" s="9"/>
      <c r="N37" s="411">
        <f t="shared" si="9"/>
        <v>1100</v>
      </c>
      <c r="O37" s="411">
        <f t="shared" si="10"/>
        <v>20.548999999999999</v>
      </c>
      <c r="P37" s="388">
        <f t="shared" si="11"/>
        <v>53.530585429947934</v>
      </c>
    </row>
    <row r="38" spans="1:16">
      <c r="A38" s="6" t="s">
        <v>42</v>
      </c>
      <c r="B38" s="411">
        <f t="shared" si="0"/>
        <v>355</v>
      </c>
      <c r="C38" s="411">
        <f t="shared" si="1"/>
        <v>6.0411000000000001</v>
      </c>
      <c r="D38" s="388">
        <f t="shared" si="2"/>
        <v>58.764132360000659</v>
      </c>
      <c r="E38" s="9"/>
      <c r="F38" s="411">
        <f t="shared" si="3"/>
        <v>360</v>
      </c>
      <c r="G38" s="411">
        <f t="shared" si="4"/>
        <v>5.9730999999999996</v>
      </c>
      <c r="H38" s="388">
        <f t="shared" si="5"/>
        <v>60.270211447991834</v>
      </c>
      <c r="I38" s="9"/>
      <c r="J38" s="411">
        <f t="shared" si="6"/>
        <v>360</v>
      </c>
      <c r="K38" s="411">
        <f t="shared" si="7"/>
        <v>5.8746</v>
      </c>
      <c r="L38" s="388">
        <f t="shared" si="8"/>
        <v>61.28076805229292</v>
      </c>
      <c r="M38" s="9"/>
      <c r="N38" s="411">
        <f t="shared" si="9"/>
        <v>360</v>
      </c>
      <c r="O38" s="411">
        <f t="shared" si="10"/>
        <v>5.8746</v>
      </c>
      <c r="P38" s="388">
        <f t="shared" si="11"/>
        <v>61.28076805229292</v>
      </c>
    </row>
    <row r="39" spans="1:16">
      <c r="A39" s="6" t="s">
        <v>43</v>
      </c>
      <c r="B39" s="411">
        <f t="shared" si="0"/>
        <v>255</v>
      </c>
      <c r="C39" s="411">
        <f t="shared" si="1"/>
        <v>5.5987999999999998</v>
      </c>
      <c r="D39" s="388">
        <f t="shared" si="2"/>
        <v>45.545474030149322</v>
      </c>
      <c r="E39" s="9"/>
      <c r="F39" s="411">
        <f t="shared" si="3"/>
        <v>335</v>
      </c>
      <c r="G39" s="411">
        <f t="shared" si="4"/>
        <v>5.5414000000000003</v>
      </c>
      <c r="H39" s="388">
        <f t="shared" si="5"/>
        <v>60.454036885985488</v>
      </c>
      <c r="I39" s="9"/>
      <c r="J39" s="411">
        <f t="shared" si="6"/>
        <v>225</v>
      </c>
      <c r="K39" s="411">
        <f t="shared" si="7"/>
        <v>5.5507999999999997</v>
      </c>
      <c r="L39" s="388">
        <f t="shared" si="8"/>
        <v>40.534697701232254</v>
      </c>
      <c r="M39" s="9"/>
      <c r="N39" s="411">
        <f t="shared" si="9"/>
        <v>225</v>
      </c>
      <c r="O39" s="411">
        <f t="shared" si="10"/>
        <v>5.5507999999999997</v>
      </c>
      <c r="P39" s="388">
        <f t="shared" si="11"/>
        <v>40.534697701232254</v>
      </c>
    </row>
    <row r="40" spans="1:16">
      <c r="A40" s="6" t="s">
        <v>44</v>
      </c>
      <c r="B40" s="411">
        <f t="shared" si="0"/>
        <v>605</v>
      </c>
      <c r="C40" s="411">
        <f t="shared" si="1"/>
        <v>11.7675</v>
      </c>
      <c r="D40" s="388">
        <f t="shared" si="2"/>
        <v>51.412789462502658</v>
      </c>
      <c r="E40" s="9"/>
      <c r="F40" s="411">
        <f t="shared" si="3"/>
        <v>680</v>
      </c>
      <c r="G40" s="411">
        <f t="shared" si="4"/>
        <v>11.8894</v>
      </c>
      <c r="H40" s="388">
        <f t="shared" si="5"/>
        <v>57.193802883240529</v>
      </c>
      <c r="I40" s="9"/>
      <c r="J40" s="411">
        <f t="shared" si="6"/>
        <v>645</v>
      </c>
      <c r="K40" s="411">
        <f t="shared" si="7"/>
        <v>11.617100000000001</v>
      </c>
      <c r="L40" s="388">
        <f t="shared" si="8"/>
        <v>55.521601776691256</v>
      </c>
      <c r="M40" s="9"/>
      <c r="N40" s="411">
        <f t="shared" si="9"/>
        <v>645</v>
      </c>
      <c r="O40" s="411">
        <f t="shared" si="10"/>
        <v>11.617100000000001</v>
      </c>
      <c r="P40" s="388">
        <f t="shared" si="11"/>
        <v>55.521601776691256</v>
      </c>
    </row>
    <row r="41" spans="1:16">
      <c r="A41" s="6"/>
      <c r="B41" s="10"/>
      <c r="C41" s="10"/>
      <c r="D41" s="9"/>
      <c r="E41" s="9"/>
      <c r="F41" s="10"/>
      <c r="G41" s="10"/>
      <c r="H41" s="9"/>
      <c r="I41" s="9"/>
      <c r="J41" s="10"/>
      <c r="K41" s="10"/>
      <c r="L41" s="9"/>
      <c r="M41" s="9"/>
      <c r="N41" s="10"/>
      <c r="O41" s="10"/>
      <c r="P41" s="9"/>
    </row>
    <row r="42" spans="1:16">
      <c r="A42" s="6" t="s">
        <v>45</v>
      </c>
      <c r="B42" s="411">
        <f t="shared" ref="B42:B43" si="12">INDEX($B$59:$E$93,MATCH($A42,$A$59:$A$93,0),MATCH(D$8,$B$58:$E$58,0))</f>
        <v>18270</v>
      </c>
      <c r="C42" s="411">
        <f t="shared" si="1"/>
        <v>349.31369999999998</v>
      </c>
      <c r="D42" s="388">
        <f t="shared" ref="D42:D43" si="13">SUM(B42/C42)</f>
        <v>52.302557844138377</v>
      </c>
      <c r="E42" s="9"/>
      <c r="F42" s="411">
        <f t="shared" ref="F42:F43" si="14">INDEX($B$59:$E$93,MATCH($A42,$A$59:$A$93,0),MATCH(H$8,$B$58:$E$58,0))</f>
        <v>19735</v>
      </c>
      <c r="G42" s="411">
        <f t="shared" si="4"/>
        <v>349.45170000000002</v>
      </c>
      <c r="H42" s="388">
        <f t="shared" ref="H42:H43" si="15">SUM(F42/G42)</f>
        <v>56.474185130591721</v>
      </c>
      <c r="I42" s="9"/>
      <c r="J42" s="411">
        <f>INDEX($B$59:$E$93,MATCH($A42,$A$59:$A$93,0),MATCH(L$8,$B$58:$E$58,0))</f>
        <v>19640</v>
      </c>
      <c r="K42" s="411">
        <f t="shared" si="7"/>
        <v>345.84129999999999</v>
      </c>
      <c r="L42" s="388">
        <f t="shared" ref="L42:L43" si="16">SUM(J42/K42)</f>
        <v>56.789053244942117</v>
      </c>
      <c r="M42" s="9"/>
      <c r="N42" s="411">
        <f t="shared" ref="N42:N43" si="17">INDEX($B$59:$E$93,MATCH($A42,$A$59:$A$93,0),MATCH(P$8,$B$58:$E$58,0))</f>
        <v>19640</v>
      </c>
      <c r="O42" s="411">
        <f>SUM(INDEX($H$59:$K$93,MATCH($A42,$G$59:$G$93,0),MATCH(2022,$H$58:$K$58,0)))/10000</f>
        <v>345.84129999999999</v>
      </c>
      <c r="P42" s="388">
        <f t="shared" ref="P42:P43" si="18">SUM(N42/O42)</f>
        <v>56.789053244942117</v>
      </c>
    </row>
    <row r="43" spans="1:16">
      <c r="A43" s="6" t="s">
        <v>46</v>
      </c>
      <c r="B43" s="411">
        <f t="shared" si="12"/>
        <v>300475</v>
      </c>
      <c r="C43" s="411">
        <f t="shared" si="1"/>
        <v>4184.5027</v>
      </c>
      <c r="D43" s="388">
        <f t="shared" si="13"/>
        <v>71.806621130869388</v>
      </c>
      <c r="E43" s="9"/>
      <c r="F43" s="411">
        <f t="shared" si="14"/>
        <v>328360</v>
      </c>
      <c r="G43" s="411">
        <f t="shared" si="4"/>
        <v>4217.4675999999999</v>
      </c>
      <c r="H43" s="388">
        <f t="shared" si="15"/>
        <v>77.85714820903425</v>
      </c>
      <c r="I43" s="9"/>
      <c r="J43" s="411">
        <f t="shared" ref="J43" si="19">INDEX($B$59:$E$93,MATCH($A43,$A$59:$A$93,0),MATCH(L$8,$B$58:$E$58,0))</f>
        <v>345490</v>
      </c>
      <c r="K43" s="411">
        <f t="shared" si="7"/>
        <v>4217.4675999999999</v>
      </c>
      <c r="L43" s="388">
        <f t="shared" si="16"/>
        <v>81.918827307647845</v>
      </c>
      <c r="M43" s="9"/>
      <c r="N43" s="411">
        <f t="shared" si="17"/>
        <v>345490</v>
      </c>
      <c r="O43" s="411">
        <f>SUM(INDEX($H$59:$K$93,MATCH($A43,$G$59:$G$93,0),MATCH(2022,$H$58:$K$58,0)))/10000</f>
        <v>4217.4675999999999</v>
      </c>
      <c r="P43" s="388">
        <f t="shared" si="18"/>
        <v>81.918827307647845</v>
      </c>
    </row>
    <row r="44" spans="1:16">
      <c r="A44" s="6" t="s">
        <v>543</v>
      </c>
      <c r="B44" s="385" cm="1">
        <f t="array" ref="B44">SUM(SUMIFS(B$9:B$40,$A$9:$A$40,{"Na h-Eileanan Siar","Argyll and Bute","Shetland Islands","Highland","Orkney Islands","Scottish Borders","Dumfries and Galloway","Aberdeenshire"}))</f>
        <v>2925</v>
      </c>
      <c r="C44" s="385">
        <f>SUM(SUMIFS(C$9:C$40,$A$9:$A$40,{"Na h-Eileanan Siar","Argyll and Bute","Shetland Islands","Highland","Orkney Islands","Scottish Borders","Dumfries and Galloway","Aberdeenshire"}))</f>
        <v>54.964700000000001</v>
      </c>
      <c r="D44" s="388">
        <f t="shared" ref="D44:D47" si="20">SUM(B44/SUM(C44))</f>
        <v>53.215973160956032</v>
      </c>
      <c r="E44" s="9"/>
      <c r="F44" s="385">
        <f>SUM(SUMIFS(F$9:F$40,$A$9:$A$40,{"Na h-Eileanan Siar","Argyll and Bute","Shetland Islands","Highland","Orkney Islands","Scottish Borders","Dumfries and Galloway","Aberdeenshire"}))</f>
        <v>3045</v>
      </c>
      <c r="G44" s="385">
        <f>SUM(SUMIFS(G$9:G$40,$A$9:$A$40,{"Na h-Eileanan Siar","Argyll and Bute","Shetland Islands","Highland","Orkney Islands","Scottish Borders","Dumfries and Galloway","Aberdeenshire"}))</f>
        <v>55.305799999999991</v>
      </c>
      <c r="H44" s="388">
        <f t="shared" ref="H44:H47" si="21">SUM(F44/SUM(G44))</f>
        <v>55.057516571498837</v>
      </c>
      <c r="I44" s="9"/>
      <c r="J44" s="385">
        <f>SUM(SUMIFS(J$9:J$40,$A$9:$A$40,{"Na h-Eileanan Siar","Argyll and Bute","Shetland Islands","Highland","Orkney Islands","Scottish Borders","Dumfries and Galloway","Aberdeenshire"}))</f>
        <v>3345</v>
      </c>
      <c r="K44" s="385">
        <f>SUM(SUMIFS(K$9:K$40,$A$9:$A$40,{"Na h-Eileanan Siar","Argyll and Bute","Shetland Islands","Highland","Orkney Islands","Scottish Borders","Dumfries and Galloway","Aberdeenshire"}))</f>
        <v>54.715699999999998</v>
      </c>
      <c r="L44" s="388">
        <f t="shared" ref="L44:L47" si="22">SUM(J44/SUM(K44))</f>
        <v>61.134190003965955</v>
      </c>
      <c r="M44" s="9"/>
      <c r="N44" s="385">
        <f>SUM(SUMIFS(N$9:N$40,$A$9:$A$40,{"Na h-Eileanan Siar","Argyll and Bute","Shetland Islands","Highland","Orkney Islands","Scottish Borders","Dumfries and Galloway","Aberdeenshire"}))</f>
        <v>3345</v>
      </c>
      <c r="O44" s="385">
        <f>SUM(SUMIFS(O$9:O$40,$A$9:$A$40,{"Na h-Eileanan Siar","Argyll and Bute","Shetland Islands","Highland","Orkney Islands","Scottish Borders","Dumfries and Galloway","Aberdeenshire"}))</f>
        <v>54.715699999999998</v>
      </c>
      <c r="P44" s="388">
        <f t="shared" ref="P44:P47" si="23">SUM(N44/SUM(O44))</f>
        <v>61.134190003965955</v>
      </c>
    </row>
    <row r="45" spans="1:16">
      <c r="A45" s="6" t="s">
        <v>544</v>
      </c>
      <c r="B45" s="385">
        <f>SUM(SUMIFS(B$9:B$40,$A$9:$A$40,{"Perth and Kinross","Stirling","Moray","South Ayrshire","East Ayrshire","East Lothian","North Ayrshire","Fife"}))</f>
        <v>3560</v>
      </c>
      <c r="C45" s="385">
        <f>SUM(SUMIFS(C$9:C$40,$A$9:$A$40,{"Perth and Kinross","Stirling","Moray","South Ayrshire","East Ayrshire","East Lothian","North Ayrshire","Fife"}))</f>
        <v>73.057900000000004</v>
      </c>
      <c r="D45" s="388">
        <f t="shared" si="20"/>
        <v>48.728474264932331</v>
      </c>
      <c r="E45" s="9"/>
      <c r="F45" s="385">
        <f>SUM(SUMIFS(F$9:F$40,$A$9:$A$40,{"Perth and Kinross","Stirling","Moray","South Ayrshire","East Ayrshire","East Lothian","North Ayrshire","Fife"}))</f>
        <v>4110</v>
      </c>
      <c r="G45" s="385">
        <f>SUM(SUMIFS(G$9:G$40,$A$9:$A$40,{"Perth and Kinross","Stirling","Moray","South Ayrshire","East Ayrshire","East Lothian","North Ayrshire","Fife"}))</f>
        <v>73.232100000000003</v>
      </c>
      <c r="H45" s="388">
        <f t="shared" si="21"/>
        <v>56.122929698861562</v>
      </c>
      <c r="I45" s="9"/>
      <c r="J45" s="385">
        <f>SUM(SUMIFS(J$9:J$40,$A$9:$A$40,{"Perth and Kinross","Stirling","Moray","South Ayrshire","East Ayrshire","East Lothian","North Ayrshire","Fife"}))</f>
        <v>3750</v>
      </c>
      <c r="K45" s="385">
        <f>SUM(SUMIFS(K$9:K$40,$A$9:$A$40,{"Perth and Kinross","Stirling","Moray","South Ayrshire","East Ayrshire","East Lothian","North Ayrshire","Fife"}))</f>
        <v>72.264200000000002</v>
      </c>
      <c r="L45" s="388">
        <f t="shared" si="22"/>
        <v>51.892915164078474</v>
      </c>
      <c r="M45" s="9"/>
      <c r="N45" s="385">
        <f>SUM(SUMIFS(N$9:N$40,$A$9:$A$40,{"Perth and Kinross","Stirling","Moray","South Ayrshire","East Ayrshire","East Lothian","North Ayrshire","Fife"}))</f>
        <v>3750</v>
      </c>
      <c r="O45" s="385">
        <f>SUM(SUMIFS(O$9:O$40,$A$9:$A$40,{"Perth and Kinross","Stirling","Moray","South Ayrshire","East Ayrshire","East Lothian","North Ayrshire","Fife"}))</f>
        <v>72.264200000000002</v>
      </c>
      <c r="P45" s="388">
        <f t="shared" si="23"/>
        <v>51.892915164078474</v>
      </c>
    </row>
    <row r="46" spans="1:16">
      <c r="A46" s="6" t="s">
        <v>545</v>
      </c>
      <c r="B46" s="385">
        <f>SUM(SUMIFS(B$9:B$40,$A$9:$A$40,{"Angus","Clackmannanshire","Midlothian","South Lanarkshire","Inverclyde","Renfrewshire","West Lothian","East Renfrewshire"}))</f>
        <v>3445</v>
      </c>
      <c r="C46" s="385">
        <f>SUM(SUMIFS(C$9:C$40,$A$9:$A$40,{"Angus","Clackmannanshire","Midlothian","South Lanarkshire","Inverclyde","Renfrewshire","West Lothian","East Renfrewshire"}))</f>
        <v>69.782399999999996</v>
      </c>
      <c r="D46" s="388">
        <f t="shared" si="20"/>
        <v>49.367748887971757</v>
      </c>
      <c r="E46" s="9"/>
      <c r="F46" s="385">
        <f>SUM(SUMIFS(F$9:F$40,$A$9:$A$40,{"Angus","Clackmannanshire","Midlothian","South Lanarkshire","Inverclyde","Renfrewshire","West Lothian","East Renfrewshire"}))</f>
        <v>3680</v>
      </c>
      <c r="G46" s="385">
        <f>SUM(SUMIFS(G$9:G$40,$A$9:$A$40,{"Angus","Clackmannanshire","Midlothian","South Lanarkshire","Inverclyde","Renfrewshire","West Lothian","East Renfrewshire"}))</f>
        <v>70.120399999999989</v>
      </c>
      <c r="H46" s="388">
        <f t="shared" si="21"/>
        <v>52.481160974552353</v>
      </c>
      <c r="I46" s="9"/>
      <c r="J46" s="385">
        <f>SUM(SUMIFS(J$9:J$40,$A$9:$A$40,{"Angus","Clackmannanshire","Midlothian","South Lanarkshire","Inverclyde","Renfrewshire","West Lothian","East Renfrewshire"}))</f>
        <v>3735</v>
      </c>
      <c r="K46" s="385">
        <f>SUM(SUMIFS(K$9:K$40,$A$9:$A$40,{"Angus","Clackmannanshire","Midlothian","South Lanarkshire","Inverclyde","Renfrewshire","West Lothian","East Renfrewshire"}))</f>
        <v>70.550899999999999</v>
      </c>
      <c r="L46" s="388">
        <f t="shared" si="22"/>
        <v>52.940501113380556</v>
      </c>
      <c r="M46" s="9"/>
      <c r="N46" s="385">
        <f>SUM(SUMIFS(N$9:N$40,$A$9:$A$40,{"Angus","Clackmannanshire","Midlothian","South Lanarkshire","Inverclyde","Renfrewshire","West Lothian","East Renfrewshire"}))</f>
        <v>3735</v>
      </c>
      <c r="O46" s="385">
        <f>SUM(SUMIFS(O$9:O$40,$A$9:$A$40,{"Angus","Clackmannanshire","Midlothian","South Lanarkshire","Inverclyde","Renfrewshire","West Lothian","East Renfrewshire"}))</f>
        <v>70.550899999999999</v>
      </c>
      <c r="P46" s="388">
        <f t="shared" si="23"/>
        <v>52.940501113380556</v>
      </c>
    </row>
    <row r="47" spans="1:16">
      <c r="A47" s="6" t="s">
        <v>546</v>
      </c>
      <c r="B47" s="385">
        <f>SUM(SUMIFS(B$9:B$40,$A$9:$A$40,{"North Lanarkshire","Falkirk","East Dunbartonshire","Aberdeen City","Edinburgh, City of","West Dunbartonshire","Dundee City","Glasgow City"}))</f>
        <v>8340</v>
      </c>
      <c r="C47" s="385">
        <f>SUM(SUMIFS(C$9:C$40,$A$9:$A$40,{"North Lanarkshire","Falkirk","East Dunbartonshire","Aberdeen City","Edinburgh, City of","West Dunbartonshire","Dundee City","Glasgow City"}))</f>
        <v>151.5087</v>
      </c>
      <c r="D47" s="388">
        <f t="shared" si="20"/>
        <v>55.046343873322122</v>
      </c>
      <c r="E47" s="9"/>
      <c r="F47" s="385">
        <f>SUM(SUMIFS(F$9:F$40,$A$9:$A$40,{"North Lanarkshire","Falkirk","East Dunbartonshire","Aberdeen City","Edinburgh, City of","West Dunbartonshire","Dundee City","Glasgow City"}))</f>
        <v>8900</v>
      </c>
      <c r="G47" s="385">
        <f>SUM(SUMIFS(G$9:G$40,$A$9:$A$40,{"North Lanarkshire","Falkirk","East Dunbartonshire","Aberdeen City","Edinburgh, City of","West Dunbartonshire","Dundee City","Glasgow City"}))</f>
        <v>150.79339999999999</v>
      </c>
      <c r="H47" s="388">
        <f t="shared" si="21"/>
        <v>59.021150793071847</v>
      </c>
      <c r="I47" s="9"/>
      <c r="J47" s="385">
        <f>SUM(SUMIFS(J$9:J$40,$A$9:$A$40,{"North Lanarkshire","Falkirk","East Dunbartonshire","Aberdeen City","Edinburgh, City of","West Dunbartonshire","Dundee City","Glasgow City"}))</f>
        <v>8810</v>
      </c>
      <c r="K47" s="385">
        <f>SUM(SUMIFS(K$9:K$40,$A$9:$A$40,{"North Lanarkshire","Falkirk","East Dunbartonshire","Aberdeen City","Edinburgh, City of","West Dunbartonshire","Dundee City","Glasgow City"}))</f>
        <v>148.31049999999999</v>
      </c>
      <c r="L47" s="388">
        <f t="shared" si="22"/>
        <v>59.402402392278368</v>
      </c>
      <c r="M47" s="9"/>
      <c r="N47" s="385">
        <f>SUM(SUMIFS(N$9:N$40,$A$9:$A$40,{"North Lanarkshire","Falkirk","East Dunbartonshire","Aberdeen City","Edinburgh, City of","West Dunbartonshire","Dundee City","Glasgow City"}))</f>
        <v>8810</v>
      </c>
      <c r="O47" s="385">
        <f>SUM(SUMIFS(O$9:O$40,$A$9:$A$40,{"North Lanarkshire","Falkirk","East Dunbartonshire","Aberdeen City","Edinburgh, City of","West Dunbartonshire","Dundee City","Glasgow City"}))</f>
        <v>148.31049999999999</v>
      </c>
      <c r="P47" s="388">
        <f t="shared" si="23"/>
        <v>59.402402392278368</v>
      </c>
    </row>
    <row r="48" spans="1:16">
      <c r="A48" s="6" t="s">
        <v>47</v>
      </c>
      <c r="B48" s="411">
        <f t="shared" ref="B48" si="24">INDEX($B$59:$E$93,MATCH($A48,$A$59:$A$93,0),MATCH(D$8,$B$58:$E$58,0))</f>
        <v>6050</v>
      </c>
      <c r="C48" s="411">
        <f t="shared" ref="C48" si="25">SUM(INDEX($H$59:$K$93,MATCH($A48,$G$59:$G$93,0),MATCH(D$8,$H$58:$K$58,0)))/10000</f>
        <v>121.1065</v>
      </c>
      <c r="D48" s="388">
        <f t="shared" ref="D48" si="26">SUM(B48/C48)</f>
        <v>49.956030436021187</v>
      </c>
      <c r="E48" s="9"/>
      <c r="F48" s="411">
        <f t="shared" ref="F48" si="27">INDEX($B$59:$E$93,MATCH($A48,$A$59:$A$93,0),MATCH(H$8,$B$58:$E$58,0))</f>
        <v>6555</v>
      </c>
      <c r="G48" s="411">
        <f t="shared" ref="G48" si="28">SUM(INDEX($H$59:$K$93,MATCH($A48,$G$59:$G$93,0),MATCH(H$8,$H$58:$K$58,0)))/10000</f>
        <v>121.036</v>
      </c>
      <c r="H48" s="388">
        <f t="shared" ref="H48" si="29">SUM(F48/G48)</f>
        <v>54.157440761426351</v>
      </c>
      <c r="I48" s="9"/>
      <c r="J48" s="411">
        <f t="shared" ref="J48" si="30">INDEX($B$59:$E$93,MATCH($A48,$A$59:$A$93,0),MATCH(L$8,$B$58:$E$58,0))</f>
        <v>6680</v>
      </c>
      <c r="K48" s="411">
        <f t="shared" ref="K48" si="31">SUM(INDEX($H$59:$K$93,MATCH($A48,$G$59:$G$93,0),MATCH(L$8,$H$58:$K$58,0)))/10000</f>
        <v>120.6696</v>
      </c>
      <c r="L48" s="388">
        <f t="shared" ref="L48" si="32">SUM(J48/K48)</f>
        <v>55.357770308346097</v>
      </c>
      <c r="M48" s="9"/>
      <c r="N48" s="411">
        <f t="shared" ref="N48" si="33">INDEX($B$59:$E$93,MATCH($A48,$A$59:$A$93,0),MATCH(P$8,$B$58:$E$58,0))</f>
        <v>6680</v>
      </c>
      <c r="O48" s="411">
        <f>SUM(INDEX($H$59:$K$93,MATCH($A48,$G$59:$G$93,0),MATCH(P$8,$H$58:$K$58,0)))/10000</f>
        <v>120.6696</v>
      </c>
      <c r="P48" s="388">
        <f t="shared" ref="P48" si="34">SUM(N48/O48)</f>
        <v>55.357770308346097</v>
      </c>
    </row>
    <row r="50" spans="1:11">
      <c r="A50" s="357"/>
      <c r="B50" s="358"/>
      <c r="C50" s="358"/>
      <c r="D50" s="358"/>
      <c r="E50" s="358"/>
    </row>
    <row r="51" spans="1:11" ht="15.5">
      <c r="A51" s="440" t="s">
        <v>717</v>
      </c>
      <c r="G51" s="440" t="s">
        <v>216</v>
      </c>
    </row>
    <row r="52" spans="1:11">
      <c r="A52" s="441"/>
      <c r="G52" s="441" t="s">
        <v>715</v>
      </c>
    </row>
    <row r="54" spans="1:11">
      <c r="A54" s="442" t="s">
        <v>213</v>
      </c>
      <c r="B54" s="442" t="s">
        <v>719</v>
      </c>
      <c r="G54" s="442" t="s">
        <v>150</v>
      </c>
      <c r="H54" s="442" t="s">
        <v>82</v>
      </c>
    </row>
    <row r="55" spans="1:11">
      <c r="A55" s="442" t="s">
        <v>212</v>
      </c>
      <c r="B55" s="442"/>
      <c r="G55" s="442" t="s">
        <v>149</v>
      </c>
      <c r="H55" s="442" t="s">
        <v>215</v>
      </c>
    </row>
    <row r="56" spans="1:11">
      <c r="A56" s="442" t="s">
        <v>211</v>
      </c>
      <c r="B56" s="442"/>
    </row>
    <row r="58" spans="1:11">
      <c r="A58" s="443" t="s">
        <v>5</v>
      </c>
      <c r="B58" s="444">
        <v>2019</v>
      </c>
      <c r="C58" s="444">
        <v>2020</v>
      </c>
      <c r="D58" s="444">
        <v>2021</v>
      </c>
      <c r="E58" s="444">
        <v>2022</v>
      </c>
      <c r="G58" s="443" t="s">
        <v>5</v>
      </c>
      <c r="H58" s="444">
        <v>2019</v>
      </c>
      <c r="I58" s="444">
        <v>2020</v>
      </c>
      <c r="J58" s="444">
        <v>2021</v>
      </c>
      <c r="K58" s="444">
        <v>2022</v>
      </c>
    </row>
    <row r="59" spans="1:11">
      <c r="A59" s="442" t="s">
        <v>14</v>
      </c>
      <c r="B59" s="435">
        <v>960</v>
      </c>
      <c r="C59" s="435">
        <v>1030</v>
      </c>
      <c r="D59" s="435">
        <v>1200</v>
      </c>
      <c r="E59" s="435">
        <v>1205</v>
      </c>
      <c r="G59" s="442" t="s">
        <v>14</v>
      </c>
      <c r="H59" s="435">
        <v>157090</v>
      </c>
      <c r="I59" s="435">
        <v>156660</v>
      </c>
      <c r="J59" s="435">
        <v>154229</v>
      </c>
      <c r="K59" s="435">
        <v>150298</v>
      </c>
    </row>
    <row r="60" spans="1:11">
      <c r="A60" s="442" t="s">
        <v>15</v>
      </c>
      <c r="B60" s="435">
        <v>1155</v>
      </c>
      <c r="C60" s="435">
        <v>1135</v>
      </c>
      <c r="D60" s="435">
        <v>1240</v>
      </c>
      <c r="E60" s="435">
        <v>1265</v>
      </c>
      <c r="G60" s="442" t="s">
        <v>15</v>
      </c>
      <c r="H60" s="435">
        <v>161121</v>
      </c>
      <c r="I60" s="435">
        <v>160000</v>
      </c>
      <c r="J60" s="435">
        <v>160495</v>
      </c>
      <c r="K60" s="435">
        <v>159263</v>
      </c>
    </row>
    <row r="61" spans="1:11">
      <c r="A61" s="442" t="s">
        <v>16</v>
      </c>
      <c r="B61" s="435">
        <v>365</v>
      </c>
      <c r="C61" s="435">
        <v>330</v>
      </c>
      <c r="D61" s="435">
        <v>330</v>
      </c>
      <c r="E61" s="435">
        <v>400</v>
      </c>
      <c r="G61" s="442" t="s">
        <v>16</v>
      </c>
      <c r="H61" s="435">
        <v>69265</v>
      </c>
      <c r="I61" s="435">
        <v>68871</v>
      </c>
      <c r="J61" s="435">
        <v>69017</v>
      </c>
      <c r="K61" s="435">
        <v>67593</v>
      </c>
    </row>
    <row r="62" spans="1:11">
      <c r="A62" s="442" t="s">
        <v>17</v>
      </c>
      <c r="B62" s="435">
        <v>255</v>
      </c>
      <c r="C62" s="435">
        <v>210</v>
      </c>
      <c r="D62" s="435">
        <v>240</v>
      </c>
      <c r="E62" s="435">
        <v>280</v>
      </c>
      <c r="G62" s="442" t="s">
        <v>17</v>
      </c>
      <c r="H62" s="435">
        <v>50754</v>
      </c>
      <c r="I62" s="435">
        <v>50511</v>
      </c>
      <c r="J62" s="435">
        <v>51002</v>
      </c>
      <c r="K62" s="435">
        <v>51868</v>
      </c>
    </row>
    <row r="63" spans="1:11">
      <c r="A63" s="6" t="s">
        <v>189</v>
      </c>
      <c r="B63" s="435">
        <v>2055</v>
      </c>
      <c r="C63" s="435">
        <v>2520</v>
      </c>
      <c r="D63" s="435">
        <v>2480</v>
      </c>
      <c r="E63" s="435">
        <v>2250</v>
      </c>
      <c r="G63" s="6" t="s">
        <v>189</v>
      </c>
      <c r="H63" s="435">
        <v>366508</v>
      </c>
      <c r="I63" s="435">
        <v>368491</v>
      </c>
      <c r="J63" s="435">
        <v>366367</v>
      </c>
      <c r="K63" s="435">
        <v>357141</v>
      </c>
    </row>
    <row r="64" spans="1:11">
      <c r="A64" s="442" t="s">
        <v>18</v>
      </c>
      <c r="B64" s="435">
        <v>135</v>
      </c>
      <c r="C64" s="435">
        <v>125</v>
      </c>
      <c r="D64" s="435">
        <v>130</v>
      </c>
      <c r="E64" s="435">
        <v>135</v>
      </c>
      <c r="G64" s="442" t="s">
        <v>18</v>
      </c>
      <c r="H64" s="435">
        <v>32133</v>
      </c>
      <c r="I64" s="435">
        <v>31817</v>
      </c>
      <c r="J64" s="435">
        <v>31945</v>
      </c>
      <c r="K64" s="435">
        <v>32189</v>
      </c>
    </row>
    <row r="65" spans="1:11">
      <c r="A65" s="442" t="s">
        <v>19</v>
      </c>
      <c r="B65" s="435">
        <v>385</v>
      </c>
      <c r="C65" s="435">
        <v>335</v>
      </c>
      <c r="D65" s="435">
        <v>325</v>
      </c>
      <c r="E65" s="435">
        <v>365</v>
      </c>
      <c r="G65" s="442" t="s">
        <v>19</v>
      </c>
      <c r="H65" s="435">
        <v>87047</v>
      </c>
      <c r="I65" s="435">
        <v>86182</v>
      </c>
      <c r="J65" s="435">
        <v>86346</v>
      </c>
      <c r="K65" s="435">
        <v>83896</v>
      </c>
    </row>
    <row r="66" spans="1:11">
      <c r="A66" s="442" t="s">
        <v>20</v>
      </c>
      <c r="B66" s="435">
        <v>415</v>
      </c>
      <c r="C66" s="435">
        <v>365</v>
      </c>
      <c r="D66" s="435">
        <v>385</v>
      </c>
      <c r="E66" s="435">
        <v>490</v>
      </c>
      <c r="G66" s="442" t="s">
        <v>20</v>
      </c>
      <c r="H66" s="435">
        <v>99209</v>
      </c>
      <c r="I66" s="435">
        <v>98822</v>
      </c>
      <c r="J66" s="435">
        <v>97773</v>
      </c>
      <c r="K66" s="435">
        <v>97905</v>
      </c>
    </row>
    <row r="67" spans="1:11">
      <c r="A67" s="442" t="s">
        <v>21</v>
      </c>
      <c r="B67" s="435">
        <v>315</v>
      </c>
      <c r="C67" s="435">
        <v>355</v>
      </c>
      <c r="D67" s="435">
        <v>360</v>
      </c>
      <c r="E67" s="435">
        <v>360</v>
      </c>
      <c r="G67" s="442" t="s">
        <v>21</v>
      </c>
      <c r="H67" s="435">
        <v>76005</v>
      </c>
      <c r="I67" s="435">
        <v>75511</v>
      </c>
      <c r="J67" s="435">
        <v>75654</v>
      </c>
      <c r="K67" s="435">
        <v>74068</v>
      </c>
    </row>
    <row r="68" spans="1:11">
      <c r="A68" s="442" t="s">
        <v>22</v>
      </c>
      <c r="B68" s="435">
        <v>350</v>
      </c>
      <c r="C68" s="435">
        <v>365</v>
      </c>
      <c r="D68" s="435">
        <v>365</v>
      </c>
      <c r="E68" s="435">
        <v>380</v>
      </c>
      <c r="G68" s="442" t="s">
        <v>22</v>
      </c>
      <c r="H68" s="435">
        <v>64766</v>
      </c>
      <c r="I68" s="435">
        <v>64517</v>
      </c>
      <c r="J68" s="435">
        <v>64307</v>
      </c>
      <c r="K68" s="435">
        <v>63285</v>
      </c>
    </row>
    <row r="69" spans="1:11">
      <c r="A69" s="442" t="s">
        <v>23</v>
      </c>
      <c r="B69" s="435">
        <v>320</v>
      </c>
      <c r="C69" s="435">
        <v>335</v>
      </c>
      <c r="D69" s="435">
        <v>325</v>
      </c>
      <c r="E69" s="435">
        <v>360</v>
      </c>
      <c r="G69" s="442" t="s">
        <v>23</v>
      </c>
      <c r="H69" s="435">
        <v>65659</v>
      </c>
      <c r="I69" s="435">
        <v>66007</v>
      </c>
      <c r="J69" s="435">
        <v>66893</v>
      </c>
      <c r="K69" s="435">
        <v>68402</v>
      </c>
    </row>
    <row r="70" spans="1:11">
      <c r="A70" s="442" t="s">
        <v>24</v>
      </c>
      <c r="B70" s="435">
        <v>320</v>
      </c>
      <c r="C70" s="435">
        <v>290</v>
      </c>
      <c r="D70" s="435">
        <v>370</v>
      </c>
      <c r="E70" s="435">
        <v>355</v>
      </c>
      <c r="G70" s="442" t="s">
        <v>24</v>
      </c>
      <c r="H70" s="435">
        <v>56819</v>
      </c>
      <c r="I70" s="435">
        <v>56973</v>
      </c>
      <c r="J70" s="435">
        <v>57033</v>
      </c>
      <c r="K70" s="435">
        <v>56601</v>
      </c>
    </row>
    <row r="71" spans="1:11">
      <c r="A71" s="442" t="s">
        <v>25</v>
      </c>
      <c r="B71" s="435">
        <v>460</v>
      </c>
      <c r="C71" s="435">
        <v>480</v>
      </c>
      <c r="D71" s="435">
        <v>540</v>
      </c>
      <c r="E71" s="435">
        <v>445</v>
      </c>
      <c r="G71" s="442" t="s">
        <v>25</v>
      </c>
      <c r="H71" s="435">
        <v>102329</v>
      </c>
      <c r="I71" s="435">
        <v>102019</v>
      </c>
      <c r="J71" s="435">
        <v>102021</v>
      </c>
      <c r="K71" s="435">
        <v>100328</v>
      </c>
    </row>
    <row r="72" spans="1:11">
      <c r="A72" s="442" t="s">
        <v>26</v>
      </c>
      <c r="B72" s="435">
        <v>1325</v>
      </c>
      <c r="C72" s="435">
        <v>1150</v>
      </c>
      <c r="D72" s="435">
        <v>1525</v>
      </c>
      <c r="E72" s="435">
        <v>1135</v>
      </c>
      <c r="G72" s="442" t="s">
        <v>26</v>
      </c>
      <c r="H72" s="435">
        <v>231974</v>
      </c>
      <c r="I72" s="435">
        <v>231809</v>
      </c>
      <c r="J72" s="435">
        <v>231635</v>
      </c>
      <c r="K72" s="435">
        <v>229225</v>
      </c>
    </row>
    <row r="73" spans="1:11">
      <c r="A73" s="442" t="s">
        <v>27</v>
      </c>
      <c r="B73" s="435">
        <v>2455</v>
      </c>
      <c r="C73" s="435">
        <v>2355</v>
      </c>
      <c r="D73" s="435">
        <v>2520</v>
      </c>
      <c r="E73" s="435">
        <v>2700</v>
      </c>
      <c r="G73" s="442" t="s">
        <v>27</v>
      </c>
      <c r="H73" s="435">
        <v>447290</v>
      </c>
      <c r="I73" s="435">
        <v>449539</v>
      </c>
      <c r="J73" s="435">
        <v>448645</v>
      </c>
      <c r="K73" s="435">
        <v>439158</v>
      </c>
    </row>
    <row r="74" spans="1:11">
      <c r="A74" s="442" t="s">
        <v>28</v>
      </c>
      <c r="B74" s="435">
        <v>830</v>
      </c>
      <c r="C74" s="435">
        <v>745</v>
      </c>
      <c r="D74" s="435">
        <v>800</v>
      </c>
      <c r="E74" s="435">
        <v>895</v>
      </c>
      <c r="G74" s="442" t="s">
        <v>28</v>
      </c>
      <c r="H74" s="435">
        <v>143706</v>
      </c>
      <c r="I74" s="435">
        <v>142939</v>
      </c>
      <c r="J74" s="435">
        <v>144706</v>
      </c>
      <c r="K74" s="435">
        <v>142307</v>
      </c>
    </row>
    <row r="75" spans="1:11">
      <c r="A75" s="442" t="s">
        <v>29</v>
      </c>
      <c r="B75" s="435">
        <v>190</v>
      </c>
      <c r="C75" s="435">
        <v>205</v>
      </c>
      <c r="D75" s="435">
        <v>185</v>
      </c>
      <c r="E75" s="435">
        <v>210</v>
      </c>
      <c r="G75" s="442" t="s">
        <v>29</v>
      </c>
      <c r="H75" s="435">
        <v>48689</v>
      </c>
      <c r="I75" s="435">
        <v>48152</v>
      </c>
      <c r="J75" s="435">
        <v>47782</v>
      </c>
      <c r="K75" s="435">
        <v>48719</v>
      </c>
    </row>
    <row r="76" spans="1:11">
      <c r="A76" s="442" t="s">
        <v>30</v>
      </c>
      <c r="B76" s="435">
        <v>225</v>
      </c>
      <c r="C76" s="435">
        <v>280</v>
      </c>
      <c r="D76" s="435">
        <v>280</v>
      </c>
      <c r="E76" s="435">
        <v>295</v>
      </c>
      <c r="G76" s="442" t="s">
        <v>30</v>
      </c>
      <c r="H76" s="435">
        <v>57124</v>
      </c>
      <c r="I76" s="435">
        <v>57491</v>
      </c>
      <c r="J76" s="435">
        <v>58532</v>
      </c>
      <c r="K76" s="435">
        <v>60293</v>
      </c>
    </row>
    <row r="77" spans="1:11">
      <c r="A77" s="442" t="s">
        <v>31</v>
      </c>
      <c r="B77" s="435">
        <v>240</v>
      </c>
      <c r="C77" s="435">
        <v>255</v>
      </c>
      <c r="D77" s="435">
        <v>255</v>
      </c>
      <c r="E77" s="435">
        <v>265</v>
      </c>
      <c r="G77" s="442" t="s">
        <v>31</v>
      </c>
      <c r="H77" s="435">
        <v>58959</v>
      </c>
      <c r="I77" s="435">
        <v>58602</v>
      </c>
      <c r="J77" s="435">
        <v>58935</v>
      </c>
      <c r="K77" s="435">
        <v>57099</v>
      </c>
    </row>
    <row r="78" spans="1:11">
      <c r="A78" s="442" t="s">
        <v>32</v>
      </c>
      <c r="B78" s="435">
        <v>75</v>
      </c>
      <c r="C78" s="435">
        <v>55</v>
      </c>
      <c r="D78" s="435">
        <v>45</v>
      </c>
      <c r="E78" s="435">
        <v>75</v>
      </c>
      <c r="G78" s="442" t="s">
        <v>32</v>
      </c>
      <c r="H78" s="435">
        <v>15571</v>
      </c>
      <c r="I78" s="435">
        <v>15392</v>
      </c>
      <c r="J78" s="435">
        <v>15508</v>
      </c>
      <c r="K78" s="435">
        <v>15176</v>
      </c>
    </row>
    <row r="79" spans="1:11">
      <c r="A79" s="442" t="s">
        <v>33</v>
      </c>
      <c r="B79" s="435">
        <v>375</v>
      </c>
      <c r="C79" s="435">
        <v>350</v>
      </c>
      <c r="D79" s="435">
        <v>450</v>
      </c>
      <c r="E79" s="435">
        <v>425</v>
      </c>
      <c r="G79" s="442" t="s">
        <v>33</v>
      </c>
      <c r="H79" s="435">
        <v>81740</v>
      </c>
      <c r="I79" s="435">
        <v>81123</v>
      </c>
      <c r="J79" s="435">
        <v>81035</v>
      </c>
      <c r="K79" s="435">
        <v>80452</v>
      </c>
    </row>
    <row r="80" spans="1:11">
      <c r="A80" s="442" t="s">
        <v>34</v>
      </c>
      <c r="B80" s="435">
        <v>975</v>
      </c>
      <c r="C80" s="435">
        <v>970</v>
      </c>
      <c r="D80" s="435">
        <v>1075</v>
      </c>
      <c r="E80" s="435">
        <v>1115</v>
      </c>
      <c r="G80" s="442" t="s">
        <v>34</v>
      </c>
      <c r="H80" s="435">
        <v>219435</v>
      </c>
      <c r="I80" s="435">
        <v>219051</v>
      </c>
      <c r="J80" s="435">
        <v>219178</v>
      </c>
      <c r="K80" s="435">
        <v>219482</v>
      </c>
    </row>
    <row r="81" spans="1:11">
      <c r="A81" s="442" t="s">
        <v>35</v>
      </c>
      <c r="B81" s="435">
        <v>65</v>
      </c>
      <c r="C81" s="435">
        <v>65</v>
      </c>
      <c r="D81" s="435">
        <v>50</v>
      </c>
      <c r="E81" s="435">
        <v>45</v>
      </c>
      <c r="G81" s="442" t="s">
        <v>35</v>
      </c>
      <c r="H81" s="435">
        <v>13382</v>
      </c>
      <c r="I81" s="435">
        <v>13386</v>
      </c>
      <c r="J81" s="435">
        <v>13447</v>
      </c>
      <c r="K81" s="435">
        <v>13020</v>
      </c>
    </row>
    <row r="82" spans="1:11">
      <c r="A82" s="442" t="s">
        <v>36</v>
      </c>
      <c r="B82" s="435">
        <v>465</v>
      </c>
      <c r="C82" s="435">
        <v>435</v>
      </c>
      <c r="D82" s="435">
        <v>485</v>
      </c>
      <c r="E82" s="435">
        <v>510</v>
      </c>
      <c r="G82" s="442" t="s">
        <v>36</v>
      </c>
      <c r="H82" s="435">
        <v>91695</v>
      </c>
      <c r="I82" s="435">
        <v>91349</v>
      </c>
      <c r="J82" s="435">
        <v>92594</v>
      </c>
      <c r="K82" s="435">
        <v>89720</v>
      </c>
    </row>
    <row r="83" spans="1:11">
      <c r="A83" s="442" t="s">
        <v>37</v>
      </c>
      <c r="B83" s="435">
        <v>575</v>
      </c>
      <c r="C83" s="435">
        <v>570</v>
      </c>
      <c r="D83" s="435">
        <v>580</v>
      </c>
      <c r="E83" s="435">
        <v>595</v>
      </c>
      <c r="G83" s="442" t="s">
        <v>37</v>
      </c>
      <c r="H83" s="435">
        <v>114946</v>
      </c>
      <c r="I83" s="435">
        <v>115055</v>
      </c>
      <c r="J83" s="435">
        <v>115571</v>
      </c>
      <c r="K83" s="435">
        <v>118453</v>
      </c>
    </row>
    <row r="84" spans="1:11">
      <c r="A84" s="442" t="s">
        <v>38</v>
      </c>
      <c r="B84" s="435">
        <v>355</v>
      </c>
      <c r="C84" s="435">
        <v>320</v>
      </c>
      <c r="D84" s="435">
        <v>300</v>
      </c>
      <c r="E84" s="435">
        <v>355</v>
      </c>
      <c r="G84" s="442" t="s">
        <v>38</v>
      </c>
      <c r="H84" s="435">
        <v>67871</v>
      </c>
      <c r="I84" s="435">
        <v>67332</v>
      </c>
      <c r="J84" s="435">
        <v>67642</v>
      </c>
      <c r="K84" s="435">
        <v>67800</v>
      </c>
    </row>
    <row r="85" spans="1:11">
      <c r="A85" s="442" t="s">
        <v>39</v>
      </c>
      <c r="B85" s="435">
        <v>75</v>
      </c>
      <c r="C85" s="435">
        <v>60</v>
      </c>
      <c r="D85" s="435">
        <v>45</v>
      </c>
      <c r="E85" s="435">
        <v>65</v>
      </c>
      <c r="G85" s="442" t="s">
        <v>39</v>
      </c>
      <c r="H85" s="435">
        <v>14036</v>
      </c>
      <c r="I85" s="435">
        <v>13905</v>
      </c>
      <c r="J85" s="435">
        <v>13912</v>
      </c>
      <c r="K85" s="435">
        <v>13827</v>
      </c>
    </row>
    <row r="86" spans="1:11">
      <c r="A86" s="442" t="s">
        <v>40</v>
      </c>
      <c r="B86" s="435">
        <v>400</v>
      </c>
      <c r="C86" s="435">
        <v>325</v>
      </c>
      <c r="D86" s="435">
        <v>350</v>
      </c>
      <c r="E86" s="435">
        <v>335</v>
      </c>
      <c r="G86" s="442" t="s">
        <v>40</v>
      </c>
      <c r="H86" s="435">
        <v>66258</v>
      </c>
      <c r="I86" s="435">
        <v>65767</v>
      </c>
      <c r="J86" s="435">
        <v>65844</v>
      </c>
      <c r="K86" s="435">
        <v>64930</v>
      </c>
    </row>
    <row r="87" spans="1:11">
      <c r="A87" s="442" t="s">
        <v>41</v>
      </c>
      <c r="B87" s="435">
        <v>1055</v>
      </c>
      <c r="C87" s="435">
        <v>1040</v>
      </c>
      <c r="D87" s="435">
        <v>1125</v>
      </c>
      <c r="E87" s="435">
        <v>1100</v>
      </c>
      <c r="G87" s="442" t="s">
        <v>41</v>
      </c>
      <c r="H87" s="435">
        <v>202175</v>
      </c>
      <c r="I87" s="435">
        <v>201790</v>
      </c>
      <c r="J87" s="435">
        <v>202430</v>
      </c>
      <c r="K87" s="435">
        <v>205490</v>
      </c>
    </row>
    <row r="88" spans="1:11">
      <c r="A88" s="442" t="s">
        <v>42</v>
      </c>
      <c r="B88" s="435">
        <v>345</v>
      </c>
      <c r="C88" s="435">
        <v>355</v>
      </c>
      <c r="D88" s="435">
        <v>360</v>
      </c>
      <c r="E88" s="435">
        <v>360</v>
      </c>
      <c r="G88" s="442" t="s">
        <v>42</v>
      </c>
      <c r="H88" s="435">
        <v>60529</v>
      </c>
      <c r="I88" s="435">
        <v>60411</v>
      </c>
      <c r="J88" s="435">
        <v>59731</v>
      </c>
      <c r="K88" s="435">
        <v>58746</v>
      </c>
    </row>
    <row r="89" spans="1:11">
      <c r="A89" s="442" t="s">
        <v>43</v>
      </c>
      <c r="B89" s="435">
        <v>220</v>
      </c>
      <c r="C89" s="435">
        <v>255</v>
      </c>
      <c r="D89" s="435">
        <v>335</v>
      </c>
      <c r="E89" s="435">
        <v>225</v>
      </c>
      <c r="G89" s="442" t="s">
        <v>43</v>
      </c>
      <c r="H89" s="435">
        <v>56552</v>
      </c>
      <c r="I89" s="435">
        <v>55988</v>
      </c>
      <c r="J89" s="435">
        <v>55414</v>
      </c>
      <c r="K89" s="435">
        <v>55508</v>
      </c>
    </row>
    <row r="90" spans="1:11">
      <c r="A90" s="442" t="s">
        <v>44</v>
      </c>
      <c r="B90" s="435">
        <v>575</v>
      </c>
      <c r="C90" s="435">
        <v>605</v>
      </c>
      <c r="D90" s="435">
        <v>680</v>
      </c>
      <c r="E90" s="435">
        <v>645</v>
      </c>
      <c r="G90" s="442" t="s">
        <v>44</v>
      </c>
      <c r="H90" s="435">
        <v>117121</v>
      </c>
      <c r="I90" s="435">
        <v>117675</v>
      </c>
      <c r="J90" s="435">
        <v>118894</v>
      </c>
      <c r="K90" s="435">
        <v>116171</v>
      </c>
    </row>
    <row r="91" spans="1:11">
      <c r="A91" s="442" t="s">
        <v>45</v>
      </c>
      <c r="B91" s="435">
        <v>18310</v>
      </c>
      <c r="C91" s="435">
        <v>18270</v>
      </c>
      <c r="D91" s="435">
        <v>19735</v>
      </c>
      <c r="E91" s="435">
        <v>19640</v>
      </c>
      <c r="G91" s="442" t="s">
        <v>45</v>
      </c>
      <c r="H91" s="435">
        <v>3497758</v>
      </c>
      <c r="I91" s="435">
        <v>3493137</v>
      </c>
      <c r="J91" s="435">
        <v>3494517</v>
      </c>
      <c r="K91" s="435">
        <v>3458413</v>
      </c>
    </row>
    <row r="92" spans="1:11">
      <c r="A92" s="442" t="s">
        <v>46</v>
      </c>
      <c r="B92" s="435">
        <v>303495</v>
      </c>
      <c r="C92" s="435">
        <v>300475</v>
      </c>
      <c r="D92" s="435">
        <v>328360</v>
      </c>
      <c r="E92" s="435">
        <v>345490</v>
      </c>
      <c r="G92" s="442" t="s">
        <v>46</v>
      </c>
      <c r="H92" s="435">
        <v>41724010</v>
      </c>
      <c r="I92" s="435">
        <v>41845027</v>
      </c>
      <c r="J92" s="435">
        <v>42174676</v>
      </c>
      <c r="K92" s="435">
        <v>42174676</v>
      </c>
    </row>
    <row r="93" spans="1:11">
      <c r="A93" s="442" t="s">
        <v>47</v>
      </c>
      <c r="B93" s="445">
        <f>SUM(B89+B87+B83+B80+B75+B73+B70+B68)</f>
        <v>6140</v>
      </c>
      <c r="C93" s="445">
        <f t="shared" ref="C93:E93" si="35">SUM(C89+C87+C83+C80+C75+C73+C70+C68)</f>
        <v>6050</v>
      </c>
      <c r="D93" s="445">
        <f t="shared" si="35"/>
        <v>6555</v>
      </c>
      <c r="E93" s="445">
        <f t="shared" si="35"/>
        <v>6680</v>
      </c>
      <c r="G93" s="442" t="s">
        <v>47</v>
      </c>
      <c r="H93" s="435">
        <f t="shared" ref="H93:J93" si="36">SUM(H89,H87,H83,H80,H75,H73,H70,H68)</f>
        <v>1210672</v>
      </c>
      <c r="I93" s="435">
        <f t="shared" si="36"/>
        <v>1211065</v>
      </c>
      <c r="J93" s="435">
        <f t="shared" si="36"/>
        <v>1210360</v>
      </c>
      <c r="K93" s="435">
        <v>1206696</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autoPageBreaks="0"/>
  </sheetPr>
  <dimension ref="A1:R93"/>
  <sheetViews>
    <sheetView topLeftCell="E4" zoomScale="90" zoomScaleNormal="90" workbookViewId="0">
      <selection activeCell="K10" sqref="K10"/>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440" t="s">
        <v>717</v>
      </c>
      <c r="B1" s="1"/>
      <c r="C1" s="1"/>
    </row>
    <row r="2" spans="1:16">
      <c r="A2" s="441"/>
      <c r="B2" s="2"/>
      <c r="C2" s="2"/>
    </row>
    <row r="4" spans="1:16">
      <c r="A4" s="6"/>
      <c r="B4" s="6"/>
      <c r="C4" s="6"/>
      <c r="E4" s="6"/>
      <c r="F4" s="6"/>
      <c r="G4" s="6"/>
    </row>
    <row r="5" spans="1:16">
      <c r="A5" s="6"/>
      <c r="B5" s="6"/>
      <c r="C5" s="6"/>
      <c r="E5" s="6"/>
      <c r="F5" s="6"/>
      <c r="G5" s="6"/>
    </row>
    <row r="6" spans="1:16">
      <c r="A6" s="6"/>
      <c r="B6" s="6"/>
      <c r="C6" s="6"/>
      <c r="E6" s="6"/>
      <c r="F6" s="6"/>
      <c r="G6" s="6"/>
    </row>
    <row r="8" spans="1:16" ht="22" customHeight="1">
      <c r="A8" s="12" t="s">
        <v>5</v>
      </c>
      <c r="B8" s="12"/>
      <c r="C8" s="12">
        <v>2016</v>
      </c>
      <c r="D8" s="65"/>
      <c r="E8" s="65"/>
      <c r="F8" s="65"/>
      <c r="G8" s="12">
        <v>2017</v>
      </c>
      <c r="H8" s="65"/>
      <c r="I8" s="65"/>
      <c r="J8" s="65"/>
      <c r="K8" s="12">
        <v>2018</v>
      </c>
      <c r="L8" s="65"/>
      <c r="M8" s="65"/>
      <c r="N8" s="65"/>
      <c r="O8" s="12">
        <v>2019</v>
      </c>
      <c r="P8" s="65"/>
    </row>
    <row r="9" spans="1:16">
      <c r="A9" s="6" t="s">
        <v>14</v>
      </c>
      <c r="B9" s="411">
        <f>INDEX($B$59:$E$93,MATCH($A9,$A$59:$A$93,0),MATCH(C$8,$B$58:$E$58,0))</f>
        <v>630</v>
      </c>
      <c r="C9" s="411">
        <f>INDEX($I$59:$L$93,MATCH($A9,$H$59:$H$93,0),MATCH(C$8,$I$58:$L$58,0))</f>
        <v>1100</v>
      </c>
      <c r="D9" s="388">
        <f>SUM(B9/C9)*100</f>
        <v>57.272727272727273</v>
      </c>
      <c r="E9" s="9"/>
      <c r="F9" s="411">
        <f>INDEX($B$59:$E$93,MATCH($A9,$A$59:$A$93,0),MATCH(G$8,$B$58:$E$58,0))</f>
        <v>655</v>
      </c>
      <c r="G9" s="411">
        <f>INDEX($I$59:$L$93,MATCH($A9,$H$59:$H$93,0),MATCH(G$8,$I$58:$L$58,0))</f>
        <v>1070</v>
      </c>
      <c r="H9" s="388">
        <f>SUM(F9/G9)*100</f>
        <v>61.214953271028037</v>
      </c>
      <c r="I9" s="9"/>
      <c r="J9" s="411">
        <f>INDEX($B$59:$E$93,MATCH($A9,$A$59:$A$93,0),MATCH(K$8,$B$58:$E$58,0))</f>
        <v>640</v>
      </c>
      <c r="K9" s="411">
        <f>INDEX($I$59:$L$93,MATCH($A9,$H$59:$H$93,0),MATCH(K$8,$I$58:$L$58,0))</f>
        <v>1070</v>
      </c>
      <c r="L9" s="388">
        <f>SUM(J9/K9)*100</f>
        <v>59.813084112149525</v>
      </c>
      <c r="M9" s="9"/>
      <c r="N9" s="411">
        <f>INDEX($B$59:$E$93,MATCH($A9,$A$59:$A$93,0),MATCH(O$8,$B$58:$E$58,0))</f>
        <v>645</v>
      </c>
      <c r="O9" s="411">
        <f>INDEX($I$59:$L$93,MATCH($A9,$H$59:$H$93,0),MATCH(O$8,$I$58:$L$58,0))</f>
        <v>1065</v>
      </c>
      <c r="P9" s="388">
        <f>SUM(N9/O9)*100</f>
        <v>60.563380281690137</v>
      </c>
    </row>
    <row r="10" spans="1:16">
      <c r="A10" s="6" t="s">
        <v>15</v>
      </c>
      <c r="B10" s="411">
        <f t="shared" ref="B10:B43" si="0">INDEX($B$59:$E$93,MATCH($A10,$A$59:$A$93,0),MATCH(C$8,$B$58:$E$58,0))</f>
        <v>785</v>
      </c>
      <c r="C10" s="411">
        <f t="shared" ref="C10:C43" si="1">INDEX($I$59:$L$93,MATCH($A10,$H$59:$H$93,0),MATCH(C$8,$I$58:$L$58,0))</f>
        <v>1185</v>
      </c>
      <c r="D10" s="388">
        <f t="shared" ref="D10:D48" si="2">SUM(B10/C10)*100</f>
        <v>66.244725738396625</v>
      </c>
      <c r="E10" s="9"/>
      <c r="F10" s="411">
        <f t="shared" ref="F10:F43" si="3">INDEX($B$59:$E$93,MATCH($A10,$A$59:$A$93,0),MATCH(G$8,$B$58:$E$58,0))</f>
        <v>695</v>
      </c>
      <c r="G10" s="411">
        <f t="shared" ref="G10:G43" si="4">INDEX($I$59:$L$93,MATCH($A10,$H$59:$H$93,0),MATCH(G$8,$I$58:$L$58,0))</f>
        <v>1095</v>
      </c>
      <c r="H10" s="388">
        <f t="shared" ref="H10:H40" si="5">SUM(F10/G10)*100</f>
        <v>63.470319634703202</v>
      </c>
      <c r="I10" s="9"/>
      <c r="J10" s="411">
        <f t="shared" ref="J10:J43" si="6">INDEX($B$59:$E$93,MATCH($A10,$A$59:$A$93,0),MATCH(K$8,$B$58:$E$58,0))</f>
        <v>675</v>
      </c>
      <c r="K10" s="411">
        <f t="shared" ref="K10:K43" si="7">INDEX($I$59:$L$93,MATCH($A10,$H$59:$H$93,0),MATCH(K$8,$I$58:$L$58,0))</f>
        <v>1080</v>
      </c>
      <c r="L10" s="388">
        <f t="shared" ref="L10:L40" si="8">SUM(J10/K10)*100</f>
        <v>62.5</v>
      </c>
      <c r="M10" s="9"/>
      <c r="N10" s="411">
        <f t="shared" ref="N10:N43" si="9">INDEX($B$59:$E$93,MATCH($A10,$A$59:$A$93,0),MATCH(O$8,$B$58:$E$58,0))</f>
        <v>660</v>
      </c>
      <c r="O10" s="411">
        <f t="shared" ref="O10:O43" si="10">INDEX($I$59:$L$93,MATCH($A10,$H$59:$H$93,0),MATCH(O$8,$I$58:$L$58,0))</f>
        <v>1105</v>
      </c>
      <c r="P10" s="388">
        <f t="shared" ref="P10:P40" si="11">SUM(N10/O10)*100</f>
        <v>59.728506787330318</v>
      </c>
    </row>
    <row r="11" spans="1:16">
      <c r="A11" s="6" t="s">
        <v>16</v>
      </c>
      <c r="B11" s="411">
        <f t="shared" si="0"/>
        <v>230</v>
      </c>
      <c r="C11" s="411">
        <f t="shared" si="1"/>
        <v>380</v>
      </c>
      <c r="D11" s="388">
        <f t="shared" si="2"/>
        <v>60.526315789473685</v>
      </c>
      <c r="E11" s="9"/>
      <c r="F11" s="411">
        <f t="shared" si="3"/>
        <v>220</v>
      </c>
      <c r="G11" s="411">
        <f t="shared" si="4"/>
        <v>365</v>
      </c>
      <c r="H11" s="388">
        <f t="shared" si="5"/>
        <v>60.273972602739725</v>
      </c>
      <c r="I11" s="9"/>
      <c r="J11" s="411">
        <f t="shared" si="6"/>
        <v>210</v>
      </c>
      <c r="K11" s="411">
        <f t="shared" si="7"/>
        <v>355</v>
      </c>
      <c r="L11" s="388">
        <f t="shared" si="8"/>
        <v>59.154929577464785</v>
      </c>
      <c r="M11" s="9"/>
      <c r="N11" s="411">
        <f t="shared" si="9"/>
        <v>230</v>
      </c>
      <c r="O11" s="411">
        <f t="shared" si="10"/>
        <v>350</v>
      </c>
      <c r="P11" s="388">
        <f t="shared" si="11"/>
        <v>65.714285714285708</v>
      </c>
    </row>
    <row r="12" spans="1:16">
      <c r="A12" s="6" t="s">
        <v>17</v>
      </c>
      <c r="B12" s="411">
        <f t="shared" si="0"/>
        <v>185</v>
      </c>
      <c r="C12" s="411">
        <f t="shared" si="1"/>
        <v>305</v>
      </c>
      <c r="D12" s="388">
        <f t="shared" si="2"/>
        <v>60.655737704918032</v>
      </c>
      <c r="E12" s="9"/>
      <c r="F12" s="411">
        <f t="shared" si="3"/>
        <v>165</v>
      </c>
      <c r="G12" s="411">
        <f t="shared" si="4"/>
        <v>260</v>
      </c>
      <c r="H12" s="388">
        <f t="shared" si="5"/>
        <v>63.46153846153846</v>
      </c>
      <c r="I12" s="9"/>
      <c r="J12" s="411">
        <f t="shared" si="6"/>
        <v>180</v>
      </c>
      <c r="K12" s="411">
        <f t="shared" si="7"/>
        <v>270</v>
      </c>
      <c r="L12" s="388">
        <f t="shared" si="8"/>
        <v>66.666666666666657</v>
      </c>
      <c r="M12" s="9"/>
      <c r="N12" s="411">
        <f t="shared" si="9"/>
        <v>160</v>
      </c>
      <c r="O12" s="411">
        <f t="shared" si="10"/>
        <v>265</v>
      </c>
      <c r="P12" s="388">
        <f t="shared" si="11"/>
        <v>60.377358490566039</v>
      </c>
    </row>
    <row r="13" spans="1:16">
      <c r="A13" s="6" t="s">
        <v>189</v>
      </c>
      <c r="B13" s="411">
        <f t="shared" si="0"/>
        <v>1625</v>
      </c>
      <c r="C13" s="411">
        <f t="shared" si="1"/>
        <v>2695</v>
      </c>
      <c r="D13" s="388">
        <f t="shared" si="2"/>
        <v>60.29684601113172</v>
      </c>
      <c r="E13" s="9"/>
      <c r="F13" s="411">
        <f t="shared" si="3"/>
        <v>1445</v>
      </c>
      <c r="G13" s="411">
        <f t="shared" si="4"/>
        <v>2405</v>
      </c>
      <c r="H13" s="388">
        <f t="shared" si="5"/>
        <v>60.083160083160081</v>
      </c>
      <c r="I13" s="9"/>
      <c r="J13" s="411">
        <f t="shared" si="6"/>
        <v>1495</v>
      </c>
      <c r="K13" s="411">
        <f t="shared" si="7"/>
        <v>2550</v>
      </c>
      <c r="L13" s="388">
        <f t="shared" si="8"/>
        <v>58.627450980392162</v>
      </c>
      <c r="M13" s="9"/>
      <c r="N13" s="411">
        <f t="shared" si="9"/>
        <v>1495</v>
      </c>
      <c r="O13" s="411">
        <f t="shared" si="10"/>
        <v>2590</v>
      </c>
      <c r="P13" s="388">
        <f t="shared" si="11"/>
        <v>57.722007722007717</v>
      </c>
    </row>
    <row r="14" spans="1:16">
      <c r="A14" s="6" t="s">
        <v>18</v>
      </c>
      <c r="B14" s="411">
        <f t="shared" si="0"/>
        <v>70</v>
      </c>
      <c r="C14" s="411">
        <f t="shared" si="1"/>
        <v>135</v>
      </c>
      <c r="D14" s="388">
        <f t="shared" si="2"/>
        <v>51.851851851851848</v>
      </c>
      <c r="E14" s="9"/>
      <c r="F14" s="411">
        <f t="shared" si="3"/>
        <v>75</v>
      </c>
      <c r="G14" s="411">
        <f t="shared" si="4"/>
        <v>140</v>
      </c>
      <c r="H14" s="388">
        <f t="shared" si="5"/>
        <v>53.571428571428569</v>
      </c>
      <c r="I14" s="9"/>
      <c r="J14" s="411">
        <f t="shared" si="6"/>
        <v>80</v>
      </c>
      <c r="K14" s="411">
        <f t="shared" si="7"/>
        <v>130</v>
      </c>
      <c r="L14" s="388">
        <f t="shared" si="8"/>
        <v>61.53846153846154</v>
      </c>
      <c r="M14" s="9"/>
      <c r="N14" s="411">
        <f t="shared" si="9"/>
        <v>70</v>
      </c>
      <c r="O14" s="411">
        <f t="shared" si="10"/>
        <v>135</v>
      </c>
      <c r="P14" s="388">
        <f t="shared" si="11"/>
        <v>51.851851851851848</v>
      </c>
    </row>
    <row r="15" spans="1:16">
      <c r="A15" s="6" t="s">
        <v>19</v>
      </c>
      <c r="B15" s="411">
        <f t="shared" si="0"/>
        <v>250</v>
      </c>
      <c r="C15" s="411">
        <f t="shared" si="1"/>
        <v>380</v>
      </c>
      <c r="D15" s="388">
        <f t="shared" si="2"/>
        <v>65.789473684210535</v>
      </c>
      <c r="E15" s="9"/>
      <c r="F15" s="411">
        <f t="shared" si="3"/>
        <v>210</v>
      </c>
      <c r="G15" s="411">
        <f t="shared" si="4"/>
        <v>340</v>
      </c>
      <c r="H15" s="388">
        <f t="shared" si="5"/>
        <v>61.764705882352942</v>
      </c>
      <c r="I15" s="9"/>
      <c r="J15" s="411">
        <f t="shared" si="6"/>
        <v>250</v>
      </c>
      <c r="K15" s="411">
        <f t="shared" si="7"/>
        <v>385</v>
      </c>
      <c r="L15" s="388">
        <f t="shared" si="8"/>
        <v>64.935064935064929</v>
      </c>
      <c r="M15" s="9"/>
      <c r="N15" s="411">
        <f t="shared" si="9"/>
        <v>225</v>
      </c>
      <c r="O15" s="411">
        <f t="shared" si="10"/>
        <v>365</v>
      </c>
      <c r="P15" s="388">
        <f t="shared" si="11"/>
        <v>61.643835616438359</v>
      </c>
    </row>
    <row r="16" spans="1:16">
      <c r="A16" s="6" t="s">
        <v>20</v>
      </c>
      <c r="B16" s="411">
        <f t="shared" si="0"/>
        <v>250</v>
      </c>
      <c r="C16" s="411">
        <f t="shared" si="1"/>
        <v>485</v>
      </c>
      <c r="D16" s="388">
        <f t="shared" si="2"/>
        <v>51.546391752577314</v>
      </c>
      <c r="E16" s="9"/>
      <c r="F16" s="411">
        <f t="shared" si="3"/>
        <v>240</v>
      </c>
      <c r="G16" s="411">
        <f t="shared" si="4"/>
        <v>440</v>
      </c>
      <c r="H16" s="388">
        <f t="shared" si="5"/>
        <v>54.54545454545454</v>
      </c>
      <c r="I16" s="9"/>
      <c r="J16" s="411">
        <f t="shared" si="6"/>
        <v>290</v>
      </c>
      <c r="K16" s="411">
        <f t="shared" si="7"/>
        <v>480</v>
      </c>
      <c r="L16" s="388">
        <f t="shared" si="8"/>
        <v>60.416666666666664</v>
      </c>
      <c r="M16" s="9"/>
      <c r="N16" s="411">
        <f t="shared" si="9"/>
        <v>270</v>
      </c>
      <c r="O16" s="411">
        <f t="shared" si="10"/>
        <v>480</v>
      </c>
      <c r="P16" s="388">
        <f t="shared" si="11"/>
        <v>56.25</v>
      </c>
    </row>
    <row r="17" spans="1:18">
      <c r="A17" s="6" t="s">
        <v>21</v>
      </c>
      <c r="B17" s="411">
        <f t="shared" si="0"/>
        <v>200</v>
      </c>
      <c r="C17" s="411">
        <f t="shared" si="1"/>
        <v>395</v>
      </c>
      <c r="D17" s="388">
        <f t="shared" si="2"/>
        <v>50.632911392405063</v>
      </c>
      <c r="E17" s="9"/>
      <c r="F17" s="411">
        <f t="shared" si="3"/>
        <v>245</v>
      </c>
      <c r="G17" s="411">
        <f t="shared" si="4"/>
        <v>415</v>
      </c>
      <c r="H17" s="388">
        <f t="shared" si="5"/>
        <v>59.036144578313255</v>
      </c>
      <c r="I17" s="9"/>
      <c r="J17" s="411">
        <f t="shared" si="6"/>
        <v>205</v>
      </c>
      <c r="K17" s="411">
        <f t="shared" si="7"/>
        <v>345</v>
      </c>
      <c r="L17" s="388">
        <f t="shared" si="8"/>
        <v>59.420289855072461</v>
      </c>
      <c r="M17" s="9"/>
      <c r="N17" s="411">
        <f t="shared" si="9"/>
        <v>210</v>
      </c>
      <c r="O17" s="411">
        <f t="shared" si="10"/>
        <v>370</v>
      </c>
      <c r="P17" s="388">
        <f t="shared" si="11"/>
        <v>56.756756756756758</v>
      </c>
    </row>
    <row r="18" spans="1:18">
      <c r="A18" s="6" t="s">
        <v>22</v>
      </c>
      <c r="B18" s="411">
        <f t="shared" si="0"/>
        <v>235</v>
      </c>
      <c r="C18" s="411">
        <f t="shared" si="1"/>
        <v>380</v>
      </c>
      <c r="D18" s="388">
        <f t="shared" si="2"/>
        <v>61.842105263157897</v>
      </c>
      <c r="E18" s="9"/>
      <c r="F18" s="411">
        <f t="shared" si="3"/>
        <v>220</v>
      </c>
      <c r="G18" s="411">
        <f t="shared" si="4"/>
        <v>365</v>
      </c>
      <c r="H18" s="388">
        <f t="shared" si="5"/>
        <v>60.273972602739725</v>
      </c>
      <c r="I18" s="9"/>
      <c r="J18" s="411">
        <f t="shared" si="6"/>
        <v>215</v>
      </c>
      <c r="K18" s="411">
        <f t="shared" si="7"/>
        <v>355</v>
      </c>
      <c r="L18" s="388">
        <f t="shared" si="8"/>
        <v>60.563380281690137</v>
      </c>
      <c r="M18" s="9"/>
      <c r="N18" s="411">
        <f t="shared" si="9"/>
        <v>185</v>
      </c>
      <c r="O18" s="411">
        <f t="shared" si="10"/>
        <v>325</v>
      </c>
      <c r="P18" s="388">
        <f t="shared" si="11"/>
        <v>56.92307692307692</v>
      </c>
    </row>
    <row r="19" spans="1:18">
      <c r="A19" s="6" t="s">
        <v>23</v>
      </c>
      <c r="B19" s="411">
        <f t="shared" si="0"/>
        <v>210</v>
      </c>
      <c r="C19" s="411">
        <f t="shared" si="1"/>
        <v>340</v>
      </c>
      <c r="D19" s="388">
        <f t="shared" si="2"/>
        <v>61.764705882352942</v>
      </c>
      <c r="E19" s="9"/>
      <c r="F19" s="411">
        <f t="shared" si="3"/>
        <v>225</v>
      </c>
      <c r="G19" s="411">
        <f t="shared" si="4"/>
        <v>355</v>
      </c>
      <c r="H19" s="388">
        <f t="shared" si="5"/>
        <v>63.380281690140848</v>
      </c>
      <c r="I19" s="9"/>
      <c r="J19" s="411">
        <f t="shared" si="6"/>
        <v>210</v>
      </c>
      <c r="K19" s="411">
        <f t="shared" si="7"/>
        <v>335</v>
      </c>
      <c r="L19" s="388">
        <f t="shared" si="8"/>
        <v>62.68656716417911</v>
      </c>
      <c r="M19" s="9"/>
      <c r="N19" s="411">
        <f t="shared" si="9"/>
        <v>210</v>
      </c>
      <c r="O19" s="411">
        <f t="shared" si="10"/>
        <v>355</v>
      </c>
      <c r="P19" s="388">
        <f t="shared" si="11"/>
        <v>59.154929577464785</v>
      </c>
    </row>
    <row r="20" spans="1:18">
      <c r="A20" s="6" t="s">
        <v>24</v>
      </c>
      <c r="B20" s="411">
        <f t="shared" si="0"/>
        <v>195</v>
      </c>
      <c r="C20" s="411">
        <f t="shared" si="1"/>
        <v>365</v>
      </c>
      <c r="D20" s="388">
        <f t="shared" si="2"/>
        <v>53.424657534246577</v>
      </c>
      <c r="E20" s="9"/>
      <c r="F20" s="411">
        <f t="shared" si="3"/>
        <v>190</v>
      </c>
      <c r="G20" s="411">
        <f t="shared" si="4"/>
        <v>320</v>
      </c>
      <c r="H20" s="388">
        <f t="shared" si="5"/>
        <v>59.375</v>
      </c>
      <c r="I20" s="9"/>
      <c r="J20" s="411">
        <f t="shared" si="6"/>
        <v>205</v>
      </c>
      <c r="K20" s="411">
        <f t="shared" si="7"/>
        <v>345</v>
      </c>
      <c r="L20" s="388">
        <f t="shared" si="8"/>
        <v>59.420289855072461</v>
      </c>
      <c r="M20" s="9"/>
      <c r="N20" s="411">
        <f t="shared" si="9"/>
        <v>205</v>
      </c>
      <c r="O20" s="411">
        <f t="shared" si="10"/>
        <v>335</v>
      </c>
      <c r="P20" s="388">
        <f t="shared" si="11"/>
        <v>61.194029850746269</v>
      </c>
      <c r="R20" s="428"/>
    </row>
    <row r="21" spans="1:18">
      <c r="A21" s="6" t="s">
        <v>25</v>
      </c>
      <c r="B21" s="411">
        <f t="shared" si="0"/>
        <v>285</v>
      </c>
      <c r="C21" s="411">
        <f t="shared" si="1"/>
        <v>515</v>
      </c>
      <c r="D21" s="388">
        <f t="shared" si="2"/>
        <v>55.339805825242713</v>
      </c>
      <c r="E21" s="9"/>
      <c r="F21" s="411">
        <f t="shared" si="3"/>
        <v>260</v>
      </c>
      <c r="G21" s="411">
        <f t="shared" si="4"/>
        <v>475</v>
      </c>
      <c r="H21" s="388">
        <f t="shared" si="5"/>
        <v>54.736842105263165</v>
      </c>
      <c r="I21" s="9"/>
      <c r="J21" s="411">
        <f t="shared" si="6"/>
        <v>270</v>
      </c>
      <c r="K21" s="411">
        <f t="shared" si="7"/>
        <v>490</v>
      </c>
      <c r="L21" s="388">
        <f t="shared" si="8"/>
        <v>55.102040816326522</v>
      </c>
      <c r="M21" s="9"/>
      <c r="N21" s="411">
        <f t="shared" si="9"/>
        <v>275</v>
      </c>
      <c r="O21" s="411">
        <f t="shared" si="10"/>
        <v>490</v>
      </c>
      <c r="P21" s="388">
        <f t="shared" si="11"/>
        <v>56.12244897959183</v>
      </c>
    </row>
    <row r="22" spans="1:18">
      <c r="A22" s="6" t="s">
        <v>26</v>
      </c>
      <c r="B22" s="411">
        <f t="shared" si="0"/>
        <v>835</v>
      </c>
      <c r="C22" s="411">
        <f t="shared" si="1"/>
        <v>1385</v>
      </c>
      <c r="D22" s="388">
        <f t="shared" si="2"/>
        <v>60.288808664259932</v>
      </c>
      <c r="E22" s="9"/>
      <c r="F22" s="411">
        <f t="shared" si="3"/>
        <v>775</v>
      </c>
      <c r="G22" s="411">
        <f t="shared" si="4"/>
        <v>1320</v>
      </c>
      <c r="H22" s="388">
        <f t="shared" si="5"/>
        <v>58.712121212121218</v>
      </c>
      <c r="I22" s="9"/>
      <c r="J22" s="411">
        <f t="shared" si="6"/>
        <v>660</v>
      </c>
      <c r="K22" s="411">
        <f t="shared" si="7"/>
        <v>1190</v>
      </c>
      <c r="L22" s="388">
        <f t="shared" si="8"/>
        <v>55.462184873949582</v>
      </c>
      <c r="M22" s="9"/>
      <c r="N22" s="411">
        <f t="shared" si="9"/>
        <v>670</v>
      </c>
      <c r="O22" s="411">
        <f t="shared" si="10"/>
        <v>1495</v>
      </c>
      <c r="P22" s="388">
        <f t="shared" si="11"/>
        <v>44.816053511705682</v>
      </c>
    </row>
    <row r="23" spans="1:18">
      <c r="A23" s="6" t="s">
        <v>27</v>
      </c>
      <c r="B23" s="411">
        <f t="shared" si="0"/>
        <v>1705</v>
      </c>
      <c r="C23" s="411">
        <f t="shared" si="1"/>
        <v>3110</v>
      </c>
      <c r="D23" s="388">
        <f t="shared" si="2"/>
        <v>54.823151125401928</v>
      </c>
      <c r="E23" s="9"/>
      <c r="F23" s="411">
        <f t="shared" si="3"/>
        <v>1600</v>
      </c>
      <c r="G23" s="411">
        <f t="shared" si="4"/>
        <v>2920</v>
      </c>
      <c r="H23" s="388">
        <f t="shared" si="5"/>
        <v>54.794520547945204</v>
      </c>
      <c r="I23" s="9"/>
      <c r="J23" s="411">
        <f t="shared" si="6"/>
        <v>1580</v>
      </c>
      <c r="K23" s="411">
        <f t="shared" si="7"/>
        <v>2870</v>
      </c>
      <c r="L23" s="388">
        <f t="shared" si="8"/>
        <v>55.052264808362374</v>
      </c>
      <c r="M23" s="9"/>
      <c r="N23" s="411">
        <f t="shared" si="9"/>
        <v>1885</v>
      </c>
      <c r="O23" s="411">
        <f t="shared" si="10"/>
        <v>3275</v>
      </c>
      <c r="P23" s="388">
        <f t="shared" si="11"/>
        <v>57.557251908396942</v>
      </c>
      <c r="R23" s="428"/>
    </row>
    <row r="24" spans="1:18">
      <c r="A24" s="6" t="s">
        <v>28</v>
      </c>
      <c r="B24" s="411">
        <f t="shared" si="0"/>
        <v>605</v>
      </c>
      <c r="C24" s="411">
        <f t="shared" si="1"/>
        <v>910</v>
      </c>
      <c r="D24" s="388">
        <f t="shared" si="2"/>
        <v>66.483516483516482</v>
      </c>
      <c r="E24" s="9"/>
      <c r="F24" s="411">
        <f t="shared" si="3"/>
        <v>520</v>
      </c>
      <c r="G24" s="411">
        <f t="shared" si="4"/>
        <v>870</v>
      </c>
      <c r="H24" s="388">
        <f t="shared" si="5"/>
        <v>59.770114942528743</v>
      </c>
      <c r="I24" s="9"/>
      <c r="J24" s="411">
        <f t="shared" si="6"/>
        <v>505</v>
      </c>
      <c r="K24" s="411">
        <f t="shared" si="7"/>
        <v>785</v>
      </c>
      <c r="L24" s="388">
        <f t="shared" si="8"/>
        <v>64.331210191082803</v>
      </c>
      <c r="M24" s="9"/>
      <c r="N24" s="411">
        <f t="shared" si="9"/>
        <v>560</v>
      </c>
      <c r="O24" s="411">
        <f t="shared" si="10"/>
        <v>880</v>
      </c>
      <c r="P24" s="388">
        <f t="shared" si="11"/>
        <v>63.636363636363633</v>
      </c>
    </row>
    <row r="25" spans="1:18">
      <c r="A25" s="6" t="s">
        <v>29</v>
      </c>
      <c r="B25" s="411">
        <f t="shared" si="0"/>
        <v>135</v>
      </c>
      <c r="C25" s="411">
        <f t="shared" si="1"/>
        <v>225</v>
      </c>
      <c r="D25" s="388">
        <f t="shared" si="2"/>
        <v>60</v>
      </c>
      <c r="E25" s="9"/>
      <c r="F25" s="411">
        <f t="shared" si="3"/>
        <v>125</v>
      </c>
      <c r="G25" s="411">
        <f t="shared" si="4"/>
        <v>210</v>
      </c>
      <c r="H25" s="388">
        <f t="shared" si="5"/>
        <v>59.523809523809526</v>
      </c>
      <c r="I25" s="9"/>
      <c r="J25" s="411">
        <f t="shared" si="6"/>
        <v>115</v>
      </c>
      <c r="K25" s="411">
        <f t="shared" si="7"/>
        <v>195</v>
      </c>
      <c r="L25" s="388">
        <f t="shared" si="8"/>
        <v>58.974358974358978</v>
      </c>
      <c r="M25" s="9"/>
      <c r="N25" s="411">
        <f t="shared" si="9"/>
        <v>110</v>
      </c>
      <c r="O25" s="411">
        <f t="shared" si="10"/>
        <v>210</v>
      </c>
      <c r="P25" s="388">
        <f t="shared" si="11"/>
        <v>52.380952380952387</v>
      </c>
    </row>
    <row r="26" spans="1:18">
      <c r="A26" s="6" t="s">
        <v>30</v>
      </c>
      <c r="B26" s="411">
        <f t="shared" si="0"/>
        <v>195</v>
      </c>
      <c r="C26" s="411">
        <f t="shared" si="1"/>
        <v>300</v>
      </c>
      <c r="D26" s="388">
        <f t="shared" si="2"/>
        <v>65</v>
      </c>
      <c r="E26" s="9"/>
      <c r="F26" s="411">
        <f t="shared" si="3"/>
        <v>165</v>
      </c>
      <c r="G26" s="411">
        <f t="shared" si="4"/>
        <v>270</v>
      </c>
      <c r="H26" s="388">
        <f t="shared" si="5"/>
        <v>61.111111111111114</v>
      </c>
      <c r="I26" s="9"/>
      <c r="J26" s="411">
        <f t="shared" si="6"/>
        <v>170</v>
      </c>
      <c r="K26" s="411">
        <f t="shared" si="7"/>
        <v>270</v>
      </c>
      <c r="L26" s="388">
        <f t="shared" si="8"/>
        <v>62.962962962962962</v>
      </c>
      <c r="M26" s="9"/>
      <c r="N26" s="411">
        <f t="shared" si="9"/>
        <v>180</v>
      </c>
      <c r="O26" s="411">
        <f t="shared" si="10"/>
        <v>290</v>
      </c>
      <c r="P26" s="388">
        <f t="shared" si="11"/>
        <v>62.068965517241381</v>
      </c>
    </row>
    <row r="27" spans="1:18">
      <c r="A27" s="6" t="s">
        <v>31</v>
      </c>
      <c r="B27" s="411">
        <f t="shared" si="0"/>
        <v>180</v>
      </c>
      <c r="C27" s="411">
        <f t="shared" si="1"/>
        <v>275</v>
      </c>
      <c r="D27" s="388">
        <f t="shared" si="2"/>
        <v>65.454545454545453</v>
      </c>
      <c r="E27" s="9"/>
      <c r="F27" s="411">
        <f t="shared" si="3"/>
        <v>185</v>
      </c>
      <c r="G27" s="411">
        <f t="shared" si="4"/>
        <v>310</v>
      </c>
      <c r="H27" s="388">
        <f t="shared" si="5"/>
        <v>59.677419354838712</v>
      </c>
      <c r="I27" s="9"/>
      <c r="J27" s="411">
        <f t="shared" si="6"/>
        <v>190</v>
      </c>
      <c r="K27" s="411">
        <f t="shared" si="7"/>
        <v>290</v>
      </c>
      <c r="L27" s="388">
        <f t="shared" si="8"/>
        <v>65.517241379310349</v>
      </c>
      <c r="M27" s="9"/>
      <c r="N27" s="411">
        <f t="shared" si="9"/>
        <v>165</v>
      </c>
      <c r="O27" s="411">
        <f t="shared" si="10"/>
        <v>260</v>
      </c>
      <c r="P27" s="388">
        <f t="shared" si="11"/>
        <v>63.46153846153846</v>
      </c>
    </row>
    <row r="28" spans="1:18">
      <c r="A28" s="6" t="s">
        <v>32</v>
      </c>
      <c r="B28" s="411">
        <f t="shared" si="0"/>
        <v>50</v>
      </c>
      <c r="C28" s="411">
        <f t="shared" si="1"/>
        <v>80</v>
      </c>
      <c r="D28" s="388">
        <f t="shared" si="2"/>
        <v>62.5</v>
      </c>
      <c r="E28" s="9"/>
      <c r="F28" s="411">
        <f t="shared" si="3"/>
        <v>55</v>
      </c>
      <c r="G28" s="411">
        <f t="shared" si="4"/>
        <v>85</v>
      </c>
      <c r="H28" s="388">
        <f t="shared" si="5"/>
        <v>64.705882352941174</v>
      </c>
      <c r="I28" s="9"/>
      <c r="J28" s="411">
        <f t="shared" si="6"/>
        <v>45</v>
      </c>
      <c r="K28" s="411">
        <f t="shared" si="7"/>
        <v>70</v>
      </c>
      <c r="L28" s="388">
        <f t="shared" si="8"/>
        <v>64.285714285714292</v>
      </c>
      <c r="M28" s="9"/>
      <c r="N28" s="411">
        <f t="shared" si="9"/>
        <v>50</v>
      </c>
      <c r="O28" s="411">
        <f t="shared" si="10"/>
        <v>75</v>
      </c>
      <c r="P28" s="388">
        <f t="shared" si="11"/>
        <v>66.666666666666657</v>
      </c>
    </row>
    <row r="29" spans="1:18">
      <c r="A29" s="6" t="s">
        <v>33</v>
      </c>
      <c r="B29" s="411">
        <f t="shared" si="0"/>
        <v>255</v>
      </c>
      <c r="C29" s="411">
        <f t="shared" si="1"/>
        <v>470</v>
      </c>
      <c r="D29" s="388">
        <f t="shared" si="2"/>
        <v>54.255319148936167</v>
      </c>
      <c r="E29" s="9"/>
      <c r="F29" s="411">
        <f t="shared" si="3"/>
        <v>235</v>
      </c>
      <c r="G29" s="411">
        <f t="shared" si="4"/>
        <v>395</v>
      </c>
      <c r="H29" s="388">
        <f t="shared" si="5"/>
        <v>59.493670886075947</v>
      </c>
      <c r="I29" s="9"/>
      <c r="J29" s="411">
        <f t="shared" si="6"/>
        <v>200</v>
      </c>
      <c r="K29" s="411">
        <f t="shared" si="7"/>
        <v>350</v>
      </c>
      <c r="L29" s="388">
        <f t="shared" si="8"/>
        <v>57.142857142857139</v>
      </c>
      <c r="M29" s="9"/>
      <c r="N29" s="411">
        <f t="shared" si="9"/>
        <v>215</v>
      </c>
      <c r="O29" s="411">
        <f t="shared" si="10"/>
        <v>415</v>
      </c>
      <c r="P29" s="388">
        <f t="shared" si="11"/>
        <v>51.807228915662648</v>
      </c>
    </row>
    <row r="30" spans="1:18">
      <c r="A30" s="6" t="s">
        <v>34</v>
      </c>
      <c r="B30" s="411">
        <f t="shared" si="0"/>
        <v>705</v>
      </c>
      <c r="C30" s="411">
        <f t="shared" si="1"/>
        <v>1245</v>
      </c>
      <c r="D30" s="388">
        <f t="shared" si="2"/>
        <v>56.626506024096393</v>
      </c>
      <c r="E30" s="9"/>
      <c r="F30" s="411">
        <f t="shared" si="3"/>
        <v>570</v>
      </c>
      <c r="G30" s="411">
        <f t="shared" si="4"/>
        <v>1100</v>
      </c>
      <c r="H30" s="388">
        <f t="shared" si="5"/>
        <v>51.81818181818182</v>
      </c>
      <c r="I30" s="9"/>
      <c r="J30" s="411">
        <f t="shared" si="6"/>
        <v>625</v>
      </c>
      <c r="K30" s="411">
        <f t="shared" si="7"/>
        <v>1075</v>
      </c>
      <c r="L30" s="388">
        <f t="shared" si="8"/>
        <v>58.139534883720934</v>
      </c>
      <c r="M30" s="9"/>
      <c r="N30" s="411">
        <f t="shared" si="9"/>
        <v>625</v>
      </c>
      <c r="O30" s="411">
        <f t="shared" si="10"/>
        <v>1155</v>
      </c>
      <c r="P30" s="388">
        <f t="shared" si="11"/>
        <v>54.112554112554115</v>
      </c>
    </row>
    <row r="31" spans="1:18">
      <c r="A31" s="6" t="s">
        <v>35</v>
      </c>
      <c r="B31" s="411">
        <f t="shared" si="0"/>
        <v>55</v>
      </c>
      <c r="C31" s="411">
        <f t="shared" si="1"/>
        <v>80</v>
      </c>
      <c r="D31" s="388">
        <f t="shared" si="2"/>
        <v>68.75</v>
      </c>
      <c r="E31" s="9"/>
      <c r="F31" s="411">
        <f t="shared" si="3"/>
        <v>45</v>
      </c>
      <c r="G31" s="411">
        <f t="shared" si="4"/>
        <v>75</v>
      </c>
      <c r="H31" s="388">
        <f t="shared" si="5"/>
        <v>60</v>
      </c>
      <c r="I31" s="9"/>
      <c r="J31" s="411">
        <f t="shared" si="6"/>
        <v>30</v>
      </c>
      <c r="K31" s="411">
        <f t="shared" si="7"/>
        <v>55</v>
      </c>
      <c r="L31" s="388">
        <f t="shared" si="8"/>
        <v>54.54545454545454</v>
      </c>
      <c r="M31" s="9"/>
      <c r="N31" s="411">
        <f t="shared" si="9"/>
        <v>30</v>
      </c>
      <c r="O31" s="411">
        <f t="shared" si="10"/>
        <v>50</v>
      </c>
      <c r="P31" s="388">
        <f t="shared" si="11"/>
        <v>60</v>
      </c>
    </row>
    <row r="32" spans="1:18">
      <c r="A32" s="6" t="s">
        <v>36</v>
      </c>
      <c r="B32" s="411">
        <f t="shared" si="0"/>
        <v>365</v>
      </c>
      <c r="C32" s="411">
        <f t="shared" si="1"/>
        <v>535</v>
      </c>
      <c r="D32" s="388">
        <f t="shared" si="2"/>
        <v>68.224299065420553</v>
      </c>
      <c r="E32" s="9"/>
      <c r="F32" s="411">
        <f t="shared" si="3"/>
        <v>340</v>
      </c>
      <c r="G32" s="411">
        <f t="shared" si="4"/>
        <v>515</v>
      </c>
      <c r="H32" s="388">
        <f t="shared" si="5"/>
        <v>66.019417475728162</v>
      </c>
      <c r="I32" s="9"/>
      <c r="J32" s="411">
        <f t="shared" si="6"/>
        <v>305</v>
      </c>
      <c r="K32" s="411">
        <f t="shared" si="7"/>
        <v>465</v>
      </c>
      <c r="L32" s="388">
        <f t="shared" si="8"/>
        <v>65.591397849462368</v>
      </c>
      <c r="M32" s="9"/>
      <c r="N32" s="411">
        <f t="shared" si="9"/>
        <v>305</v>
      </c>
      <c r="O32" s="411">
        <f t="shared" si="10"/>
        <v>465</v>
      </c>
      <c r="P32" s="388">
        <f t="shared" si="11"/>
        <v>65.591397849462368</v>
      </c>
    </row>
    <row r="33" spans="1:16">
      <c r="A33" s="6" t="s">
        <v>37</v>
      </c>
      <c r="B33" s="411">
        <f t="shared" si="0"/>
        <v>385</v>
      </c>
      <c r="C33" s="411">
        <f t="shared" si="1"/>
        <v>690</v>
      </c>
      <c r="D33" s="388">
        <f t="shared" si="2"/>
        <v>55.797101449275367</v>
      </c>
      <c r="E33" s="9"/>
      <c r="F33" s="411">
        <f t="shared" si="3"/>
        <v>340</v>
      </c>
      <c r="G33" s="411">
        <f t="shared" si="4"/>
        <v>620</v>
      </c>
      <c r="H33" s="388">
        <f t="shared" si="5"/>
        <v>54.838709677419352</v>
      </c>
      <c r="I33" s="9"/>
      <c r="J33" s="411">
        <f t="shared" si="6"/>
        <v>340</v>
      </c>
      <c r="K33" s="411">
        <f t="shared" si="7"/>
        <v>595</v>
      </c>
      <c r="L33" s="388">
        <f t="shared" si="8"/>
        <v>57.142857142857139</v>
      </c>
      <c r="M33" s="9"/>
      <c r="N33" s="411">
        <f t="shared" si="9"/>
        <v>380</v>
      </c>
      <c r="O33" s="411">
        <f t="shared" si="10"/>
        <v>660</v>
      </c>
      <c r="P33" s="388">
        <f t="shared" si="11"/>
        <v>57.575757575757578</v>
      </c>
    </row>
    <row r="34" spans="1:16">
      <c r="A34" s="6" t="s">
        <v>38</v>
      </c>
      <c r="B34" s="411">
        <f t="shared" si="0"/>
        <v>245</v>
      </c>
      <c r="C34" s="411">
        <f t="shared" si="1"/>
        <v>370</v>
      </c>
      <c r="D34" s="388">
        <f t="shared" si="2"/>
        <v>66.21621621621621</v>
      </c>
      <c r="E34" s="9"/>
      <c r="F34" s="411">
        <f t="shared" si="3"/>
        <v>210</v>
      </c>
      <c r="G34" s="411">
        <f t="shared" si="4"/>
        <v>315</v>
      </c>
      <c r="H34" s="388">
        <f t="shared" si="5"/>
        <v>66.666666666666657</v>
      </c>
      <c r="I34" s="9"/>
      <c r="J34" s="411">
        <f t="shared" si="6"/>
        <v>195</v>
      </c>
      <c r="K34" s="411">
        <f t="shared" si="7"/>
        <v>295</v>
      </c>
      <c r="L34" s="388">
        <f t="shared" si="8"/>
        <v>66.101694915254242</v>
      </c>
      <c r="M34" s="9"/>
      <c r="N34" s="411">
        <f t="shared" si="9"/>
        <v>220</v>
      </c>
      <c r="O34" s="411">
        <f t="shared" si="10"/>
        <v>335</v>
      </c>
      <c r="P34" s="388">
        <f t="shared" si="11"/>
        <v>65.671641791044777</v>
      </c>
    </row>
    <row r="35" spans="1:16">
      <c r="A35" s="6" t="s">
        <v>39</v>
      </c>
      <c r="B35" s="411">
        <f t="shared" si="0"/>
        <v>55</v>
      </c>
      <c r="C35" s="411">
        <f t="shared" si="1"/>
        <v>85</v>
      </c>
      <c r="D35" s="388">
        <f t="shared" si="2"/>
        <v>64.705882352941174</v>
      </c>
      <c r="E35" s="9"/>
      <c r="F35" s="411">
        <f t="shared" si="3"/>
        <v>50</v>
      </c>
      <c r="G35" s="411">
        <f t="shared" si="4"/>
        <v>80</v>
      </c>
      <c r="H35" s="388">
        <f t="shared" si="5"/>
        <v>62.5</v>
      </c>
      <c r="I35" s="9"/>
      <c r="J35" s="411">
        <f t="shared" si="6"/>
        <v>50</v>
      </c>
      <c r="K35" s="411">
        <f t="shared" si="7"/>
        <v>70</v>
      </c>
      <c r="L35" s="388">
        <f t="shared" si="8"/>
        <v>71.428571428571431</v>
      </c>
      <c r="M35" s="9"/>
      <c r="N35" s="411">
        <f t="shared" si="9"/>
        <v>45</v>
      </c>
      <c r="O35" s="411">
        <f t="shared" si="10"/>
        <v>55</v>
      </c>
      <c r="P35" s="388">
        <f t="shared" si="11"/>
        <v>81.818181818181827</v>
      </c>
    </row>
    <row r="36" spans="1:16">
      <c r="A36" s="6" t="s">
        <v>40</v>
      </c>
      <c r="B36" s="411">
        <f t="shared" si="0"/>
        <v>225</v>
      </c>
      <c r="C36" s="411">
        <f t="shared" si="1"/>
        <v>445</v>
      </c>
      <c r="D36" s="388">
        <f t="shared" si="2"/>
        <v>50.561797752808992</v>
      </c>
      <c r="E36" s="9"/>
      <c r="F36" s="411">
        <f t="shared" si="3"/>
        <v>210</v>
      </c>
      <c r="G36" s="411">
        <f t="shared" si="4"/>
        <v>365</v>
      </c>
      <c r="H36" s="388">
        <f t="shared" si="5"/>
        <v>57.534246575342465</v>
      </c>
      <c r="I36" s="9"/>
      <c r="J36" s="411">
        <f t="shared" si="6"/>
        <v>170</v>
      </c>
      <c r="K36" s="411">
        <f t="shared" si="7"/>
        <v>350</v>
      </c>
      <c r="L36" s="388">
        <f t="shared" si="8"/>
        <v>48.571428571428569</v>
      </c>
      <c r="M36" s="9"/>
      <c r="N36" s="411">
        <f t="shared" si="9"/>
        <v>200</v>
      </c>
      <c r="O36" s="411">
        <f t="shared" si="10"/>
        <v>360</v>
      </c>
      <c r="P36" s="388">
        <f t="shared" si="11"/>
        <v>55.555555555555557</v>
      </c>
    </row>
    <row r="37" spans="1:16">
      <c r="A37" s="6" t="s">
        <v>41</v>
      </c>
      <c r="B37" s="411">
        <f t="shared" si="0"/>
        <v>675</v>
      </c>
      <c r="C37" s="411">
        <f t="shared" si="1"/>
        <v>1200</v>
      </c>
      <c r="D37" s="388">
        <f t="shared" si="2"/>
        <v>56.25</v>
      </c>
      <c r="E37" s="9"/>
      <c r="F37" s="411">
        <f t="shared" si="3"/>
        <v>615</v>
      </c>
      <c r="G37" s="411">
        <f t="shared" si="4"/>
        <v>1130</v>
      </c>
      <c r="H37" s="388">
        <f t="shared" si="5"/>
        <v>54.424778761061944</v>
      </c>
      <c r="I37" s="9"/>
      <c r="J37" s="411">
        <f t="shared" si="6"/>
        <v>670</v>
      </c>
      <c r="K37" s="411">
        <f t="shared" si="7"/>
        <v>1135</v>
      </c>
      <c r="L37" s="388">
        <f t="shared" si="8"/>
        <v>59.030837004405292</v>
      </c>
      <c r="M37" s="9"/>
      <c r="N37" s="411">
        <f t="shared" si="9"/>
        <v>650</v>
      </c>
      <c r="O37" s="411">
        <f t="shared" si="10"/>
        <v>1155</v>
      </c>
      <c r="P37" s="388">
        <f t="shared" si="11"/>
        <v>56.277056277056282</v>
      </c>
    </row>
    <row r="38" spans="1:16">
      <c r="A38" s="6" t="s">
        <v>42</v>
      </c>
      <c r="B38" s="411">
        <f t="shared" si="0"/>
        <v>225</v>
      </c>
      <c r="C38" s="411">
        <f t="shared" si="1"/>
        <v>385</v>
      </c>
      <c r="D38" s="388">
        <f t="shared" si="2"/>
        <v>58.441558441558442</v>
      </c>
      <c r="E38" s="9"/>
      <c r="F38" s="411">
        <f t="shared" si="3"/>
        <v>235</v>
      </c>
      <c r="G38" s="411">
        <f t="shared" si="4"/>
        <v>365</v>
      </c>
      <c r="H38" s="388">
        <f t="shared" si="5"/>
        <v>64.38356164383562</v>
      </c>
      <c r="I38" s="9"/>
      <c r="J38" s="411">
        <f t="shared" si="6"/>
        <v>265</v>
      </c>
      <c r="K38" s="411">
        <f t="shared" si="7"/>
        <v>445</v>
      </c>
      <c r="L38" s="388">
        <f t="shared" si="8"/>
        <v>59.550561797752813</v>
      </c>
      <c r="M38" s="9"/>
      <c r="N38" s="411">
        <f t="shared" si="9"/>
        <v>245</v>
      </c>
      <c r="O38" s="411">
        <f t="shared" si="10"/>
        <v>375</v>
      </c>
      <c r="P38" s="388">
        <f t="shared" si="11"/>
        <v>65.333333333333329</v>
      </c>
    </row>
    <row r="39" spans="1:16">
      <c r="A39" s="6" t="s">
        <v>43</v>
      </c>
      <c r="B39" s="411">
        <f t="shared" si="0"/>
        <v>160</v>
      </c>
      <c r="C39" s="411">
        <f t="shared" si="1"/>
        <v>290</v>
      </c>
      <c r="D39" s="388">
        <f t="shared" si="2"/>
        <v>55.172413793103445</v>
      </c>
      <c r="E39" s="9"/>
      <c r="F39" s="411">
        <f t="shared" si="3"/>
        <v>135</v>
      </c>
      <c r="G39" s="411">
        <f t="shared" si="4"/>
        <v>255</v>
      </c>
      <c r="H39" s="388">
        <f t="shared" si="5"/>
        <v>52.941176470588239</v>
      </c>
      <c r="I39" s="9"/>
      <c r="J39" s="411">
        <f t="shared" si="6"/>
        <v>145</v>
      </c>
      <c r="K39" s="411">
        <f t="shared" si="7"/>
        <v>265</v>
      </c>
      <c r="L39" s="388">
        <f t="shared" si="8"/>
        <v>54.716981132075468</v>
      </c>
      <c r="M39" s="9"/>
      <c r="N39" s="411">
        <f t="shared" si="9"/>
        <v>140</v>
      </c>
      <c r="O39" s="411">
        <f t="shared" si="10"/>
        <v>320</v>
      </c>
      <c r="P39" s="388">
        <f t="shared" si="11"/>
        <v>43.75</v>
      </c>
    </row>
    <row r="40" spans="1:16">
      <c r="A40" s="6" t="s">
        <v>44</v>
      </c>
      <c r="B40" s="411">
        <f t="shared" si="0"/>
        <v>385</v>
      </c>
      <c r="C40" s="411">
        <f t="shared" si="1"/>
        <v>700</v>
      </c>
      <c r="D40" s="388">
        <f t="shared" si="2"/>
        <v>55.000000000000007</v>
      </c>
      <c r="E40" s="9"/>
      <c r="F40" s="411">
        <f t="shared" si="3"/>
        <v>345</v>
      </c>
      <c r="G40" s="411">
        <f t="shared" si="4"/>
        <v>600</v>
      </c>
      <c r="H40" s="388">
        <f t="shared" si="5"/>
        <v>57.499999999999993</v>
      </c>
      <c r="I40" s="9"/>
      <c r="J40" s="411">
        <f t="shared" si="6"/>
        <v>385</v>
      </c>
      <c r="K40" s="411">
        <f t="shared" si="7"/>
        <v>660</v>
      </c>
      <c r="L40" s="388">
        <f t="shared" si="8"/>
        <v>58.333333333333336</v>
      </c>
      <c r="M40" s="9"/>
      <c r="N40" s="411">
        <f t="shared" si="9"/>
        <v>355</v>
      </c>
      <c r="O40" s="411">
        <f t="shared" si="10"/>
        <v>620</v>
      </c>
      <c r="P40" s="388">
        <f t="shared" si="11"/>
        <v>57.258064516129039</v>
      </c>
    </row>
    <row r="41" spans="1:16">
      <c r="A41" s="6"/>
      <c r="B41" s="10"/>
      <c r="C41" s="10"/>
      <c r="D41" s="9"/>
      <c r="E41" s="9"/>
      <c r="F41" s="10"/>
      <c r="G41" s="10"/>
      <c r="H41" s="9"/>
      <c r="I41" s="9"/>
      <c r="J41" s="10"/>
      <c r="K41" s="10"/>
      <c r="L41" s="9"/>
      <c r="M41" s="9"/>
      <c r="N41" s="10"/>
      <c r="O41" s="10"/>
      <c r="P41" s="9"/>
    </row>
    <row r="42" spans="1:16">
      <c r="A42" s="6" t="s">
        <v>45</v>
      </c>
      <c r="B42" s="411">
        <f t="shared" si="0"/>
        <v>12590</v>
      </c>
      <c r="C42" s="411">
        <f t="shared" si="1"/>
        <v>21440</v>
      </c>
      <c r="D42" s="388">
        <f t="shared" si="2"/>
        <v>58.722014925373131</v>
      </c>
      <c r="E42" s="9"/>
      <c r="F42" s="411">
        <f t="shared" si="3"/>
        <v>11600</v>
      </c>
      <c r="G42" s="411">
        <f t="shared" si="4"/>
        <v>19845</v>
      </c>
      <c r="H42" s="388">
        <f t="shared" ref="H42:H48" si="12">SUM(F42/G42)*100</f>
        <v>58.453010833963212</v>
      </c>
      <c r="I42" s="9"/>
      <c r="J42" s="411">
        <f t="shared" si="6"/>
        <v>11570</v>
      </c>
      <c r="K42" s="411">
        <f t="shared" si="7"/>
        <v>19620</v>
      </c>
      <c r="L42" s="388">
        <f t="shared" ref="L42:L48" si="13">SUM(J42/K42)*100</f>
        <v>58.970438328236497</v>
      </c>
      <c r="M42" s="9"/>
      <c r="N42" s="411">
        <f t="shared" si="9"/>
        <v>11870</v>
      </c>
      <c r="O42" s="411">
        <f t="shared" si="10"/>
        <v>20680</v>
      </c>
      <c r="P42" s="388">
        <f t="shared" ref="P42:P48" si="14">SUM(N42/O42)*100</f>
        <v>57.398452611218566</v>
      </c>
    </row>
    <row r="43" spans="1:16">
      <c r="A43" s="6" t="s">
        <v>46</v>
      </c>
      <c r="B43" s="411">
        <f t="shared" si="0"/>
        <v>215085</v>
      </c>
      <c r="C43" s="411">
        <f t="shared" si="1"/>
        <v>397540</v>
      </c>
      <c r="D43" s="388">
        <f t="shared" si="2"/>
        <v>54.103989535644217</v>
      </c>
      <c r="E43" s="9"/>
      <c r="F43" s="411">
        <f t="shared" si="3"/>
        <v>200360</v>
      </c>
      <c r="G43" s="411">
        <f t="shared" si="4"/>
        <v>356895</v>
      </c>
      <c r="H43" s="388">
        <f t="shared" si="12"/>
        <v>56.139760994129929</v>
      </c>
      <c r="I43" s="9"/>
      <c r="J43" s="411">
        <f t="shared" si="6"/>
        <v>200650</v>
      </c>
      <c r="K43" s="411">
        <f t="shared" si="7"/>
        <v>348630</v>
      </c>
      <c r="L43" s="388">
        <f t="shared" si="13"/>
        <v>57.553853655738173</v>
      </c>
      <c r="M43" s="9"/>
      <c r="N43" s="411">
        <f t="shared" si="9"/>
        <v>203470</v>
      </c>
      <c r="O43" s="411">
        <f t="shared" si="10"/>
        <v>363825</v>
      </c>
      <c r="P43" s="388">
        <f t="shared" si="14"/>
        <v>55.925238782381633</v>
      </c>
    </row>
    <row r="44" spans="1:16">
      <c r="A44" s="6" t="s">
        <v>543</v>
      </c>
      <c r="B44" s="385" cm="1">
        <f t="array" ref="B44">SUM(SUMIFS(B$9:B$40,$A$9:$A$40,{"Na h-Eileanan Siar","Argyll and Bute","Shetland Islands","Highland","Orkney Islands","Scottish Borders","Dumfries and Galloway","Aberdeenshire"}))</f>
        <v>2230</v>
      </c>
      <c r="C44" s="385">
        <f>SUM(SUMIFS(C$9:C$40,$A$9:$A$40,{"Na h-Eileanan Siar","Argyll and Bute","Shetland Islands","Highland","Orkney Islands","Scottish Borders","Dumfries and Galloway","Aberdeenshire"}))</f>
        <v>3395</v>
      </c>
      <c r="D44" s="388">
        <f t="shared" si="2"/>
        <v>65.684830633284236</v>
      </c>
      <c r="E44" s="9"/>
      <c r="F44" s="385" cm="1">
        <f t="array" ref="F44">SUM(SUMIFS(F$9:F$40,$A$9:$A$40,{"Na h-Eileanan Siar","Argyll and Bute","Shetland Islands","Highland","Orkney Islands","Scottish Borders","Dumfries and Galloway","Aberdeenshire"}))</f>
        <v>1950</v>
      </c>
      <c r="G44" s="385">
        <f>SUM(SUMIFS(G$9:G$40,$A$9:$A$40,{"Na h-Eileanan Siar","Argyll and Bute","Shetland Islands","Highland","Orkney Islands","Scottish Borders","Dumfries and Galloway","Aberdeenshire"}))</f>
        <v>3120</v>
      </c>
      <c r="H44" s="388">
        <f t="shared" si="12"/>
        <v>62.5</v>
      </c>
      <c r="I44" s="9"/>
      <c r="J44" s="385" cm="1">
        <f t="array" ref="J44">SUM(SUMIFS(J$9:J$40,$A$9:$A$40,{"Na h-Eileanan Siar","Argyll and Bute","Shetland Islands","Highland","Orkney Islands","Scottish Borders","Dumfries and Galloway","Aberdeenshire"}))</f>
        <v>1930</v>
      </c>
      <c r="K44" s="385">
        <f>SUM(SUMIFS(K$9:K$40,$A$9:$A$40,{"Na h-Eileanan Siar","Argyll and Bute","Shetland Islands","Highland","Orkney Islands","Scottish Borders","Dumfries and Galloway","Aberdeenshire"}))</f>
        <v>3010</v>
      </c>
      <c r="L44" s="388">
        <f t="shared" si="13"/>
        <v>64.119601328903656</v>
      </c>
      <c r="M44" s="9"/>
      <c r="N44" s="385" cm="1">
        <f t="array" ref="N44">SUM(SUMIFS(N$9:N$40,$A$9:$A$40,{"Na h-Eileanan Siar","Argyll and Bute","Shetland Islands","Highland","Orkney Islands","Scottish Borders","Dumfries and Galloway","Aberdeenshire"}))</f>
        <v>1950</v>
      </c>
      <c r="O44" s="385">
        <f>SUM(SUMIFS(O$9:O$40,$A$9:$A$40,{"Na h-Eileanan Siar","Argyll and Bute","Shetland Islands","Highland","Orkney Islands","Scottish Borders","Dumfries and Galloway","Aberdeenshire"}))</f>
        <v>3130</v>
      </c>
      <c r="P44" s="388">
        <f t="shared" si="14"/>
        <v>62.300319488817891</v>
      </c>
    </row>
    <row r="45" spans="1:16">
      <c r="A45" s="6" t="s">
        <v>544</v>
      </c>
      <c r="B45" s="385">
        <f>SUM(SUMIFS(B$9:B$40,$A$9:$A$40,{"Perth and Kinross","Stirling","Moray","South Ayrshire","East Ayrshire","East Lothian","North Ayrshire","Fife"}))</f>
        <v>2495</v>
      </c>
      <c r="C45" s="385">
        <f>SUM(SUMIFS(C$9:C$40,$A$9:$A$40,{"Perth and Kinross","Stirling","Moray","South Ayrshire","East Ayrshire","East Lothian","North Ayrshire","Fife"}))</f>
        <v>4230</v>
      </c>
      <c r="D45" s="388">
        <f t="shared" si="2"/>
        <v>58.983451536643031</v>
      </c>
      <c r="E45" s="9"/>
      <c r="F45" s="385">
        <f>SUM(SUMIFS(F$9:F$40,$A$9:$A$40,{"Perth and Kinross","Stirling","Moray","South Ayrshire","East Ayrshire","East Lothian","North Ayrshire","Fife"}))</f>
        <v>2450</v>
      </c>
      <c r="G45" s="385">
        <f>SUM(SUMIFS(G$9:G$40,$A$9:$A$40,{"Perth and Kinross","Stirling","Moray","South Ayrshire","East Ayrshire","East Lothian","North Ayrshire","Fife"}))</f>
        <v>4040</v>
      </c>
      <c r="H45" s="388">
        <f t="shared" si="12"/>
        <v>60.64356435643564</v>
      </c>
      <c r="I45" s="9"/>
      <c r="J45" s="385">
        <f>SUM(SUMIFS(J$9:J$40,$A$9:$A$40,{"Perth and Kinross","Stirling","Moray","South Ayrshire","East Ayrshire","East Lothian","North Ayrshire","Fife"}))</f>
        <v>2205</v>
      </c>
      <c r="K45" s="385">
        <f>SUM(SUMIFS(K$9:K$40,$A$9:$A$40,{"Perth and Kinross","Stirling","Moray","South Ayrshire","East Ayrshire","East Lothian","North Ayrshire","Fife"}))</f>
        <v>3770</v>
      </c>
      <c r="L45" s="388">
        <f t="shared" si="13"/>
        <v>58.488063660477451</v>
      </c>
      <c r="M45" s="9"/>
      <c r="N45" s="385">
        <f>SUM(SUMIFS(N$9:N$40,$A$9:$A$40,{"Perth and Kinross","Stirling","Moray","South Ayrshire","East Ayrshire","East Lothian","North Ayrshire","Fife"}))</f>
        <v>2220</v>
      </c>
      <c r="O45" s="385">
        <f>SUM(SUMIFS(O$9:O$40,$A$9:$A$40,{"Perth and Kinross","Stirling","Moray","South Ayrshire","East Ayrshire","East Lothian","North Ayrshire","Fife"}))</f>
        <v>4095</v>
      </c>
      <c r="P45" s="388">
        <f t="shared" si="14"/>
        <v>54.212454212454212</v>
      </c>
    </row>
    <row r="46" spans="1:16">
      <c r="A46" s="6" t="s">
        <v>545</v>
      </c>
      <c r="B46" s="385">
        <f>SUM(SUMIFS(B$9:B$40,$A$9:$A$40,{"Angus","Clackmannanshire","Midlothian","South Lanarkshire","Inverclyde","Renfrewshire","West Lothian","East Renfrewshire"}))</f>
        <v>2270</v>
      </c>
      <c r="C46" s="385">
        <f>SUM(SUMIFS(C$9:C$40,$A$9:$A$40,{"Angus","Clackmannanshire","Midlothian","South Lanarkshire","Inverclyde","Renfrewshire","West Lothian","East Renfrewshire"}))</f>
        <v>3995</v>
      </c>
      <c r="D46" s="388">
        <f t="shared" si="2"/>
        <v>56.821026282853573</v>
      </c>
      <c r="E46" s="9"/>
      <c r="F46" s="385">
        <f>SUM(SUMIFS(F$9:F$40,$A$9:$A$40,{"Angus","Clackmannanshire","Midlothian","South Lanarkshire","Inverclyde","Renfrewshire","West Lothian","East Renfrewshire"}))</f>
        <v>2075</v>
      </c>
      <c r="G46" s="385">
        <f>SUM(SUMIFS(G$9:G$40,$A$9:$A$40,{"Angus","Clackmannanshire","Midlothian","South Lanarkshire","Inverclyde","Renfrewshire","West Lothian","East Renfrewshire"}))</f>
        <v>3655</v>
      </c>
      <c r="H46" s="388">
        <f t="shared" si="12"/>
        <v>56.771545827633375</v>
      </c>
      <c r="I46" s="9"/>
      <c r="J46" s="385">
        <f>SUM(SUMIFS(J$9:J$40,$A$9:$A$40,{"Angus","Clackmannanshire","Midlothian","South Lanarkshire","Inverclyde","Renfrewshire","West Lothian","East Renfrewshire"}))</f>
        <v>2175</v>
      </c>
      <c r="K46" s="385">
        <f>SUM(SUMIFS(K$9:K$40,$A$9:$A$40,{"Angus","Clackmannanshire","Midlothian","South Lanarkshire","Inverclyde","Renfrewshire","West Lothian","East Renfrewshire"}))</f>
        <v>3685</v>
      </c>
      <c r="L46" s="388">
        <f t="shared" si="13"/>
        <v>59.023066485753048</v>
      </c>
      <c r="M46" s="9"/>
      <c r="N46" s="385">
        <f>SUM(SUMIFS(N$9:N$40,$A$9:$A$40,{"Angus","Clackmannanshire","Midlothian","South Lanarkshire","Inverclyde","Renfrewshire","West Lothian","East Renfrewshire"}))</f>
        <v>2180</v>
      </c>
      <c r="O46" s="385">
        <f>SUM(SUMIFS(O$9:O$40,$A$9:$A$40,{"Angus","Clackmannanshire","Midlothian","South Lanarkshire","Inverclyde","Renfrewshire","West Lothian","East Renfrewshire"}))</f>
        <v>3755</v>
      </c>
      <c r="P46" s="388">
        <f t="shared" si="14"/>
        <v>58.055925432756325</v>
      </c>
    </row>
    <row r="47" spans="1:16">
      <c r="A47" s="6" t="s">
        <v>546</v>
      </c>
      <c r="B47" s="385">
        <f>SUM(SUMIFS(B$9:B$40,$A$9:$A$40,{"North Lanarkshire","Falkirk","East Dunbartonshire","Aberdeen City","Edinburgh, City of","West Dunbartonshire","Dundee City","Glasgow City"}))</f>
        <v>5595</v>
      </c>
      <c r="C47" s="385">
        <f>SUM(SUMIFS(C$9:C$40,$A$9:$A$40,{"North Lanarkshire","Falkirk","East Dunbartonshire","Aberdeen City","Edinburgh, City of","West Dunbartonshire","Dundee City","Glasgow City"}))</f>
        <v>9820</v>
      </c>
      <c r="D47" s="388">
        <f t="shared" si="2"/>
        <v>56.975560081466391</v>
      </c>
      <c r="E47" s="9"/>
      <c r="F47" s="385">
        <f>SUM(SUMIFS(F$9:F$40,$A$9:$A$40,{"North Lanarkshire","Falkirk","East Dunbartonshire","Aberdeen City","Edinburgh, City of","West Dunbartonshire","Dundee City","Glasgow City"}))</f>
        <v>5125</v>
      </c>
      <c r="G47" s="385">
        <f>SUM(SUMIFS(G$9:G$40,$A$9:$A$40,{"North Lanarkshire","Falkirk","East Dunbartonshire","Aberdeen City","Edinburgh, City of","West Dunbartonshire","Dundee City","Glasgow City"}))</f>
        <v>9030</v>
      </c>
      <c r="H47" s="388">
        <f t="shared" si="12"/>
        <v>56.755260243632335</v>
      </c>
      <c r="I47" s="9"/>
      <c r="J47" s="385">
        <f>SUM(SUMIFS(J$9:J$40,$A$9:$A$40,{"North Lanarkshire","Falkirk","East Dunbartonshire","Aberdeen City","Edinburgh, City of","West Dunbartonshire","Dundee City","Glasgow City"}))</f>
        <v>5260</v>
      </c>
      <c r="K47" s="385">
        <f>SUM(SUMIFS(K$9:K$40,$A$9:$A$40,{"North Lanarkshire","Falkirk","East Dunbartonshire","Aberdeen City","Edinburgh, City of","West Dunbartonshire","Dundee City","Glasgow City"}))</f>
        <v>9155</v>
      </c>
      <c r="L47" s="388">
        <f t="shared" si="13"/>
        <v>57.454942654287279</v>
      </c>
      <c r="M47" s="9"/>
      <c r="N47" s="385">
        <f>SUM(SUMIFS(N$9:N$40,$A$9:$A$40,{"North Lanarkshire","Falkirk","East Dunbartonshire","Aberdeen City","Edinburgh, City of","West Dunbartonshire","Dundee City","Glasgow City"}))</f>
        <v>5520</v>
      </c>
      <c r="O47" s="385">
        <f>SUM(SUMIFS(O$9:O$40,$A$9:$A$40,{"North Lanarkshire","Falkirk","East Dunbartonshire","Aberdeen City","Edinburgh, City of","West Dunbartonshire","Dundee City","Glasgow City"}))</f>
        <v>9700</v>
      </c>
      <c r="P47" s="388">
        <f t="shared" si="14"/>
        <v>56.907216494845358</v>
      </c>
    </row>
    <row r="48" spans="1:16">
      <c r="A48" s="6" t="s">
        <v>47</v>
      </c>
      <c r="B48" s="411">
        <f t="shared" ref="B48" si="15">INDEX($B$59:$E$93,MATCH($A48,$A$59:$A$93,0),MATCH(C$8,$B$58:$E$58,0))</f>
        <v>4195</v>
      </c>
      <c r="C48" s="411">
        <f t="shared" ref="C48" si="16">INDEX($I$59:$L$93,MATCH($A48,$H$59:$H$93,0),MATCH(C$8,$I$58:$L$58,0))</f>
        <v>7505</v>
      </c>
      <c r="D48" s="388">
        <f t="shared" si="2"/>
        <v>55.896069287141906</v>
      </c>
      <c r="E48" s="9"/>
      <c r="F48" s="411">
        <f t="shared" ref="F48" si="17">INDEX($B$59:$E$93,MATCH($A48,$A$59:$A$93,0),MATCH(G$8,$B$58:$E$58,0))</f>
        <v>3795</v>
      </c>
      <c r="G48" s="411">
        <f t="shared" ref="G48" si="18">INDEX($I$59:$L$93,MATCH($A48,$H$59:$H$93,0),MATCH(G$8,$I$58:$L$58,0))</f>
        <v>6920</v>
      </c>
      <c r="H48" s="388">
        <f t="shared" si="12"/>
        <v>54.841040462427749</v>
      </c>
      <c r="I48" s="9"/>
      <c r="J48" s="411">
        <f t="shared" ref="J48" si="19">INDEX($B$59:$E$93,MATCH($A48,$A$59:$A$93,0),MATCH(K$8,$B$58:$E$58,0))</f>
        <v>3895</v>
      </c>
      <c r="K48" s="411">
        <f t="shared" ref="K48" si="20">INDEX($I$59:$L$93,MATCH($A48,$H$59:$H$93,0),MATCH(K$8,$I$58:$L$58,0))</f>
        <v>6835</v>
      </c>
      <c r="L48" s="388">
        <f t="shared" si="13"/>
        <v>56.986100950987563</v>
      </c>
      <c r="M48" s="9"/>
      <c r="N48" s="411">
        <f t="shared" ref="N48" si="21">INDEX($B$59:$E$93,MATCH($A48,$A$59:$A$93,0),MATCH(O$8,$B$58:$E$58,0))</f>
        <v>4180</v>
      </c>
      <c r="O48" s="411">
        <f t="shared" ref="O48" si="22">INDEX($I$59:$L$93,MATCH($A48,$H$59:$H$93,0),MATCH(O$8,$I$58:$L$58,0))</f>
        <v>7435</v>
      </c>
      <c r="P48" s="388">
        <f t="shared" si="14"/>
        <v>56.22057834566241</v>
      </c>
    </row>
    <row r="50" spans="1:12">
      <c r="A50" s="357"/>
      <c r="B50" s="358"/>
      <c r="C50" s="358"/>
      <c r="D50" s="358"/>
      <c r="E50" s="358"/>
    </row>
    <row r="51" spans="1:12" ht="15.5">
      <c r="A51" s="440" t="s">
        <v>717</v>
      </c>
      <c r="G51" s="440"/>
      <c r="H51" s="440" t="s">
        <v>717</v>
      </c>
    </row>
    <row r="52" spans="1:12">
      <c r="A52" s="441"/>
      <c r="G52" s="441"/>
      <c r="H52" s="441"/>
    </row>
    <row r="54" spans="1:12">
      <c r="A54" s="442" t="s">
        <v>213</v>
      </c>
      <c r="B54" s="442" t="s">
        <v>720</v>
      </c>
      <c r="G54" s="442"/>
      <c r="H54" s="442" t="s">
        <v>213</v>
      </c>
      <c r="I54" s="442" t="s">
        <v>721</v>
      </c>
    </row>
    <row r="55" spans="1:12">
      <c r="A55" s="442" t="s">
        <v>212</v>
      </c>
      <c r="B55" s="442"/>
      <c r="G55" s="442"/>
      <c r="H55" s="442" t="s">
        <v>212</v>
      </c>
      <c r="I55" s="442"/>
    </row>
    <row r="56" spans="1:12">
      <c r="A56" s="442" t="s">
        <v>211</v>
      </c>
      <c r="B56" s="442"/>
      <c r="H56" s="442" t="s">
        <v>211</v>
      </c>
      <c r="I56" s="442"/>
    </row>
    <row r="58" spans="1:12">
      <c r="A58" s="443" t="s">
        <v>5</v>
      </c>
      <c r="B58" s="444">
        <v>2016</v>
      </c>
      <c r="C58" s="444">
        <v>2017</v>
      </c>
      <c r="D58" s="444">
        <v>2018</v>
      </c>
      <c r="E58" s="444">
        <v>2019</v>
      </c>
      <c r="G58" s="443"/>
      <c r="H58" s="443" t="s">
        <v>5</v>
      </c>
      <c r="I58" s="444">
        <v>2016</v>
      </c>
      <c r="J58" s="444">
        <v>2017</v>
      </c>
      <c r="K58" s="444">
        <v>2018</v>
      </c>
      <c r="L58" s="444">
        <v>2019</v>
      </c>
    </row>
    <row r="59" spans="1:12">
      <c r="A59" s="442" t="s">
        <v>14</v>
      </c>
      <c r="B59" s="435">
        <v>630</v>
      </c>
      <c r="C59" s="435">
        <v>655</v>
      </c>
      <c r="D59" s="435">
        <v>640</v>
      </c>
      <c r="E59" s="435">
        <v>645</v>
      </c>
      <c r="G59" s="442"/>
      <c r="H59" s="442" t="s">
        <v>14</v>
      </c>
      <c r="I59" s="435">
        <v>1100</v>
      </c>
      <c r="J59" s="435">
        <v>1070</v>
      </c>
      <c r="K59" s="435">
        <v>1070</v>
      </c>
      <c r="L59" s="435">
        <v>1065</v>
      </c>
    </row>
    <row r="60" spans="1:12">
      <c r="A60" s="442" t="s">
        <v>15</v>
      </c>
      <c r="B60" s="435">
        <v>785</v>
      </c>
      <c r="C60" s="435">
        <v>695</v>
      </c>
      <c r="D60" s="435">
        <v>675</v>
      </c>
      <c r="E60" s="435">
        <v>660</v>
      </c>
      <c r="G60" s="442"/>
      <c r="H60" s="442" t="s">
        <v>15</v>
      </c>
      <c r="I60" s="435">
        <v>1185</v>
      </c>
      <c r="J60" s="435">
        <v>1095</v>
      </c>
      <c r="K60" s="435">
        <v>1080</v>
      </c>
      <c r="L60" s="435">
        <v>1105</v>
      </c>
    </row>
    <row r="61" spans="1:12">
      <c r="A61" s="442" t="s">
        <v>16</v>
      </c>
      <c r="B61" s="435">
        <v>230</v>
      </c>
      <c r="C61" s="435">
        <v>220</v>
      </c>
      <c r="D61" s="435">
        <v>210</v>
      </c>
      <c r="E61" s="435">
        <v>230</v>
      </c>
      <c r="G61" s="442"/>
      <c r="H61" s="442" t="s">
        <v>16</v>
      </c>
      <c r="I61" s="435">
        <v>380</v>
      </c>
      <c r="J61" s="435">
        <v>365</v>
      </c>
      <c r="K61" s="435">
        <v>355</v>
      </c>
      <c r="L61" s="435">
        <v>350</v>
      </c>
    </row>
    <row r="62" spans="1:12">
      <c r="A62" s="442" t="s">
        <v>17</v>
      </c>
      <c r="B62" s="435">
        <v>185</v>
      </c>
      <c r="C62" s="435">
        <v>165</v>
      </c>
      <c r="D62" s="435">
        <v>180</v>
      </c>
      <c r="E62" s="435">
        <v>160</v>
      </c>
      <c r="G62" s="442"/>
      <c r="H62" s="442" t="s">
        <v>17</v>
      </c>
      <c r="I62" s="435">
        <v>305</v>
      </c>
      <c r="J62" s="435">
        <v>260</v>
      </c>
      <c r="K62" s="435">
        <v>270</v>
      </c>
      <c r="L62" s="435">
        <v>265</v>
      </c>
    </row>
    <row r="63" spans="1:12">
      <c r="A63" s="6" t="s">
        <v>189</v>
      </c>
      <c r="B63" s="435">
        <v>1625</v>
      </c>
      <c r="C63" s="435">
        <v>1445</v>
      </c>
      <c r="D63" s="435">
        <v>1495</v>
      </c>
      <c r="E63" s="435">
        <v>1495</v>
      </c>
      <c r="G63" s="6"/>
      <c r="H63" s="6" t="s">
        <v>189</v>
      </c>
      <c r="I63" s="435">
        <v>2695</v>
      </c>
      <c r="J63" s="435">
        <v>2405</v>
      </c>
      <c r="K63" s="435">
        <v>2550</v>
      </c>
      <c r="L63" s="435">
        <v>2590</v>
      </c>
    </row>
    <row r="64" spans="1:12">
      <c r="A64" s="442" t="s">
        <v>18</v>
      </c>
      <c r="B64" s="435">
        <v>70</v>
      </c>
      <c r="C64" s="435">
        <v>75</v>
      </c>
      <c r="D64" s="435">
        <v>80</v>
      </c>
      <c r="E64" s="435">
        <v>70</v>
      </c>
      <c r="G64" s="442"/>
      <c r="H64" s="442" t="s">
        <v>18</v>
      </c>
      <c r="I64" s="435">
        <v>135</v>
      </c>
      <c r="J64" s="435">
        <v>140</v>
      </c>
      <c r="K64" s="435">
        <v>130</v>
      </c>
      <c r="L64" s="435">
        <v>135</v>
      </c>
    </row>
    <row r="65" spans="1:12">
      <c r="A65" s="442" t="s">
        <v>19</v>
      </c>
      <c r="B65" s="435">
        <v>250</v>
      </c>
      <c r="C65" s="435">
        <v>210</v>
      </c>
      <c r="D65" s="435">
        <v>250</v>
      </c>
      <c r="E65" s="435">
        <v>225</v>
      </c>
      <c r="G65" s="442"/>
      <c r="H65" s="442" t="s">
        <v>19</v>
      </c>
      <c r="I65" s="435">
        <v>380</v>
      </c>
      <c r="J65" s="435">
        <v>340</v>
      </c>
      <c r="K65" s="435">
        <v>385</v>
      </c>
      <c r="L65" s="435">
        <v>365</v>
      </c>
    </row>
    <row r="66" spans="1:12">
      <c r="A66" s="442" t="s">
        <v>20</v>
      </c>
      <c r="B66" s="435">
        <v>250</v>
      </c>
      <c r="C66" s="435">
        <v>240</v>
      </c>
      <c r="D66" s="435">
        <v>290</v>
      </c>
      <c r="E66" s="435">
        <v>270</v>
      </c>
      <c r="G66" s="442"/>
      <c r="H66" s="442" t="s">
        <v>20</v>
      </c>
      <c r="I66" s="435">
        <v>485</v>
      </c>
      <c r="J66" s="435">
        <v>440</v>
      </c>
      <c r="K66" s="435">
        <v>480</v>
      </c>
      <c r="L66" s="435">
        <v>480</v>
      </c>
    </row>
    <row r="67" spans="1:12">
      <c r="A67" s="442" t="s">
        <v>21</v>
      </c>
      <c r="B67" s="435">
        <v>200</v>
      </c>
      <c r="C67" s="435">
        <v>245</v>
      </c>
      <c r="D67" s="435">
        <v>205</v>
      </c>
      <c r="E67" s="435">
        <v>210</v>
      </c>
      <c r="G67" s="442"/>
      <c r="H67" s="442" t="s">
        <v>21</v>
      </c>
      <c r="I67" s="435">
        <v>395</v>
      </c>
      <c r="J67" s="435">
        <v>415</v>
      </c>
      <c r="K67" s="435">
        <v>345</v>
      </c>
      <c r="L67" s="435">
        <v>370</v>
      </c>
    </row>
    <row r="68" spans="1:12">
      <c r="A68" s="442" t="s">
        <v>22</v>
      </c>
      <c r="B68" s="435">
        <v>235</v>
      </c>
      <c r="C68" s="435">
        <v>220</v>
      </c>
      <c r="D68" s="435">
        <v>215</v>
      </c>
      <c r="E68" s="435">
        <v>185</v>
      </c>
      <c r="G68" s="442"/>
      <c r="H68" s="442" t="s">
        <v>22</v>
      </c>
      <c r="I68" s="435">
        <v>380</v>
      </c>
      <c r="J68" s="435">
        <v>365</v>
      </c>
      <c r="K68" s="435">
        <v>355</v>
      </c>
      <c r="L68" s="435">
        <v>325</v>
      </c>
    </row>
    <row r="69" spans="1:12">
      <c r="A69" s="442" t="s">
        <v>23</v>
      </c>
      <c r="B69" s="435">
        <v>210</v>
      </c>
      <c r="C69" s="435">
        <v>225</v>
      </c>
      <c r="D69" s="435">
        <v>210</v>
      </c>
      <c r="E69" s="435">
        <v>210</v>
      </c>
      <c r="G69" s="442"/>
      <c r="H69" s="442" t="s">
        <v>23</v>
      </c>
      <c r="I69" s="435">
        <v>340</v>
      </c>
      <c r="J69" s="435">
        <v>355</v>
      </c>
      <c r="K69" s="435">
        <v>335</v>
      </c>
      <c r="L69" s="435">
        <v>355</v>
      </c>
    </row>
    <row r="70" spans="1:12">
      <c r="A70" s="442" t="s">
        <v>24</v>
      </c>
      <c r="B70" s="435">
        <v>195</v>
      </c>
      <c r="C70" s="435">
        <v>190</v>
      </c>
      <c r="D70" s="435">
        <v>205</v>
      </c>
      <c r="E70" s="435">
        <v>205</v>
      </c>
      <c r="G70" s="442"/>
      <c r="H70" s="442" t="s">
        <v>24</v>
      </c>
      <c r="I70" s="435">
        <v>365</v>
      </c>
      <c r="J70" s="435">
        <v>320</v>
      </c>
      <c r="K70" s="435">
        <v>345</v>
      </c>
      <c r="L70" s="435">
        <v>335</v>
      </c>
    </row>
    <row r="71" spans="1:12">
      <c r="A71" s="442" t="s">
        <v>25</v>
      </c>
      <c r="B71" s="435">
        <v>285</v>
      </c>
      <c r="C71" s="435">
        <v>260</v>
      </c>
      <c r="D71" s="435">
        <v>270</v>
      </c>
      <c r="E71" s="435">
        <v>275</v>
      </c>
      <c r="G71" s="442"/>
      <c r="H71" s="442" t="s">
        <v>25</v>
      </c>
      <c r="I71" s="435">
        <v>515</v>
      </c>
      <c r="J71" s="435">
        <v>475</v>
      </c>
      <c r="K71" s="435">
        <v>490</v>
      </c>
      <c r="L71" s="435">
        <v>490</v>
      </c>
    </row>
    <row r="72" spans="1:12">
      <c r="A72" s="442" t="s">
        <v>26</v>
      </c>
      <c r="B72" s="435">
        <v>835</v>
      </c>
      <c r="C72" s="435">
        <v>775</v>
      </c>
      <c r="D72" s="435">
        <v>660</v>
      </c>
      <c r="E72" s="435">
        <v>670</v>
      </c>
      <c r="G72" s="442"/>
      <c r="H72" s="442" t="s">
        <v>26</v>
      </c>
      <c r="I72" s="435">
        <v>1385</v>
      </c>
      <c r="J72" s="435">
        <v>1320</v>
      </c>
      <c r="K72" s="435">
        <v>1190</v>
      </c>
      <c r="L72" s="435">
        <v>1495</v>
      </c>
    </row>
    <row r="73" spans="1:12">
      <c r="A73" s="442" t="s">
        <v>27</v>
      </c>
      <c r="B73" s="435">
        <v>1705</v>
      </c>
      <c r="C73" s="435">
        <v>1600</v>
      </c>
      <c r="D73" s="435">
        <v>1580</v>
      </c>
      <c r="E73" s="435">
        <v>1885</v>
      </c>
      <c r="G73" s="442"/>
      <c r="H73" s="442" t="s">
        <v>27</v>
      </c>
      <c r="I73" s="435">
        <v>3110</v>
      </c>
      <c r="J73" s="435">
        <v>2920</v>
      </c>
      <c r="K73" s="435">
        <v>2870</v>
      </c>
      <c r="L73" s="435">
        <v>3275</v>
      </c>
    </row>
    <row r="74" spans="1:12">
      <c r="A74" s="442" t="s">
        <v>28</v>
      </c>
      <c r="B74" s="435">
        <v>605</v>
      </c>
      <c r="C74" s="435">
        <v>520</v>
      </c>
      <c r="D74" s="435">
        <v>505</v>
      </c>
      <c r="E74" s="435">
        <v>560</v>
      </c>
      <c r="G74" s="442"/>
      <c r="H74" s="442" t="s">
        <v>28</v>
      </c>
      <c r="I74" s="435">
        <v>910</v>
      </c>
      <c r="J74" s="435">
        <v>870</v>
      </c>
      <c r="K74" s="435">
        <v>785</v>
      </c>
      <c r="L74" s="435">
        <v>880</v>
      </c>
    </row>
    <row r="75" spans="1:12">
      <c r="A75" s="442" t="s">
        <v>29</v>
      </c>
      <c r="B75" s="435">
        <v>135</v>
      </c>
      <c r="C75" s="435">
        <v>125</v>
      </c>
      <c r="D75" s="435">
        <v>115</v>
      </c>
      <c r="E75" s="435">
        <v>110</v>
      </c>
      <c r="G75" s="442"/>
      <c r="H75" s="442" t="s">
        <v>29</v>
      </c>
      <c r="I75" s="435">
        <v>225</v>
      </c>
      <c r="J75" s="435">
        <v>210</v>
      </c>
      <c r="K75" s="435">
        <v>195</v>
      </c>
      <c r="L75" s="435">
        <v>210</v>
      </c>
    </row>
    <row r="76" spans="1:12">
      <c r="A76" s="442" t="s">
        <v>30</v>
      </c>
      <c r="B76" s="435">
        <v>195</v>
      </c>
      <c r="C76" s="435">
        <v>165</v>
      </c>
      <c r="D76" s="435">
        <v>170</v>
      </c>
      <c r="E76" s="435">
        <v>180</v>
      </c>
      <c r="G76" s="442"/>
      <c r="H76" s="442" t="s">
        <v>30</v>
      </c>
      <c r="I76" s="435">
        <v>300</v>
      </c>
      <c r="J76" s="435">
        <v>270</v>
      </c>
      <c r="K76" s="435">
        <v>270</v>
      </c>
      <c r="L76" s="435">
        <v>290</v>
      </c>
    </row>
    <row r="77" spans="1:12">
      <c r="A77" s="442" t="s">
        <v>31</v>
      </c>
      <c r="B77" s="435">
        <v>180</v>
      </c>
      <c r="C77" s="435">
        <v>185</v>
      </c>
      <c r="D77" s="435">
        <v>190</v>
      </c>
      <c r="E77" s="435">
        <v>165</v>
      </c>
      <c r="G77" s="442"/>
      <c r="H77" s="442" t="s">
        <v>31</v>
      </c>
      <c r="I77" s="435">
        <v>275</v>
      </c>
      <c r="J77" s="435">
        <v>310</v>
      </c>
      <c r="K77" s="435">
        <v>290</v>
      </c>
      <c r="L77" s="435">
        <v>260</v>
      </c>
    </row>
    <row r="78" spans="1:12">
      <c r="A78" s="442" t="s">
        <v>32</v>
      </c>
      <c r="B78" s="435">
        <v>50</v>
      </c>
      <c r="C78" s="435">
        <v>55</v>
      </c>
      <c r="D78" s="435">
        <v>45</v>
      </c>
      <c r="E78" s="435">
        <v>50</v>
      </c>
      <c r="G78" s="442"/>
      <c r="H78" s="442" t="s">
        <v>32</v>
      </c>
      <c r="I78" s="435">
        <v>80</v>
      </c>
      <c r="J78" s="435">
        <v>85</v>
      </c>
      <c r="K78" s="435">
        <v>70</v>
      </c>
      <c r="L78" s="435">
        <v>75</v>
      </c>
    </row>
    <row r="79" spans="1:12">
      <c r="A79" s="442" t="s">
        <v>33</v>
      </c>
      <c r="B79" s="435">
        <v>255</v>
      </c>
      <c r="C79" s="435">
        <v>235</v>
      </c>
      <c r="D79" s="435">
        <v>200</v>
      </c>
      <c r="E79" s="435">
        <v>215</v>
      </c>
      <c r="G79" s="442"/>
      <c r="H79" s="442" t="s">
        <v>33</v>
      </c>
      <c r="I79" s="435">
        <v>470</v>
      </c>
      <c r="J79" s="435">
        <v>395</v>
      </c>
      <c r="K79" s="435">
        <v>350</v>
      </c>
      <c r="L79" s="435">
        <v>415</v>
      </c>
    </row>
    <row r="80" spans="1:12">
      <c r="A80" s="442" t="s">
        <v>34</v>
      </c>
      <c r="B80" s="435">
        <v>705</v>
      </c>
      <c r="C80" s="435">
        <v>570</v>
      </c>
      <c r="D80" s="435">
        <v>625</v>
      </c>
      <c r="E80" s="435">
        <v>625</v>
      </c>
      <c r="G80" s="442"/>
      <c r="H80" s="442" t="s">
        <v>34</v>
      </c>
      <c r="I80" s="435">
        <v>1245</v>
      </c>
      <c r="J80" s="435">
        <v>1100</v>
      </c>
      <c r="K80" s="435">
        <v>1075</v>
      </c>
      <c r="L80" s="435">
        <v>1155</v>
      </c>
    </row>
    <row r="81" spans="1:12">
      <c r="A81" s="442" t="s">
        <v>35</v>
      </c>
      <c r="B81" s="435">
        <v>55</v>
      </c>
      <c r="C81" s="435">
        <v>45</v>
      </c>
      <c r="D81" s="435">
        <v>30</v>
      </c>
      <c r="E81" s="435">
        <v>30</v>
      </c>
      <c r="G81" s="442"/>
      <c r="H81" s="442" t="s">
        <v>35</v>
      </c>
      <c r="I81" s="435">
        <v>80</v>
      </c>
      <c r="J81" s="435">
        <v>75</v>
      </c>
      <c r="K81" s="435">
        <v>55</v>
      </c>
      <c r="L81" s="435">
        <v>50</v>
      </c>
    </row>
    <row r="82" spans="1:12">
      <c r="A82" s="442" t="s">
        <v>36</v>
      </c>
      <c r="B82" s="435">
        <v>365</v>
      </c>
      <c r="C82" s="435">
        <v>340</v>
      </c>
      <c r="D82" s="435">
        <v>305</v>
      </c>
      <c r="E82" s="435">
        <v>305</v>
      </c>
      <c r="G82" s="442"/>
      <c r="H82" s="442" t="s">
        <v>36</v>
      </c>
      <c r="I82" s="435">
        <v>535</v>
      </c>
      <c r="J82" s="435">
        <v>515</v>
      </c>
      <c r="K82" s="435">
        <v>465</v>
      </c>
      <c r="L82" s="435">
        <v>465</v>
      </c>
    </row>
    <row r="83" spans="1:12">
      <c r="A83" s="442" t="s">
        <v>37</v>
      </c>
      <c r="B83" s="435">
        <v>385</v>
      </c>
      <c r="C83" s="435">
        <v>340</v>
      </c>
      <c r="D83" s="435">
        <v>340</v>
      </c>
      <c r="E83" s="435">
        <v>380</v>
      </c>
      <c r="G83" s="442"/>
      <c r="H83" s="442" t="s">
        <v>37</v>
      </c>
      <c r="I83" s="435">
        <v>690</v>
      </c>
      <c r="J83" s="435">
        <v>620</v>
      </c>
      <c r="K83" s="435">
        <v>595</v>
      </c>
      <c r="L83" s="435">
        <v>660</v>
      </c>
    </row>
    <row r="84" spans="1:12">
      <c r="A84" s="442" t="s">
        <v>38</v>
      </c>
      <c r="B84" s="435">
        <v>245</v>
      </c>
      <c r="C84" s="435">
        <v>210</v>
      </c>
      <c r="D84" s="435">
        <v>195</v>
      </c>
      <c r="E84" s="435">
        <v>220</v>
      </c>
      <c r="G84" s="442"/>
      <c r="H84" s="442" t="s">
        <v>38</v>
      </c>
      <c r="I84" s="435">
        <v>370</v>
      </c>
      <c r="J84" s="435">
        <v>315</v>
      </c>
      <c r="K84" s="435">
        <v>295</v>
      </c>
      <c r="L84" s="435">
        <v>335</v>
      </c>
    </row>
    <row r="85" spans="1:12">
      <c r="A85" s="442" t="s">
        <v>39</v>
      </c>
      <c r="B85" s="435">
        <v>55</v>
      </c>
      <c r="C85" s="435">
        <v>50</v>
      </c>
      <c r="D85" s="435">
        <v>50</v>
      </c>
      <c r="E85" s="435">
        <v>45</v>
      </c>
      <c r="G85" s="442"/>
      <c r="H85" s="442" t="s">
        <v>39</v>
      </c>
      <c r="I85" s="435">
        <v>85</v>
      </c>
      <c r="J85" s="435">
        <v>80</v>
      </c>
      <c r="K85" s="435">
        <v>70</v>
      </c>
      <c r="L85" s="435">
        <v>55</v>
      </c>
    </row>
    <row r="86" spans="1:12">
      <c r="A86" s="442" t="s">
        <v>40</v>
      </c>
      <c r="B86" s="435">
        <v>225</v>
      </c>
      <c r="C86" s="435">
        <v>210</v>
      </c>
      <c r="D86" s="435">
        <v>170</v>
      </c>
      <c r="E86" s="435">
        <v>200</v>
      </c>
      <c r="G86" s="442"/>
      <c r="H86" s="442" t="s">
        <v>40</v>
      </c>
      <c r="I86" s="435">
        <v>445</v>
      </c>
      <c r="J86" s="435">
        <v>365</v>
      </c>
      <c r="K86" s="435">
        <v>350</v>
      </c>
      <c r="L86" s="435">
        <v>360</v>
      </c>
    </row>
    <row r="87" spans="1:12">
      <c r="A87" s="442" t="s">
        <v>41</v>
      </c>
      <c r="B87" s="435">
        <v>675</v>
      </c>
      <c r="C87" s="435">
        <v>615</v>
      </c>
      <c r="D87" s="435">
        <v>670</v>
      </c>
      <c r="E87" s="435">
        <v>650</v>
      </c>
      <c r="G87" s="442"/>
      <c r="H87" s="442" t="s">
        <v>41</v>
      </c>
      <c r="I87" s="435">
        <v>1200</v>
      </c>
      <c r="J87" s="435">
        <v>1130</v>
      </c>
      <c r="K87" s="435">
        <v>1135</v>
      </c>
      <c r="L87" s="435">
        <v>1155</v>
      </c>
    </row>
    <row r="88" spans="1:12">
      <c r="A88" s="442" t="s">
        <v>42</v>
      </c>
      <c r="B88" s="435">
        <v>225</v>
      </c>
      <c r="C88" s="435">
        <v>235</v>
      </c>
      <c r="D88" s="435">
        <v>265</v>
      </c>
      <c r="E88" s="435">
        <v>245</v>
      </c>
      <c r="G88" s="442"/>
      <c r="H88" s="442" t="s">
        <v>42</v>
      </c>
      <c r="I88" s="435">
        <v>385</v>
      </c>
      <c r="J88" s="435">
        <v>365</v>
      </c>
      <c r="K88" s="435">
        <v>445</v>
      </c>
      <c r="L88" s="435">
        <v>375</v>
      </c>
    </row>
    <row r="89" spans="1:12">
      <c r="A89" s="442" t="s">
        <v>43</v>
      </c>
      <c r="B89" s="435">
        <v>160</v>
      </c>
      <c r="C89" s="435">
        <v>135</v>
      </c>
      <c r="D89" s="435">
        <v>145</v>
      </c>
      <c r="E89" s="435">
        <v>140</v>
      </c>
      <c r="G89" s="442"/>
      <c r="H89" s="442" t="s">
        <v>43</v>
      </c>
      <c r="I89" s="435">
        <v>290</v>
      </c>
      <c r="J89" s="435">
        <v>255</v>
      </c>
      <c r="K89" s="435">
        <v>265</v>
      </c>
      <c r="L89" s="435">
        <v>320</v>
      </c>
    </row>
    <row r="90" spans="1:12">
      <c r="A90" s="442" t="s">
        <v>44</v>
      </c>
      <c r="B90" s="435">
        <v>385</v>
      </c>
      <c r="C90" s="435">
        <v>345</v>
      </c>
      <c r="D90" s="435">
        <v>385</v>
      </c>
      <c r="E90" s="435">
        <v>355</v>
      </c>
      <c r="G90" s="442"/>
      <c r="H90" s="442" t="s">
        <v>44</v>
      </c>
      <c r="I90" s="435">
        <v>700</v>
      </c>
      <c r="J90" s="435">
        <v>600</v>
      </c>
      <c r="K90" s="435">
        <v>660</v>
      </c>
      <c r="L90" s="435">
        <v>620</v>
      </c>
    </row>
    <row r="91" spans="1:12">
      <c r="A91" s="442" t="s">
        <v>45</v>
      </c>
      <c r="B91" s="435">
        <v>12590</v>
      </c>
      <c r="C91" s="435">
        <v>11600</v>
      </c>
      <c r="D91" s="435">
        <v>11570</v>
      </c>
      <c r="E91" s="435">
        <v>11870</v>
      </c>
      <c r="G91" s="442"/>
      <c r="H91" s="442" t="s">
        <v>45</v>
      </c>
      <c r="I91" s="435">
        <v>21440</v>
      </c>
      <c r="J91" s="435">
        <v>19845</v>
      </c>
      <c r="K91" s="435">
        <v>19620</v>
      </c>
      <c r="L91" s="435">
        <v>20680</v>
      </c>
    </row>
    <row r="92" spans="1:12">
      <c r="A92" s="442" t="s">
        <v>46</v>
      </c>
      <c r="B92" s="435">
        <v>215085</v>
      </c>
      <c r="C92" s="435">
        <v>200360</v>
      </c>
      <c r="D92" s="435">
        <v>200650</v>
      </c>
      <c r="E92" s="435">
        <v>203470</v>
      </c>
      <c r="G92" s="442"/>
      <c r="H92" s="442" t="s">
        <v>46</v>
      </c>
      <c r="I92" s="435">
        <v>397540</v>
      </c>
      <c r="J92" s="435">
        <v>356895</v>
      </c>
      <c r="K92" s="435">
        <v>348630</v>
      </c>
      <c r="L92" s="435">
        <v>363825</v>
      </c>
    </row>
    <row r="93" spans="1:12">
      <c r="A93" s="442" t="s">
        <v>47</v>
      </c>
      <c r="B93" s="445">
        <f t="shared" ref="B93:D93" si="23">SUM(B89+B87+B83+B80+B75+B73+B70+B68)</f>
        <v>4195</v>
      </c>
      <c r="C93" s="445">
        <f t="shared" si="23"/>
        <v>3795</v>
      </c>
      <c r="D93" s="445">
        <f t="shared" si="23"/>
        <v>3895</v>
      </c>
      <c r="E93" s="445">
        <f t="shared" ref="E93" si="24">SUM(E89+E87+E83+E80+E75+E73+E70+E68)</f>
        <v>4180</v>
      </c>
      <c r="G93" s="442"/>
      <c r="H93" s="442" t="s">
        <v>47</v>
      </c>
      <c r="I93" s="445">
        <f t="shared" ref="I93:K93" si="25">SUM(I89+I87+I83+I80+I75+I73+I70+I68)</f>
        <v>7505</v>
      </c>
      <c r="J93" s="445">
        <f t="shared" si="25"/>
        <v>6920</v>
      </c>
      <c r="K93" s="445">
        <f t="shared" si="25"/>
        <v>6835</v>
      </c>
      <c r="L93" s="445">
        <f t="shared" ref="L93" si="26">SUM(L89+L87+L83+L80+L75+L73+L70+L68)</f>
        <v>7435</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autoPageBreaks="0" fitToPage="1"/>
  </sheetPr>
  <dimension ref="A1:R48"/>
  <sheetViews>
    <sheetView showGridLines="0" zoomScale="55" zoomScaleNormal="55" workbookViewId="0">
      <selection activeCell="P43" sqref="A8:P43"/>
    </sheetView>
  </sheetViews>
  <sheetFormatPr defaultColWidth="8.7265625" defaultRowHeight="14.5"/>
  <cols>
    <col min="1" max="1" width="25" customWidth="1" collapsed="1"/>
    <col min="2" max="18" width="14" customWidth="1" collapsed="1"/>
  </cols>
  <sheetData>
    <row r="1" spans="1:18" ht="15.5">
      <c r="A1" s="1"/>
    </row>
    <row r="2" spans="1:18">
      <c r="A2" s="2"/>
    </row>
    <row r="4" spans="1:18">
      <c r="A4" s="6" t="s">
        <v>1</v>
      </c>
      <c r="B4" s="6" t="s">
        <v>2</v>
      </c>
    </row>
    <row r="5" spans="1:18">
      <c r="A5" s="6" t="s">
        <v>3</v>
      </c>
      <c r="B5" s="6" t="s">
        <v>578</v>
      </c>
    </row>
    <row r="7" spans="1:18" ht="22" customHeight="1">
      <c r="A7" s="12" t="s">
        <v>5</v>
      </c>
      <c r="B7" s="603">
        <v>2019</v>
      </c>
      <c r="C7" s="603"/>
      <c r="D7" s="603"/>
      <c r="E7" s="603"/>
      <c r="F7" s="603">
        <v>2020</v>
      </c>
      <c r="G7" s="603"/>
      <c r="H7" s="603"/>
      <c r="I7" s="603"/>
      <c r="J7" s="603">
        <v>2021</v>
      </c>
      <c r="K7" s="603"/>
      <c r="L7" s="603"/>
      <c r="M7" s="603"/>
      <c r="N7" s="603">
        <v>2022</v>
      </c>
      <c r="O7" s="603"/>
      <c r="P7" s="603"/>
      <c r="Q7" s="603"/>
      <c r="R7" s="65"/>
    </row>
    <row r="8" spans="1:18"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c r="R8" s="11"/>
    </row>
    <row r="9" spans="1:18">
      <c r="A9" s="6" t="s">
        <v>14</v>
      </c>
      <c r="B9" s="9">
        <v>1302.3705960871732</v>
      </c>
      <c r="C9" s="9">
        <v>226.09734602079115</v>
      </c>
      <c r="D9" s="9">
        <v>5.7602206262403968</v>
      </c>
      <c r="F9" s="9">
        <v>1116.7079977610924</v>
      </c>
      <c r="G9" s="9">
        <v>226.16082811240099</v>
      </c>
      <c r="H9" s="9">
        <v>4.9376720410932222</v>
      </c>
      <c r="I9" s="9"/>
      <c r="J9" s="9">
        <v>1216.3622380965339</v>
      </c>
      <c r="K9" s="9">
        <v>227.43</v>
      </c>
      <c r="L9" s="9">
        <v>5.3482928289870904</v>
      </c>
      <c r="M9" s="9"/>
      <c r="N9" s="9">
        <v>1164.8619004905522</v>
      </c>
      <c r="O9" s="9">
        <v>224.19</v>
      </c>
      <c r="P9" s="9">
        <v>5.1958691310520191</v>
      </c>
      <c r="Q9" s="9"/>
      <c r="R9" s="9"/>
    </row>
    <row r="10" spans="1:18">
      <c r="A10" s="6" t="s">
        <v>15</v>
      </c>
      <c r="B10" s="9">
        <v>2939.0765545353333</v>
      </c>
      <c r="C10" s="9">
        <v>260.25134159570138</v>
      </c>
      <c r="D10" s="9">
        <v>11.293223452815733</v>
      </c>
      <c r="F10" s="9">
        <v>2772.0882265757991</v>
      </c>
      <c r="G10" s="9">
        <v>259.70328469045171</v>
      </c>
      <c r="H10" s="9">
        <v>10.674059166713798</v>
      </c>
      <c r="I10" s="9"/>
      <c r="J10" s="9">
        <v>2890.8520045388032</v>
      </c>
      <c r="K10" s="9">
        <v>262.69</v>
      </c>
      <c r="L10" s="9">
        <v>11.004804159042228</v>
      </c>
      <c r="M10" s="9"/>
      <c r="N10" s="9">
        <v>2819.900775310778</v>
      </c>
      <c r="O10" s="9">
        <v>263.75</v>
      </c>
      <c r="P10" s="9">
        <v>10.691566920609585</v>
      </c>
      <c r="Q10" s="9"/>
      <c r="R10" s="9"/>
    </row>
    <row r="11" spans="1:18">
      <c r="A11" s="6" t="s">
        <v>16</v>
      </c>
      <c r="B11" s="9">
        <v>1251.1591088607631</v>
      </c>
      <c r="C11" s="9">
        <v>116.21441215482942</v>
      </c>
      <c r="D11" s="9">
        <v>10.765954804244732</v>
      </c>
      <c r="F11" s="9">
        <v>1180.0070540103065</v>
      </c>
      <c r="G11" s="9">
        <v>115.83616065184063</v>
      </c>
      <c r="H11" s="9">
        <v>10.186862611554938</v>
      </c>
      <c r="I11" s="9"/>
      <c r="J11" s="9">
        <v>1230.6559260324127</v>
      </c>
      <c r="K11" s="9">
        <v>116.12</v>
      </c>
      <c r="L11" s="9">
        <v>10.598139218329424</v>
      </c>
      <c r="M11" s="9"/>
      <c r="N11" s="9">
        <v>1175.4496368292052</v>
      </c>
      <c r="O11" s="9">
        <v>114.66</v>
      </c>
      <c r="P11" s="9">
        <v>10.251610298527867</v>
      </c>
      <c r="Q11" s="9"/>
      <c r="R11" s="9"/>
    </row>
    <row r="12" spans="1:18">
      <c r="A12" s="6" t="s">
        <v>17</v>
      </c>
      <c r="B12" s="9">
        <v>260.98167214267909</v>
      </c>
      <c r="C12" s="9">
        <v>86.58975979185719</v>
      </c>
      <c r="D12" s="9">
        <v>3.014001572126102</v>
      </c>
      <c r="F12" s="9">
        <v>242.60781248727221</v>
      </c>
      <c r="G12" s="9">
        <v>86.235580690528181</v>
      </c>
      <c r="H12" s="9">
        <v>2.8133145337991494</v>
      </c>
      <c r="I12" s="9"/>
      <c r="J12" s="9">
        <v>315.17204429925499</v>
      </c>
      <c r="K12" s="9">
        <v>86.22</v>
      </c>
      <c r="L12" s="9">
        <v>3.6554400869781372</v>
      </c>
      <c r="M12" s="9"/>
      <c r="N12" s="9">
        <v>332.99780050733887</v>
      </c>
      <c r="O12" s="9">
        <v>87.92</v>
      </c>
      <c r="P12" s="9">
        <v>3.7875091049515337</v>
      </c>
      <c r="Q12" s="9"/>
      <c r="R12" s="9"/>
    </row>
    <row r="13" spans="1:18">
      <c r="A13" s="6" t="s">
        <v>189</v>
      </c>
      <c r="B13" s="9">
        <v>2407.2342705506544</v>
      </c>
      <c r="C13" s="9">
        <v>517.94575837451964</v>
      </c>
      <c r="D13" s="9">
        <v>4.6476570791994316</v>
      </c>
      <c r="F13" s="9">
        <v>2050.3185109653446</v>
      </c>
      <c r="G13" s="9">
        <v>519.72246363850331</v>
      </c>
      <c r="H13" s="9">
        <v>3.9450257674285525</v>
      </c>
      <c r="I13" s="9"/>
      <c r="J13" s="9">
        <v>2286.2959051970843</v>
      </c>
      <c r="K13" s="9">
        <v>526.47</v>
      </c>
      <c r="L13" s="9">
        <v>4.3426898117596142</v>
      </c>
      <c r="M13" s="9"/>
      <c r="N13" s="9">
        <v>2191.8938103116689</v>
      </c>
      <c r="O13" s="9">
        <v>514.99</v>
      </c>
      <c r="P13" s="9">
        <v>4.2561871304523757</v>
      </c>
      <c r="Q13" s="9"/>
      <c r="R13" s="9"/>
    </row>
    <row r="14" spans="1:18">
      <c r="A14" s="6" t="s">
        <v>18</v>
      </c>
      <c r="B14" s="9">
        <v>575.68302406696262</v>
      </c>
      <c r="C14" s="9">
        <v>51.646407231134333</v>
      </c>
      <c r="D14" s="9">
        <v>11.146622871376035</v>
      </c>
      <c r="F14" s="9">
        <v>526.32685324566398</v>
      </c>
      <c r="G14" s="9">
        <v>51.40912747856985</v>
      </c>
      <c r="H14" s="9">
        <v>10.238004009406033</v>
      </c>
      <c r="I14" s="9"/>
      <c r="J14" s="9">
        <v>514.46074928644998</v>
      </c>
      <c r="K14" s="9">
        <v>51.54</v>
      </c>
      <c r="L14" s="9">
        <v>9.9817762764154061</v>
      </c>
      <c r="M14" s="9"/>
      <c r="N14" s="9">
        <v>507.53128698797639</v>
      </c>
      <c r="O14" s="9">
        <v>51.75</v>
      </c>
      <c r="P14" s="9">
        <v>9.8073678645019591</v>
      </c>
      <c r="Q14" s="9"/>
      <c r="R14" s="9"/>
    </row>
    <row r="15" spans="1:18">
      <c r="A15" s="6" t="s">
        <v>19</v>
      </c>
      <c r="B15" s="9">
        <v>2320.4846944409733</v>
      </c>
      <c r="C15" s="9">
        <v>149.53235578465481</v>
      </c>
      <c r="D15" s="9">
        <v>15.518278183102792</v>
      </c>
      <c r="F15" s="9">
        <v>2220.1209324811612</v>
      </c>
      <c r="G15" s="9">
        <v>149.04350392462555</v>
      </c>
      <c r="H15" s="9">
        <v>14.895791322806817</v>
      </c>
      <c r="I15" s="9"/>
      <c r="J15" s="9">
        <v>2378.5878435194008</v>
      </c>
      <c r="K15" s="9">
        <v>148.79</v>
      </c>
      <c r="L15" s="9">
        <v>15.98620769890047</v>
      </c>
      <c r="M15" s="9"/>
      <c r="N15" s="9">
        <v>2302.9046975875826</v>
      </c>
      <c r="O15" s="9">
        <v>145.77000000000001</v>
      </c>
      <c r="P15" s="9">
        <v>15.798207433543134</v>
      </c>
      <c r="Q15" s="9"/>
      <c r="R15" s="9"/>
    </row>
    <row r="16" spans="1:18">
      <c r="A16" s="6" t="s">
        <v>20</v>
      </c>
      <c r="B16" s="9">
        <v>692.43447072517995</v>
      </c>
      <c r="C16" s="9">
        <v>148.02206369244777</v>
      </c>
      <c r="D16" s="9">
        <v>4.6779139099417151</v>
      </c>
      <c r="F16" s="9">
        <v>663.63216012587168</v>
      </c>
      <c r="G16" s="9">
        <v>147.36471108055744</v>
      </c>
      <c r="H16" s="9">
        <v>4.503331599945219</v>
      </c>
      <c r="I16" s="9"/>
      <c r="J16" s="9">
        <v>673.69500721553231</v>
      </c>
      <c r="K16" s="9">
        <v>147.72</v>
      </c>
      <c r="L16" s="9">
        <v>4.5606214948248871</v>
      </c>
      <c r="M16" s="9"/>
      <c r="N16" s="9">
        <v>628.60296715468257</v>
      </c>
      <c r="O16" s="9">
        <v>148.35</v>
      </c>
      <c r="P16" s="9">
        <v>4.2372967115246549</v>
      </c>
      <c r="Q16" s="9"/>
      <c r="R16" s="9"/>
    </row>
    <row r="17" spans="1:18">
      <c r="A17" s="6" t="s">
        <v>21</v>
      </c>
      <c r="B17" s="9">
        <v>865.20418746864198</v>
      </c>
      <c r="C17" s="9">
        <v>122.38312376805075</v>
      </c>
      <c r="D17" s="9">
        <v>7.0696364076180869</v>
      </c>
      <c r="F17" s="9">
        <v>789.21877112181892</v>
      </c>
      <c r="G17" s="9">
        <v>122.01835367157888</v>
      </c>
      <c r="H17" s="9">
        <v>6.4680332701919392</v>
      </c>
      <c r="I17" s="9"/>
      <c r="J17" s="9">
        <v>850.39013581209622</v>
      </c>
      <c r="K17" s="9">
        <v>122.02</v>
      </c>
      <c r="L17" s="9">
        <v>6.9692684462555015</v>
      </c>
      <c r="M17" s="9"/>
      <c r="N17" s="9">
        <v>807.92769893006061</v>
      </c>
      <c r="O17" s="9">
        <v>120.39</v>
      </c>
      <c r="P17" s="9">
        <v>6.7109203333338368</v>
      </c>
      <c r="Q17" s="9"/>
      <c r="R17" s="9"/>
    </row>
    <row r="18" spans="1:18">
      <c r="A18" s="6" t="s">
        <v>22</v>
      </c>
      <c r="B18" s="9">
        <v>476.59243411194342</v>
      </c>
      <c r="C18" s="9">
        <v>108.14535520589223</v>
      </c>
      <c r="D18" s="9">
        <v>4.4069616601155381</v>
      </c>
      <c r="F18" s="9">
        <v>433.44438179274931</v>
      </c>
      <c r="G18" s="9">
        <v>108.19296116504856</v>
      </c>
      <c r="H18" s="9">
        <v>4.0062160895247994</v>
      </c>
      <c r="I18" s="9"/>
      <c r="J18" s="9">
        <v>473.33869418089068</v>
      </c>
      <c r="K18" s="9">
        <v>108.9</v>
      </c>
      <c r="L18" s="9">
        <v>4.3465444828364612</v>
      </c>
      <c r="M18" s="9"/>
      <c r="N18" s="9">
        <v>432.81881223615073</v>
      </c>
      <c r="O18" s="9">
        <v>108.98</v>
      </c>
      <c r="P18" s="9">
        <v>3.9715435147380318</v>
      </c>
      <c r="Q18" s="9"/>
      <c r="R18" s="9"/>
    </row>
    <row r="19" spans="1:18">
      <c r="A19" s="6" t="s">
        <v>23</v>
      </c>
      <c r="B19" s="9">
        <v>1429.2882678613448</v>
      </c>
      <c r="C19" s="9">
        <v>107.86893677289443</v>
      </c>
      <c r="D19" s="9">
        <v>13.250230424265199</v>
      </c>
      <c r="F19" s="9">
        <v>1214.5529842322076</v>
      </c>
      <c r="G19" s="9">
        <v>108.78293199663574</v>
      </c>
      <c r="H19" s="9">
        <v>11.164922308490171</v>
      </c>
      <c r="I19" s="9"/>
      <c r="J19" s="9">
        <v>1317.0032986939427</v>
      </c>
      <c r="K19" s="9">
        <v>109.58</v>
      </c>
      <c r="L19" s="9">
        <v>12.018646638929939</v>
      </c>
      <c r="M19" s="9"/>
      <c r="N19" s="9">
        <v>1259.6779349546807</v>
      </c>
      <c r="O19" s="9">
        <v>112.45</v>
      </c>
      <c r="P19" s="9">
        <v>11.202115917782843</v>
      </c>
      <c r="Q19" s="9"/>
      <c r="R19" s="9"/>
    </row>
    <row r="20" spans="1:18">
      <c r="A20" s="6" t="s">
        <v>24</v>
      </c>
      <c r="B20" s="9">
        <v>440.80707646999878</v>
      </c>
      <c r="C20" s="9">
        <v>95.27814346159937</v>
      </c>
      <c r="D20" s="9">
        <v>4.62652881820331</v>
      </c>
      <c r="F20" s="9">
        <v>397.32988239582039</v>
      </c>
      <c r="G20" s="9">
        <v>95.775089433019858</v>
      </c>
      <c r="H20" s="9">
        <v>4.1485722931503224</v>
      </c>
      <c r="I20" s="9"/>
      <c r="J20" s="9">
        <v>435.58436870872958</v>
      </c>
      <c r="K20" s="9">
        <v>96.58</v>
      </c>
      <c r="L20" s="9">
        <v>4.5100887213577305</v>
      </c>
      <c r="M20" s="9"/>
      <c r="N20" s="9">
        <v>409.38775353084191</v>
      </c>
      <c r="O20" s="9">
        <v>97.16</v>
      </c>
      <c r="P20" s="9">
        <v>4.2135421318530453</v>
      </c>
      <c r="Q20" s="9"/>
      <c r="R20" s="9"/>
    </row>
    <row r="21" spans="1:18">
      <c r="A21" s="6" t="s">
        <v>25</v>
      </c>
      <c r="B21" s="9">
        <v>2497.6716904005175</v>
      </c>
      <c r="C21" s="9">
        <v>160.00072923902172</v>
      </c>
      <c r="D21" s="9">
        <v>15.610376916903286</v>
      </c>
      <c r="F21" s="9">
        <v>2398.0344533986236</v>
      </c>
      <c r="G21" s="9">
        <v>159.56162236586795</v>
      </c>
      <c r="H21" s="9">
        <v>15.028892398073225</v>
      </c>
      <c r="I21" s="9"/>
      <c r="J21" s="9">
        <v>2358.298621428251</v>
      </c>
      <c r="K21" s="9">
        <v>160.69999999999999</v>
      </c>
      <c r="L21" s="9">
        <v>14.675162547780031</v>
      </c>
      <c r="M21" s="9"/>
      <c r="N21" s="9">
        <v>2314.3491668650286</v>
      </c>
      <c r="O21" s="9">
        <v>158.44999999999999</v>
      </c>
      <c r="P21" s="9">
        <v>14.606179658346663</v>
      </c>
      <c r="Q21" s="9"/>
      <c r="R21" s="9"/>
    </row>
    <row r="22" spans="1:18">
      <c r="A22" s="6" t="s">
        <v>26</v>
      </c>
      <c r="B22" s="9">
        <v>3258.3430820252274</v>
      </c>
      <c r="C22" s="9">
        <v>373.17989616057082</v>
      </c>
      <c r="D22" s="9">
        <v>8.7312931793711535</v>
      </c>
      <c r="F22" s="9">
        <v>3342.4785174486888</v>
      </c>
      <c r="G22" s="9">
        <v>373.71298670023725</v>
      </c>
      <c r="H22" s="9">
        <v>8.9439720759015486</v>
      </c>
      <c r="I22" s="9"/>
      <c r="J22" s="9">
        <v>3250.253839638006</v>
      </c>
      <c r="K22" s="9">
        <v>374.73</v>
      </c>
      <c r="L22" s="9">
        <v>8.6735885561284274</v>
      </c>
      <c r="M22" s="9"/>
      <c r="N22" s="9">
        <v>3310.6081113422397</v>
      </c>
      <c r="O22" s="9">
        <v>371.34</v>
      </c>
      <c r="P22" s="9">
        <v>8.9153016409280976</v>
      </c>
      <c r="Q22" s="9"/>
      <c r="R22" s="9"/>
    </row>
    <row r="23" spans="1:18">
      <c r="A23" s="6" t="s">
        <v>27</v>
      </c>
      <c r="B23" s="9">
        <v>2874.2433544611395</v>
      </c>
      <c r="C23" s="9">
        <v>628.28450862999227</v>
      </c>
      <c r="D23" s="9">
        <v>4.5747480878186533</v>
      </c>
      <c r="F23" s="9">
        <v>2466.5250697814045</v>
      </c>
      <c r="G23" s="9">
        <v>630.17841972890494</v>
      </c>
      <c r="H23" s="9">
        <v>3.9140106873898879</v>
      </c>
      <c r="I23" s="9"/>
      <c r="J23" s="9">
        <v>2763.3926261388051</v>
      </c>
      <c r="K23" s="9">
        <v>635.13</v>
      </c>
      <c r="L23" s="9">
        <v>4.3509086740333558</v>
      </c>
      <c r="M23" s="9"/>
      <c r="N23" s="9">
        <v>2606.8682690611154</v>
      </c>
      <c r="O23" s="9">
        <v>622.82000000000005</v>
      </c>
      <c r="P23" s="9">
        <v>4.1855885634069478</v>
      </c>
      <c r="Q23" s="9"/>
      <c r="R23" s="9"/>
    </row>
    <row r="24" spans="1:18">
      <c r="A24" s="6" t="s">
        <v>28</v>
      </c>
      <c r="B24" s="9">
        <v>2995.4460757656216</v>
      </c>
      <c r="C24" s="9">
        <v>237.14515435764679</v>
      </c>
      <c r="D24" s="9">
        <v>12.631276754860806</v>
      </c>
      <c r="F24" s="9">
        <v>2287.7930413134163</v>
      </c>
      <c r="G24" s="9">
        <v>236.90703913506923</v>
      </c>
      <c r="H24" s="9">
        <v>9.6569230262890713</v>
      </c>
      <c r="I24" s="9"/>
      <c r="J24" s="9">
        <v>2461.31524575201</v>
      </c>
      <c r="K24" s="9">
        <v>238.06</v>
      </c>
      <c r="L24" s="9">
        <v>10.339054212181845</v>
      </c>
      <c r="M24" s="9"/>
      <c r="N24" s="9">
        <v>2514.4715198667786</v>
      </c>
      <c r="O24" s="9">
        <v>235.71</v>
      </c>
      <c r="P24" s="9">
        <v>10.667648890020697</v>
      </c>
      <c r="Q24" s="9"/>
      <c r="R24" s="9"/>
    </row>
    <row r="25" spans="1:18">
      <c r="A25" s="6" t="s">
        <v>29</v>
      </c>
      <c r="B25" s="9">
        <v>342.69368646220352</v>
      </c>
      <c r="C25" s="9">
        <v>77.682288926675241</v>
      </c>
      <c r="D25" s="9">
        <v>4.411477715154275</v>
      </c>
      <c r="F25" s="9">
        <v>329.47373261217814</v>
      </c>
      <c r="G25" s="9">
        <v>76.928834611514048</v>
      </c>
      <c r="H25" s="9">
        <v>4.2828379537529786</v>
      </c>
      <c r="I25" s="9"/>
      <c r="J25" s="9">
        <v>348.41804429013928</v>
      </c>
      <c r="K25" s="9">
        <v>76.7</v>
      </c>
      <c r="L25" s="9">
        <v>4.5426081393760009</v>
      </c>
      <c r="M25" s="9"/>
      <c r="N25" s="9">
        <v>318.33523716020784</v>
      </c>
      <c r="O25" s="9">
        <v>78.34</v>
      </c>
      <c r="P25" s="9">
        <v>4.0635082609166178</v>
      </c>
      <c r="Q25" s="9"/>
      <c r="R25" s="9"/>
    </row>
    <row r="26" spans="1:18">
      <c r="A26" s="6" t="s">
        <v>30</v>
      </c>
      <c r="B26" s="9">
        <v>523.72731142584462</v>
      </c>
      <c r="C26" s="9">
        <v>92.579984766203197</v>
      </c>
      <c r="D26" s="9">
        <v>5.6570252495551712</v>
      </c>
      <c r="F26" s="9">
        <v>466.75389194208577</v>
      </c>
      <c r="G26" s="9">
        <v>93.28599019676949</v>
      </c>
      <c r="H26" s="9">
        <v>5.0034725574285597</v>
      </c>
      <c r="I26" s="9"/>
      <c r="J26" s="9">
        <v>507.67327933170225</v>
      </c>
      <c r="K26" s="9">
        <v>94.68</v>
      </c>
      <c r="L26" s="9">
        <v>5.3619906984759425</v>
      </c>
      <c r="M26" s="9"/>
      <c r="N26" s="9">
        <v>477.50823415998582</v>
      </c>
      <c r="O26" s="9">
        <v>97.03</v>
      </c>
      <c r="P26" s="9">
        <v>4.9212432666184256</v>
      </c>
      <c r="Q26" s="9"/>
      <c r="R26" s="9"/>
    </row>
    <row r="27" spans="1:18">
      <c r="A27" s="6" t="s">
        <v>31</v>
      </c>
      <c r="B27" s="9">
        <v>820.65745973842184</v>
      </c>
      <c r="C27" s="9">
        <v>95.627011725755295</v>
      </c>
      <c r="D27" s="9">
        <v>8.581858252477355</v>
      </c>
      <c r="F27" s="9">
        <v>722.60287175158635</v>
      </c>
      <c r="G27" s="9">
        <v>95.49313743274935</v>
      </c>
      <c r="H27" s="9">
        <v>7.5670659816835162</v>
      </c>
      <c r="I27" s="9"/>
      <c r="J27" s="9">
        <v>809.94520950119329</v>
      </c>
      <c r="K27" s="9">
        <v>96.41</v>
      </c>
      <c r="L27" s="9">
        <v>8.4010497821926489</v>
      </c>
      <c r="M27" s="9"/>
      <c r="N27" s="9">
        <v>780.88449157895104</v>
      </c>
      <c r="O27" s="9">
        <v>94.28</v>
      </c>
      <c r="P27" s="9">
        <v>8.2826102203961707</v>
      </c>
      <c r="Q27" s="9"/>
      <c r="R27" s="9"/>
    </row>
    <row r="28" spans="1:18">
      <c r="A28" s="6" t="s">
        <v>32</v>
      </c>
      <c r="B28" s="9">
        <v>886.15158348641091</v>
      </c>
      <c r="C28" s="9">
        <v>26.911604090392622</v>
      </c>
      <c r="D28" s="9">
        <v>32.928233505143041</v>
      </c>
      <c r="F28" s="9">
        <v>868.31075189221451</v>
      </c>
      <c r="G28" s="9">
        <v>26.713779825779568</v>
      </c>
      <c r="H28" s="9">
        <v>32.504226566031271</v>
      </c>
      <c r="I28" s="9"/>
      <c r="J28" s="9">
        <v>875.19295414820533</v>
      </c>
      <c r="K28" s="9">
        <v>26.64</v>
      </c>
      <c r="L28" s="9">
        <v>32.852588368926625</v>
      </c>
      <c r="M28" s="9"/>
      <c r="N28" s="9">
        <v>873.81448829014198</v>
      </c>
      <c r="O28" s="9">
        <v>26.12</v>
      </c>
      <c r="P28" s="9">
        <v>33.453847178029939</v>
      </c>
      <c r="Q28" s="9"/>
      <c r="R28" s="9"/>
    </row>
    <row r="29" spans="1:18">
      <c r="A29" s="6" t="s">
        <v>33</v>
      </c>
      <c r="B29" s="9">
        <v>889.68823460186536</v>
      </c>
      <c r="C29" s="9">
        <v>134.95727390817464</v>
      </c>
      <c r="D29" s="9">
        <v>6.5923696354982102</v>
      </c>
      <c r="F29" s="9">
        <v>772.84183401000814</v>
      </c>
      <c r="G29" s="9">
        <v>134.49354423292269</v>
      </c>
      <c r="H29" s="9">
        <v>5.7463117536077553</v>
      </c>
      <c r="I29" s="9"/>
      <c r="J29" s="9">
        <v>868.53830645607866</v>
      </c>
      <c r="K29" s="9">
        <v>134.22</v>
      </c>
      <c r="L29" s="9">
        <v>6.4710051144097651</v>
      </c>
      <c r="M29" s="9"/>
      <c r="N29" s="9">
        <v>825.6928288702718</v>
      </c>
      <c r="O29" s="9">
        <v>133.49</v>
      </c>
      <c r="P29" s="9">
        <v>6.1854283382296185</v>
      </c>
      <c r="Q29" s="9"/>
      <c r="R29" s="9"/>
    </row>
    <row r="30" spans="1:18">
      <c r="A30" s="6" t="s">
        <v>34</v>
      </c>
      <c r="B30" s="9">
        <v>2056.2164810821673</v>
      </c>
      <c r="C30" s="9">
        <v>341.17761920224177</v>
      </c>
      <c r="D30" s="9">
        <v>6.0268211200081456</v>
      </c>
      <c r="F30" s="9">
        <v>1765.7471063208527</v>
      </c>
      <c r="G30" s="9">
        <v>340.92371742239891</v>
      </c>
      <c r="H30" s="9">
        <v>5.1793026301338871</v>
      </c>
      <c r="I30" s="9"/>
      <c r="J30" s="9">
        <v>1922.3187780843643</v>
      </c>
      <c r="K30" s="9">
        <v>341.4</v>
      </c>
      <c r="L30" s="9">
        <v>5.6306935503349864</v>
      </c>
      <c r="M30" s="9"/>
      <c r="N30" s="9">
        <v>1858.2142605437041</v>
      </c>
      <c r="O30" s="9">
        <v>340.93</v>
      </c>
      <c r="P30" s="9">
        <v>5.4504275380391984</v>
      </c>
      <c r="Q30" s="9"/>
      <c r="R30" s="9"/>
    </row>
    <row r="31" spans="1:18">
      <c r="A31" s="6" t="s">
        <v>35</v>
      </c>
      <c r="B31" s="9">
        <v>370.25373127787009</v>
      </c>
      <c r="C31" s="9">
        <v>22.328153115726998</v>
      </c>
      <c r="D31" s="9">
        <v>16.582371562880368</v>
      </c>
      <c r="F31" s="9">
        <v>356.80994300871492</v>
      </c>
      <c r="G31" s="9">
        <v>22.465804154302663</v>
      </c>
      <c r="H31" s="9">
        <v>15.882357940896519</v>
      </c>
      <c r="I31" s="9"/>
      <c r="J31" s="9">
        <v>365.41392988919279</v>
      </c>
      <c r="K31" s="9">
        <v>22.54</v>
      </c>
      <c r="L31" s="9">
        <v>16.211798131729939</v>
      </c>
      <c r="M31" s="9"/>
      <c r="N31" s="9">
        <v>356.85837135611376</v>
      </c>
      <c r="O31" s="9">
        <v>22.02</v>
      </c>
      <c r="P31" s="9">
        <v>16.206102241422059</v>
      </c>
      <c r="Q31" s="9"/>
      <c r="R31" s="9"/>
    </row>
    <row r="32" spans="1:18">
      <c r="A32" s="6" t="s">
        <v>36</v>
      </c>
      <c r="B32" s="9">
        <v>1325.5649913893583</v>
      </c>
      <c r="C32" s="9">
        <v>152.47864598025384</v>
      </c>
      <c r="D32" s="9">
        <v>8.6934467634308632</v>
      </c>
      <c r="F32" s="9">
        <v>1192.9900105779561</v>
      </c>
      <c r="G32" s="9">
        <v>152.50457016925245</v>
      </c>
      <c r="H32" s="9">
        <v>7.8226508835371513</v>
      </c>
      <c r="I32" s="9"/>
      <c r="J32" s="9">
        <v>1295.4061223519009</v>
      </c>
      <c r="K32" s="9">
        <v>153.81</v>
      </c>
      <c r="L32" s="9">
        <v>8.4221189932507698</v>
      </c>
      <c r="M32" s="9"/>
      <c r="N32" s="9">
        <v>1258.15273548287</v>
      </c>
      <c r="O32" s="9">
        <v>151.12</v>
      </c>
      <c r="P32" s="9">
        <v>8.3255210129888155</v>
      </c>
      <c r="Q32" s="9"/>
      <c r="R32" s="9"/>
    </row>
    <row r="33" spans="1:18">
      <c r="A33" s="6" t="s">
        <v>37</v>
      </c>
      <c r="B33" s="9">
        <v>983.57050324319164</v>
      </c>
      <c r="C33" s="9">
        <v>179.40748607666393</v>
      </c>
      <c r="D33" s="9">
        <v>5.482326990652413</v>
      </c>
      <c r="F33" s="9">
        <v>824.38869484624308</v>
      </c>
      <c r="G33" s="9">
        <v>179.7364819553564</v>
      </c>
      <c r="H33" s="9">
        <v>4.5866520022963826</v>
      </c>
      <c r="I33" s="9"/>
      <c r="J33" s="9">
        <v>912.99086501357237</v>
      </c>
      <c r="K33" s="9">
        <v>179.94</v>
      </c>
      <c r="L33" s="9">
        <v>5.0738627598842525</v>
      </c>
      <c r="M33" s="9"/>
      <c r="N33" s="9">
        <v>902.19869606095131</v>
      </c>
      <c r="O33" s="9">
        <v>184.34</v>
      </c>
      <c r="P33" s="9">
        <v>4.8942101337797075</v>
      </c>
      <c r="Q33" s="9"/>
      <c r="R33" s="9"/>
    </row>
    <row r="34" spans="1:18">
      <c r="A34" s="6" t="s">
        <v>38</v>
      </c>
      <c r="B34" s="9">
        <v>1295.9806478586393</v>
      </c>
      <c r="C34" s="9">
        <v>115.77839569862726</v>
      </c>
      <c r="D34" s="9">
        <v>11.193631074592659</v>
      </c>
      <c r="F34" s="9">
        <v>1156.6824514253392</v>
      </c>
      <c r="G34" s="9">
        <v>115.54123937623179</v>
      </c>
      <c r="H34" s="9">
        <v>10.010992245451735</v>
      </c>
      <c r="I34" s="9"/>
      <c r="J34" s="9">
        <v>1228.7571450145929</v>
      </c>
      <c r="K34" s="9">
        <v>116.02</v>
      </c>
      <c r="L34" s="9">
        <v>10.590907990127503</v>
      </c>
      <c r="M34" s="9"/>
      <c r="N34" s="9">
        <v>1182.8093034227045</v>
      </c>
      <c r="O34" s="9">
        <v>116.82</v>
      </c>
      <c r="P34" s="9">
        <v>10.125058238509713</v>
      </c>
      <c r="Q34" s="9"/>
      <c r="R34" s="9"/>
    </row>
    <row r="35" spans="1:18">
      <c r="A35" s="6" t="s">
        <v>39</v>
      </c>
      <c r="B35" s="9">
        <v>568.33132351365498</v>
      </c>
      <c r="C35" s="9">
        <v>22.963799580517353</v>
      </c>
      <c r="D35" s="9">
        <v>24.749010786343529</v>
      </c>
      <c r="F35" s="9">
        <v>550.38712913875702</v>
      </c>
      <c r="G35" s="9">
        <v>22.91916703565601</v>
      </c>
      <c r="H35" s="9">
        <v>24.014272782361761</v>
      </c>
      <c r="I35" s="9"/>
      <c r="J35" s="9">
        <v>558.76281009483091</v>
      </c>
      <c r="K35" s="9">
        <v>22.94</v>
      </c>
      <c r="L35" s="9">
        <v>24.35757672601704</v>
      </c>
      <c r="M35" s="9"/>
      <c r="N35" s="9">
        <v>556.00422596629244</v>
      </c>
      <c r="O35" s="9">
        <v>23.02</v>
      </c>
      <c r="P35" s="9">
        <v>24.153094090629558</v>
      </c>
      <c r="Q35" s="9"/>
      <c r="R35" s="9"/>
    </row>
    <row r="36" spans="1:18">
      <c r="A36" s="6" t="s">
        <v>40</v>
      </c>
      <c r="B36" s="9">
        <v>846.06168955391195</v>
      </c>
      <c r="C36" s="9">
        <v>112.76676131653031</v>
      </c>
      <c r="D36" s="9">
        <v>7.5027577246726249</v>
      </c>
      <c r="F36" s="9">
        <v>782.19926549527224</v>
      </c>
      <c r="G36" s="9">
        <v>112.31562042261052</v>
      </c>
      <c r="H36" s="9">
        <v>6.9642963512295735</v>
      </c>
      <c r="I36" s="9"/>
      <c r="J36" s="9">
        <v>847.42965022562532</v>
      </c>
      <c r="K36" s="9">
        <v>112.45</v>
      </c>
      <c r="L36" s="9">
        <v>7.5360573608325954</v>
      </c>
      <c r="M36" s="9"/>
      <c r="N36" s="9">
        <v>807.15625553848497</v>
      </c>
      <c r="O36" s="9">
        <v>111.56</v>
      </c>
      <c r="P36" s="9">
        <v>7.2351761880466565</v>
      </c>
      <c r="Q36" s="9"/>
      <c r="R36" s="9"/>
    </row>
    <row r="37" spans="1:18">
      <c r="A37" s="6" t="s">
        <v>41</v>
      </c>
      <c r="B37" s="9">
        <v>1911.1609855704151</v>
      </c>
      <c r="C37" s="9">
        <v>321.38219133312043</v>
      </c>
      <c r="D37" s="9">
        <v>5.9466922471427495</v>
      </c>
      <c r="F37" s="9">
        <v>1669.5014311973184</v>
      </c>
      <c r="G37" s="9">
        <v>321.77958264882591</v>
      </c>
      <c r="H37" s="9">
        <v>5.1883386057446925</v>
      </c>
      <c r="I37" s="9"/>
      <c r="J37" s="9">
        <v>1824.0430141842385</v>
      </c>
      <c r="K37" s="9">
        <v>322.63</v>
      </c>
      <c r="L37" s="9">
        <v>5.6536683327162338</v>
      </c>
      <c r="M37" s="9"/>
      <c r="N37" s="9">
        <v>1722.1710157174675</v>
      </c>
      <c r="O37" s="9">
        <v>327.43</v>
      </c>
      <c r="P37" s="9">
        <v>5.2596616550635789</v>
      </c>
      <c r="Q37" s="9"/>
      <c r="R37" s="9"/>
    </row>
    <row r="38" spans="1:18">
      <c r="A38" s="6" t="s">
        <v>42</v>
      </c>
      <c r="B38" s="9">
        <v>875.93193507580781</v>
      </c>
      <c r="C38" s="9">
        <v>92.688355822046987</v>
      </c>
      <c r="D38" s="9">
        <v>9.4502910026531879</v>
      </c>
      <c r="F38" s="9">
        <v>646.38294065918683</v>
      </c>
      <c r="G38" s="9">
        <v>92.370512474317508</v>
      </c>
      <c r="H38" s="9">
        <v>6.9977195464722115</v>
      </c>
      <c r="I38" s="9"/>
      <c r="J38" s="9">
        <v>704.40782276133859</v>
      </c>
      <c r="K38" s="9">
        <v>93.47</v>
      </c>
      <c r="L38" s="9">
        <v>7.5361915348383288</v>
      </c>
      <c r="M38" s="9"/>
      <c r="N38" s="9">
        <v>670.76112896172128</v>
      </c>
      <c r="O38" s="9">
        <v>92.53</v>
      </c>
      <c r="P38" s="9">
        <v>7.2491205983110483</v>
      </c>
      <c r="Q38" s="9"/>
      <c r="R38" s="9"/>
    </row>
    <row r="39" spans="1:18">
      <c r="A39" s="6" t="s">
        <v>43</v>
      </c>
      <c r="B39" s="9">
        <v>528.57932664569387</v>
      </c>
      <c r="C39" s="9">
        <v>88.383703460332782</v>
      </c>
      <c r="D39" s="9">
        <v>5.9805066539548655</v>
      </c>
      <c r="F39" s="9">
        <v>355.92647972947969</v>
      </c>
      <c r="G39" s="9">
        <v>87.729493805763198</v>
      </c>
      <c r="H39" s="9">
        <v>4.0570903158009317</v>
      </c>
      <c r="I39" s="9"/>
      <c r="J39" s="9">
        <v>394.53095535141176</v>
      </c>
      <c r="K39" s="9">
        <v>87.79</v>
      </c>
      <c r="L39" s="9">
        <v>4.4940307022600718</v>
      </c>
      <c r="M39" s="9"/>
      <c r="N39" s="9">
        <v>376.67815004365337</v>
      </c>
      <c r="O39" s="9">
        <v>88.27</v>
      </c>
      <c r="P39" s="9">
        <v>4.2673405465464302</v>
      </c>
      <c r="Q39" s="9"/>
      <c r="R39" s="9"/>
    </row>
    <row r="40" spans="1:18">
      <c r="A40" s="6" t="s">
        <v>44</v>
      </c>
      <c r="B40" s="9">
        <v>1251.9515562430493</v>
      </c>
      <c r="C40" s="9">
        <v>183.52535372022305</v>
      </c>
      <c r="D40" s="9">
        <v>6.8216817505857996</v>
      </c>
      <c r="F40" s="9">
        <v>1048.6096385575302</v>
      </c>
      <c r="G40" s="9">
        <v>184.30040462019568</v>
      </c>
      <c r="H40" s="9">
        <v>5.6896762691242797</v>
      </c>
      <c r="I40" s="9"/>
      <c r="J40" s="9">
        <v>1144.5707082570677</v>
      </c>
      <c r="K40" s="9">
        <v>185.58</v>
      </c>
      <c r="L40" s="9">
        <v>6.1675326449890484</v>
      </c>
      <c r="M40" s="9"/>
      <c r="N40" s="9">
        <v>1109.106671442124</v>
      </c>
      <c r="O40" s="9">
        <v>181.72</v>
      </c>
      <c r="P40" s="9">
        <v>6.1033825194922082</v>
      </c>
      <c r="Q40" s="9"/>
      <c r="R40" s="9"/>
    </row>
    <row r="41" spans="1:18">
      <c r="A41" s="6"/>
      <c r="B41" s="9"/>
      <c r="C41" s="9"/>
      <c r="D41" s="9"/>
      <c r="E41" s="9"/>
      <c r="F41" s="9"/>
      <c r="G41" s="9"/>
      <c r="H41" s="9"/>
      <c r="I41" s="9"/>
      <c r="J41" s="9"/>
      <c r="K41" s="9"/>
      <c r="L41" s="9"/>
      <c r="M41" s="9"/>
      <c r="N41" s="9"/>
      <c r="O41" s="9"/>
      <c r="P41" s="9"/>
      <c r="Q41" s="9"/>
      <c r="R41" s="9"/>
    </row>
    <row r="42" spans="1:18">
      <c r="A42" s="6" t="s">
        <v>45</v>
      </c>
      <c r="B42" s="9">
        <v>42063.542007142671</v>
      </c>
      <c r="C42" s="9">
        <v>5449.2239209650897</v>
      </c>
      <c r="D42" s="9">
        <v>7.719180312137544</v>
      </c>
      <c r="F42" s="9">
        <v>37610.794822301963</v>
      </c>
      <c r="G42" s="9">
        <v>5450.1069448484859</v>
      </c>
      <c r="H42" s="9">
        <v>6.9009278538749026</v>
      </c>
      <c r="I42" s="9"/>
      <c r="J42" s="9">
        <v>40024.058143493661</v>
      </c>
      <c r="K42" s="9">
        <v>5479.9</v>
      </c>
      <c r="L42" s="9">
        <v>7.3037935260668378</v>
      </c>
      <c r="M42" s="9"/>
      <c r="N42" s="9">
        <v>38856.598236562328</v>
      </c>
      <c r="O42" s="9">
        <v>5447.7</v>
      </c>
      <c r="P42" s="9">
        <v>7.1326611664670097</v>
      </c>
      <c r="Q42" s="9"/>
      <c r="R42" s="9"/>
    </row>
    <row r="43" spans="1:18">
      <c r="A43" s="6" t="s">
        <v>46</v>
      </c>
      <c r="B43" s="9">
        <v>417068.09181313793</v>
      </c>
      <c r="C43" s="9">
        <v>66778.077465716604</v>
      </c>
      <c r="D43" s="9">
        <v>6.2455839946464131</v>
      </c>
      <c r="F43" s="9">
        <v>377286.60699370614</v>
      </c>
      <c r="G43" s="9">
        <v>67053.657979682685</v>
      </c>
      <c r="H43" s="9">
        <v>5.6266372090844667</v>
      </c>
      <c r="I43" s="9"/>
      <c r="J43" s="9">
        <v>395938.68625777762</v>
      </c>
      <c r="K43" s="9">
        <v>67026.292999999961</v>
      </c>
      <c r="L43" s="9">
        <v>5.9072144457963365</v>
      </c>
      <c r="M43" s="9"/>
      <c r="N43" s="9">
        <v>375929.28164528694</v>
      </c>
      <c r="O43" s="9">
        <v>67596.280999999944</v>
      </c>
      <c r="P43" s="9">
        <v>5.5613900067266604</v>
      </c>
      <c r="Q43" s="9"/>
      <c r="R43" s="9"/>
    </row>
    <row r="44" spans="1:18">
      <c r="A44" s="6" t="s">
        <v>543</v>
      </c>
      <c r="B44" s="9">
        <f>SUM(SUMIFS(B$9:B$40,$A$9:$A$40,{"Na h-Eileanan Siar","Argyll and Bute","Shetland Islands","Highland","Orkney Islands","Scottish Borders","Dumfries and Galloway","Aberdeenshire"}))</f>
        <v>11636.706283021182</v>
      </c>
      <c r="C44" s="9">
        <f>SUM(SUMIFS(C$9:C$40,$A$9:$A$40,{"Na h-Eileanan Siar","Argyll and Bute","Shetland Islands","Highland","Orkney Islands","Scottish Borders","Dumfries and Galloway","Aberdeenshire"}))</f>
        <v>921.50056401512438</v>
      </c>
      <c r="D44" s="518">
        <f>B44/C44</f>
        <v>12.627996918762809</v>
      </c>
      <c r="E44" s="4"/>
      <c r="F44" s="98">
        <f>SUM(SUMIFS(F$9:F$40,$A$9:$A$40,{"Na h-Eileanan Siar","Argyll and Bute","Shetland Islands","Highland","Orkney Islands","Scottish Borders","Dumfries and Galloway","Aberdeenshire"}))</f>
        <v>10454.800288322675</v>
      </c>
      <c r="G44" s="98">
        <f>SUM(SUMIFS(G$9:G$40,$A$9:$A$40,{"Na h-Eileanan Siar","Argyll and Bute","Shetland Islands","Highland","Orkney Islands","Scottish Borders","Dumfries and Galloway","Aberdeenshire"}))</f>
        <v>919.52939883264469</v>
      </c>
      <c r="H44" s="518">
        <f>F44/G44</f>
        <v>11.369729234970832</v>
      </c>
      <c r="I44" s="4"/>
      <c r="J44" s="98">
        <f>SUM(SUMIFS(J$9:J$40,$A$9:$A$40,{"Na h-Eileanan Siar","Argyll and Bute","Shetland Islands","Highland","Orkney Islands","Scottish Borders","Dumfries and Galloway","Aberdeenshire"}))</f>
        <v>11074.053977256292</v>
      </c>
      <c r="K44" s="98">
        <f>SUM(SUMIFS(K$9:K$40,$A$9:$A$40,{"Na h-Eileanan Siar","Argyll and Bute","Shetland Islands","Highland","Orkney Islands","Scottish Borders","Dumfries and Galloway","Aberdeenshire"}))</f>
        <v>923.90000000000009</v>
      </c>
      <c r="L44" s="518">
        <f>J44/K44</f>
        <v>11.986204110029538</v>
      </c>
      <c r="M44" s="4"/>
      <c r="N44" s="98">
        <f>SUM(SUMIFS(N$9:N$40,$A$9:$A$40,{"Na h-Eileanan Siar","Argyll and Bute","Shetland Islands","Highland","Orkney Islands","Scottish Borders","Dumfries and Galloway","Aberdeenshire"}))</f>
        <v>10939.761182307731</v>
      </c>
      <c r="O44" s="98">
        <f>SUM(SUMIFS(O$9:O$40,$A$9:$A$40,{"Na h-Eileanan Siar","Argyll and Bute","Shetland Islands","Highland","Orkney Islands","Scottish Borders","Dumfries and Galloway","Aberdeenshire"}))</f>
        <v>921.13</v>
      </c>
      <c r="P44" s="518">
        <f>N44/O44</f>
        <v>11.876457375514565</v>
      </c>
      <c r="Q44" s="4"/>
      <c r="R44" s="98"/>
    </row>
    <row r="45" spans="1:18">
      <c r="A45" s="6" t="s">
        <v>544</v>
      </c>
      <c r="B45" s="9">
        <f>SUM(SUMIFS(B$9:B$40,$A$9:$A$40,{"Perth and Kinross","Stirling","Moray","South Ayrshire","East Ayrshire","East Lothian","North Ayrshire","Fife"}))</f>
        <v>10310.73984771458</v>
      </c>
      <c r="C45" s="9">
        <f>SUM(SUMIFS(C$9:C$40,$A$9:$A$40,{"Perth and Kinross","Stirling","Moray","South Ayrshire","East Ayrshire","East Lothian","North Ayrshire","Fife"}))</f>
        <v>1191.9500054542771</v>
      </c>
      <c r="D45" s="518">
        <f>B45/C45</f>
        <v>8.6503123457639823</v>
      </c>
      <c r="E45" s="4"/>
      <c r="F45" s="98">
        <f>SUM(SUMIFS(F$9:F$40,$A$9:$A$40,{"Perth and Kinross","Stirling","Moray","South Ayrshire","East Ayrshire","East Lothian","North Ayrshire","Fife"}))</f>
        <v>9463.2671952967248</v>
      </c>
      <c r="G45" s="98">
        <f>SUM(SUMIFS(G$9:G$40,$A$9:$A$40,{"Perth and Kinross","Stirling","Moray","South Ayrshire","East Ayrshire","East Lothian","North Ayrshire","Fife"}))</f>
        <v>1191.6916571003044</v>
      </c>
      <c r="H45" s="518">
        <f>F45/G45</f>
        <v>7.9410367093811116</v>
      </c>
      <c r="I45" s="4"/>
      <c r="J45" s="98">
        <f>SUM(SUMIFS(J$9:J$40,$A$9:$A$40,{"Perth and Kinross","Stirling","Moray","South Ayrshire","East Ayrshire","East Lothian","North Ayrshire","Fife"}))</f>
        <v>9943.37438544018</v>
      </c>
      <c r="K45" s="98">
        <f>SUM(SUMIFS(K$9:K$40,$A$9:$A$40,{"Perth and Kinross","Stirling","Moray","South Ayrshire","East Ayrshire","East Lothian","North Ayrshire","Fife"}))</f>
        <v>1196.69</v>
      </c>
      <c r="L45" s="518">
        <f>J45/K45</f>
        <v>8.309064490753812</v>
      </c>
      <c r="M45" s="4"/>
      <c r="N45" s="98">
        <f>SUM(SUMIFS(N$9:N$40,$A$9:$A$40,{"Perth and Kinross","Stirling","Moray","South Ayrshire","East Ayrshire","East Lothian","North Ayrshire","Fife"}))</f>
        <v>9720.8611856592797</v>
      </c>
      <c r="O45" s="98">
        <f>SUM(SUMIFS(O$9:O$40,$A$9:$A$40,{"Perth and Kinross","Stirling","Moray","South Ayrshire","East Ayrshire","East Lothian","North Ayrshire","Fife"}))</f>
        <v>1187.1600000000001</v>
      </c>
      <c r="P45" s="518">
        <f>N45/O45</f>
        <v>8.1883328158456141</v>
      </c>
      <c r="Q45" s="4"/>
      <c r="R45" s="98"/>
    </row>
    <row r="46" spans="1:18">
      <c r="A46" s="6" t="s">
        <v>545</v>
      </c>
      <c r="B46" s="9">
        <f>SUM(SUMIFS(B$9:B$40,$A$9:$A$40,{"Angus","Clackmannanshire","Midlothian","South Lanarkshire","Inverclyde","Renfrewshire","West Lothian","East Renfrewshire"}))</f>
        <v>7280.7532523424288</v>
      </c>
      <c r="C46" s="9">
        <f>SUM(SUMIFS(C$9:C$40,$A$9:$A$40,{"Angus","Clackmannanshire","Midlothian","South Lanarkshire","Inverclyde","Renfrewshire","West Lothian","East Renfrewshire"}))</f>
        <v>1117.716267670449</v>
      </c>
      <c r="D46" s="518">
        <f>B46/C46</f>
        <v>6.5139548049318616</v>
      </c>
      <c r="E46" s="4"/>
      <c r="F46" s="98">
        <f>SUM(SUMIFS(F$9:F$40,$A$9:$A$40,{"Angus","Clackmannanshire","Midlothian","South Lanarkshire","Inverclyde","Renfrewshire","West Lothian","East Renfrewshire"}))</f>
        <v>6442.3911788071473</v>
      </c>
      <c r="G46" s="98">
        <f>SUM(SUMIFS(G$9:G$40,$A$9:$A$40,{"Angus","Clackmannanshire","Midlothian","South Lanarkshire","Inverclyde","Renfrewshire","West Lothian","East Renfrewshire"}))</f>
        <v>1119.0516715960919</v>
      </c>
      <c r="H46" s="518">
        <f>F46/G46</f>
        <v>5.7570095665184358</v>
      </c>
      <c r="I46" s="4"/>
      <c r="J46" s="98">
        <f>SUM(SUMIFS(J$9:J$40,$A$9:$A$40,{"Angus","Clackmannanshire","Midlothian","South Lanarkshire","Inverclyde","Renfrewshire","West Lothian","East Renfrewshire"}))</f>
        <v>6918.3969551043128</v>
      </c>
      <c r="K46" s="98">
        <f>SUM(SUMIFS(K$9:K$40,$A$9:$A$40,{"Angus","Clackmannanshire","Midlothian","South Lanarkshire","Inverclyde","Renfrewshire","West Lothian","East Renfrewshire"}))</f>
        <v>1123.77</v>
      </c>
      <c r="L46" s="518">
        <f>J46/K46</f>
        <v>6.1564171984519191</v>
      </c>
      <c r="M46" s="4"/>
      <c r="N46" s="98">
        <f>SUM(SUMIFS(N$9:N$40,$A$9:$A$40,{"Angus","Clackmannanshire","Midlothian","South Lanarkshire","Inverclyde","Renfrewshire","West Lothian","East Renfrewshire"}))</f>
        <v>6621.6885318887598</v>
      </c>
      <c r="O46" s="98">
        <f>SUM(SUMIFS(O$9:O$40,$A$9:$A$40,{"Angus","Clackmannanshire","Midlothian","South Lanarkshire","Inverclyde","Renfrewshire","West Lothian","East Renfrewshire"}))</f>
        <v>1132.43</v>
      </c>
      <c r="P46" s="518">
        <f>N46/O46</f>
        <v>5.8473270152581263</v>
      </c>
      <c r="Q46" s="4"/>
      <c r="R46" s="98"/>
    </row>
    <row r="47" spans="1:18">
      <c r="A47" s="6" t="s">
        <v>546</v>
      </c>
      <c r="B47" s="9">
        <f>SUM(SUMIFS(B$9:B$40,$A$9:$A$40,{"North Lanarkshire","Falkirk","East Dunbartonshire","Aberdeen City","Edinburgh, City of","West Dunbartonshire","Dundee City","Glasgow City"}))</f>
        <v>12835.342624064468</v>
      </c>
      <c r="C47" s="9">
        <f>SUM(SUMIFS(C$9:C$40,$A$9:$A$40,{"North Lanarkshire","Falkirk","East Dunbartonshire","Aberdeen City","Edinburgh, City of","West Dunbartonshire","Dundee City","Glasgow City"}))</f>
        <v>2218.0570838252393</v>
      </c>
      <c r="D47" s="518">
        <f>B47/C47</f>
        <v>5.7867503580785948</v>
      </c>
      <c r="E47" s="4"/>
      <c r="F47" s="98">
        <f>SUM(SUMIFS(F$9:F$40,$A$9:$A$40,{"North Lanarkshire","Falkirk","East Dunbartonshire","Aberdeen City","Edinburgh, City of","West Dunbartonshire","Dundee City","Glasgow City"}))</f>
        <v>11250.336159875418</v>
      </c>
      <c r="G47" s="98">
        <f>SUM(SUMIFS(G$9:G$40,$A$9:$A$40,{"North Lanarkshire","Falkirk","East Dunbartonshire","Aberdeen City","Edinburgh, City of","West Dunbartonshire","Dundee City","Glasgow City"}))</f>
        <v>2219.8342173194455</v>
      </c>
      <c r="H47" s="518">
        <f>F47/G47</f>
        <v>5.0680974606566469</v>
      </c>
      <c r="I47" s="4"/>
      <c r="J47" s="98">
        <f>SUM(SUMIFS(J$9:J$40,$A$9:$A$40,{"North Lanarkshire","Falkirk","East Dunbartonshire","Aberdeen City","Edinburgh, City of","West Dunbartonshire","Dundee City","Glasgow City"}))</f>
        <v>12088.232825692874</v>
      </c>
      <c r="K47" s="98">
        <f>SUM(SUMIFS(K$9:K$40,$A$9:$A$40,{"North Lanarkshire","Falkirk","East Dunbartonshire","Aberdeen City","Edinburgh, City of","West Dunbartonshire","Dundee City","Glasgow City"}))</f>
        <v>2235.54</v>
      </c>
      <c r="L47" s="518">
        <f>J47/K47</f>
        <v>5.4072988296755478</v>
      </c>
      <c r="M47" s="4"/>
      <c r="N47" s="98">
        <f>SUM(SUMIFS(N$9:N$40,$A$9:$A$40,{"North Lanarkshire","Falkirk","East Dunbartonshire","Aberdeen City","Edinburgh, City of","West Dunbartonshire","Dundee City","Glasgow City"}))</f>
        <v>11574.287336706555</v>
      </c>
      <c r="O47" s="98">
        <f>SUM(SUMIFS(O$9:O$40,$A$9:$A$40,{"North Lanarkshire","Falkirk","East Dunbartonshire","Aberdeen City","Edinburgh, City of","West Dunbartonshire","Dundee City","Glasgow City"}))</f>
        <v>2206.98</v>
      </c>
      <c r="P47" s="518">
        <f>N47/O47</f>
        <v>5.2444006455457481</v>
      </c>
      <c r="Q47" s="4"/>
      <c r="R47" s="98"/>
    </row>
    <row r="48" spans="1:18">
      <c r="A48" s="6" t="s">
        <v>47</v>
      </c>
      <c r="B48" s="9">
        <f>SUM(B39+B37+B33+B30+B25+B23+B18+B20)</f>
        <v>9613.8638480467525</v>
      </c>
      <c r="C48" s="9">
        <f>SUM(C39+C37+C33+C30+C25+C23+C18+C20)</f>
        <v>1839.7412962965182</v>
      </c>
      <c r="D48" s="9">
        <f t="shared" ref="D48" si="0">B48/C48</f>
        <v>5.2256607314299526</v>
      </c>
      <c r="E48" s="9"/>
      <c r="F48" s="9">
        <f>SUM(F39+F37+F33+F30+F25+F23+F18+F20)</f>
        <v>8242.3367786760464</v>
      </c>
      <c r="G48" s="9">
        <f>SUM(G39+G37+G33+G30+G25+G23+G18+G20)</f>
        <v>1841.2445807708318</v>
      </c>
      <c r="H48" s="9">
        <f t="shared" ref="H48" si="1">F48/G48</f>
        <v>4.4765029397807732</v>
      </c>
      <c r="I48" s="9"/>
      <c r="J48" s="9">
        <f>SUM(J39+J37+J33+J30+J25+J23+J18+J20)</f>
        <v>9074.6173459521506</v>
      </c>
      <c r="K48" s="9">
        <f>SUM(K39+K37+K33+K30+K25+K23+K18+K20)</f>
        <v>1849.0700000000002</v>
      </c>
      <c r="L48" s="9">
        <f t="shared" ref="L48" si="2">J48/K48</f>
        <v>4.9076656621718753</v>
      </c>
      <c r="M48" s="9"/>
      <c r="N48" s="9">
        <f>SUM(N39+N37+N33+N30+N25+N23+N18+N20)</f>
        <v>8626.6721943540906</v>
      </c>
      <c r="O48" s="9">
        <f>SUM(O39+O37+O33+O30+O25+O23+O18+O20)</f>
        <v>1848.2700000000002</v>
      </c>
      <c r="P48" s="9">
        <f t="shared" ref="P48" si="3">N48/O48</f>
        <v>4.6674307294681459</v>
      </c>
      <c r="Q48" s="9"/>
      <c r="R48" s="9"/>
    </row>
  </sheetData>
  <mergeCells count="4">
    <mergeCell ref="B7:E7"/>
    <mergeCell ref="F7:I7"/>
    <mergeCell ref="N7:Q7"/>
    <mergeCell ref="J7:M7"/>
  </mergeCells>
  <conditionalFormatting sqref="A1:XFD1048576">
    <cfRule type="expression" dxfId="1" priority="1">
      <formula>_xlfn.ISFORMULA(A1)</formula>
    </cfRule>
  </conditionalFormatting>
  <pageMargins left="0.7" right="0.7" top="0.75" bottom="0.75" header="0.3" footer="0.3"/>
  <pageSetup paperSize="9" scale="10"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F64EC-5C40-4E6F-A48F-276F57E2238F}">
  <sheetPr>
    <pageSetUpPr autoPageBreaks="0" fitToPage="1"/>
  </sheetPr>
  <dimension ref="A1:R48"/>
  <sheetViews>
    <sheetView showGridLines="0" topLeftCell="A26" zoomScale="50" zoomScaleNormal="50" workbookViewId="0">
      <selection activeCell="P43" sqref="A8:P43"/>
    </sheetView>
  </sheetViews>
  <sheetFormatPr defaultColWidth="8.7265625" defaultRowHeight="14.5"/>
  <cols>
    <col min="1" max="1" width="25" customWidth="1" collapsed="1"/>
    <col min="2" max="18" width="14" customWidth="1" collapsed="1"/>
  </cols>
  <sheetData>
    <row r="1" spans="1:18" ht="15.5">
      <c r="A1" s="1"/>
    </row>
    <row r="2" spans="1:18">
      <c r="A2" s="2"/>
    </row>
    <row r="4" spans="1:18">
      <c r="A4" s="6" t="s">
        <v>1</v>
      </c>
      <c r="B4" s="6" t="s">
        <v>2</v>
      </c>
    </row>
    <row r="5" spans="1:18">
      <c r="A5" s="6" t="s">
        <v>3</v>
      </c>
      <c r="B5" s="6" t="s">
        <v>578</v>
      </c>
    </row>
    <row r="7" spans="1:18" ht="22" customHeight="1">
      <c r="A7" s="12" t="s">
        <v>5</v>
      </c>
      <c r="B7" s="603">
        <v>2019</v>
      </c>
      <c r="C7" s="603"/>
      <c r="D7" s="603"/>
      <c r="E7" s="603"/>
      <c r="F7" s="603">
        <v>2020</v>
      </c>
      <c r="G7" s="603"/>
      <c r="H7" s="603"/>
      <c r="I7" s="603"/>
      <c r="J7" s="603">
        <v>2021</v>
      </c>
      <c r="K7" s="603"/>
      <c r="L7" s="603"/>
      <c r="M7" s="603"/>
      <c r="N7" s="603">
        <v>2022</v>
      </c>
      <c r="O7" s="603"/>
      <c r="P7" s="603"/>
      <c r="Q7" s="603"/>
      <c r="R7" s="65"/>
    </row>
    <row r="8" spans="1:18" ht="26.15" customHeight="1">
      <c r="B8" s="11" t="s">
        <v>6</v>
      </c>
      <c r="C8" s="11" t="s">
        <v>7</v>
      </c>
      <c r="D8" s="11" t="s">
        <v>8</v>
      </c>
      <c r="E8" s="11" t="s">
        <v>9</v>
      </c>
      <c r="F8" s="11" t="s">
        <v>6</v>
      </c>
      <c r="G8" s="11" t="s">
        <v>7</v>
      </c>
      <c r="H8" s="11" t="s">
        <v>8</v>
      </c>
      <c r="I8" s="11" t="s">
        <v>9</v>
      </c>
      <c r="J8" s="11" t="s">
        <v>6</v>
      </c>
      <c r="K8" s="11" t="s">
        <v>7</v>
      </c>
      <c r="L8" s="11" t="s">
        <v>8</v>
      </c>
      <c r="M8" s="11" t="s">
        <v>9</v>
      </c>
      <c r="N8" s="11" t="s">
        <v>6</v>
      </c>
      <c r="O8" s="11" t="s">
        <v>7</v>
      </c>
      <c r="P8" s="11" t="s">
        <v>8</v>
      </c>
      <c r="Q8" s="11" t="s">
        <v>9</v>
      </c>
      <c r="R8" s="11"/>
    </row>
    <row r="9" spans="1:18">
      <c r="A9" s="6" t="s">
        <v>14</v>
      </c>
      <c r="B9" s="9">
        <v>1302.3705960871732</v>
      </c>
      <c r="C9" s="9">
        <v>205.60130000000001</v>
      </c>
      <c r="D9" s="9">
        <v>6.3344472826153</v>
      </c>
      <c r="F9" s="9">
        <v>1116.7079977610924</v>
      </c>
      <c r="G9" s="9">
        <v>205.60130000000001</v>
      </c>
      <c r="H9" s="9">
        <v>5.431424790412767</v>
      </c>
      <c r="I9" s="9"/>
      <c r="J9" s="9">
        <v>1216.3622380965339</v>
      </c>
      <c r="K9" s="9">
        <v>205.60130000000001</v>
      </c>
      <c r="L9" s="9">
        <v>5.9161213382237072</v>
      </c>
      <c r="M9" s="9"/>
      <c r="N9" s="9">
        <v>1164.8619004905522</v>
      </c>
      <c r="O9" s="9">
        <v>205.60130000000001</v>
      </c>
      <c r="P9" s="9">
        <v>5.6656348986633462</v>
      </c>
      <c r="Q9" s="9"/>
      <c r="R9" s="9"/>
    </row>
    <row r="10" spans="1:18">
      <c r="A10" s="6" t="s">
        <v>15</v>
      </c>
      <c r="B10" s="9">
        <v>2939.0765545353333</v>
      </c>
      <c r="C10" s="9">
        <v>6338.1487999999999</v>
      </c>
      <c r="D10" s="9">
        <v>0.46371214171168296</v>
      </c>
      <c r="F10" s="9">
        <v>2772.0882265757991</v>
      </c>
      <c r="G10" s="9">
        <v>6338.1487999999999</v>
      </c>
      <c r="H10" s="9">
        <v>0.43736559586228069</v>
      </c>
      <c r="I10" s="9"/>
      <c r="J10" s="9">
        <v>2890.8520045388032</v>
      </c>
      <c r="K10" s="9">
        <v>6338.1487999999999</v>
      </c>
      <c r="L10" s="9">
        <v>0.45610352419286893</v>
      </c>
      <c r="M10" s="9"/>
      <c r="N10" s="9">
        <v>2819.900775310778</v>
      </c>
      <c r="O10" s="9">
        <v>6338.1487999999999</v>
      </c>
      <c r="P10" s="9">
        <v>0.4449092099748081</v>
      </c>
      <c r="Q10" s="9"/>
      <c r="R10" s="9"/>
    </row>
    <row r="11" spans="1:18">
      <c r="A11" s="6" t="s">
        <v>16</v>
      </c>
      <c r="B11" s="9">
        <v>1251.1591088607631</v>
      </c>
      <c r="C11" s="9">
        <v>2203.8928000000001</v>
      </c>
      <c r="D11" s="9">
        <v>0.56770415914093597</v>
      </c>
      <c r="F11" s="9">
        <v>1180.0070540103065</v>
      </c>
      <c r="G11" s="9">
        <v>2203.8928000000001</v>
      </c>
      <c r="H11" s="9">
        <v>0.5354194423659383</v>
      </c>
      <c r="I11" s="9"/>
      <c r="J11" s="9">
        <v>1230.6559260324127</v>
      </c>
      <c r="K11" s="9">
        <v>2203.8928000000001</v>
      </c>
      <c r="L11" s="9">
        <v>0.55840099211377825</v>
      </c>
      <c r="M11" s="9"/>
      <c r="N11" s="9">
        <v>1175.4496368292052</v>
      </c>
      <c r="O11" s="9">
        <v>2203.8928000000001</v>
      </c>
      <c r="P11" s="9">
        <v>0.53335154814662733</v>
      </c>
      <c r="Q11" s="9"/>
      <c r="R11" s="9"/>
    </row>
    <row r="12" spans="1:18">
      <c r="A12" s="6" t="s">
        <v>17</v>
      </c>
      <c r="B12" s="9">
        <v>260.98167214267909</v>
      </c>
      <c r="C12" s="9">
        <v>7165.1715000000004</v>
      </c>
      <c r="D12" s="9">
        <v>3.6423646264807347E-2</v>
      </c>
      <c r="F12" s="9">
        <v>242.60781248727221</v>
      </c>
      <c r="G12" s="9">
        <v>7165.1715000000004</v>
      </c>
      <c r="H12" s="9">
        <v>3.3859316903618035E-2</v>
      </c>
      <c r="I12" s="9"/>
      <c r="J12" s="9">
        <v>315.17204429925499</v>
      </c>
      <c r="K12" s="9">
        <v>7165.1715000000004</v>
      </c>
      <c r="L12" s="9">
        <v>4.3986671400573593E-2</v>
      </c>
      <c r="M12" s="9"/>
      <c r="N12" s="9">
        <v>332.99780050733887</v>
      </c>
      <c r="O12" s="9">
        <v>7165.1715000000004</v>
      </c>
      <c r="P12" s="9">
        <v>4.6474505251875527E-2</v>
      </c>
      <c r="Q12" s="9"/>
      <c r="R12" s="9"/>
    </row>
    <row r="13" spans="1:18">
      <c r="A13" s="6" t="s">
        <v>189</v>
      </c>
      <c r="B13" s="9">
        <v>2407.2342705506544</v>
      </c>
      <c r="C13" s="9">
        <v>273.0043</v>
      </c>
      <c r="D13" s="9">
        <v>8.817569065947513</v>
      </c>
      <c r="F13" s="9">
        <v>2050.3185109653446</v>
      </c>
      <c r="G13" s="9">
        <v>273.0043</v>
      </c>
      <c r="H13" s="9">
        <v>7.5102059233695018</v>
      </c>
      <c r="I13" s="9"/>
      <c r="J13" s="9">
        <v>2286.2959051970843</v>
      </c>
      <c r="K13" s="9">
        <v>273.0043</v>
      </c>
      <c r="L13" s="9">
        <v>8.3745783681688692</v>
      </c>
      <c r="M13" s="9"/>
      <c r="N13" s="9">
        <v>2191.8938103116689</v>
      </c>
      <c r="O13" s="9">
        <v>273.0043</v>
      </c>
      <c r="P13" s="9">
        <v>8.0287885953139515</v>
      </c>
      <c r="Q13" s="9"/>
      <c r="R13" s="9"/>
    </row>
    <row r="14" spans="1:18">
      <c r="A14" s="6" t="s">
        <v>18</v>
      </c>
      <c r="B14" s="9">
        <v>575.68302406696262</v>
      </c>
      <c r="C14" s="9">
        <v>163.9126</v>
      </c>
      <c r="D14" s="9">
        <v>3.5121340523361999</v>
      </c>
      <c r="F14" s="9">
        <v>526.32685324566398</v>
      </c>
      <c r="G14" s="9">
        <v>163.9126</v>
      </c>
      <c r="H14" s="9">
        <v>3.2110213201771187</v>
      </c>
      <c r="I14" s="9"/>
      <c r="J14" s="9">
        <v>514.46074928644998</v>
      </c>
      <c r="K14" s="9">
        <v>163.9126</v>
      </c>
      <c r="L14" s="9">
        <v>3.1386284476388635</v>
      </c>
      <c r="M14" s="9"/>
      <c r="N14" s="9">
        <v>507.53128698797639</v>
      </c>
      <c r="O14" s="9">
        <v>163.9126</v>
      </c>
      <c r="P14" s="9">
        <v>3.0963530990782675</v>
      </c>
      <c r="Q14" s="9"/>
      <c r="R14" s="9"/>
    </row>
    <row r="15" spans="1:18">
      <c r="A15" s="6" t="s">
        <v>19</v>
      </c>
      <c r="B15" s="9">
        <v>2320.4846944409733</v>
      </c>
      <c r="C15" s="9">
        <v>6676.3146999999999</v>
      </c>
      <c r="D15" s="9">
        <v>0.34756969955909556</v>
      </c>
      <c r="F15" s="9">
        <v>2220.1209324811612</v>
      </c>
      <c r="G15" s="9">
        <v>6676.3146999999999</v>
      </c>
      <c r="H15" s="9">
        <v>0.33253689082109344</v>
      </c>
      <c r="I15" s="9"/>
      <c r="J15" s="9">
        <v>2378.5878435194008</v>
      </c>
      <c r="K15" s="9">
        <v>6676.3146999999999</v>
      </c>
      <c r="L15" s="9">
        <v>0.35627257707300719</v>
      </c>
      <c r="M15" s="9"/>
      <c r="N15" s="9">
        <v>2302.9046975875826</v>
      </c>
      <c r="O15" s="9">
        <v>6676.3146999999999</v>
      </c>
      <c r="P15" s="9">
        <v>0.34493651079503229</v>
      </c>
      <c r="Q15" s="9"/>
      <c r="R15" s="9"/>
    </row>
    <row r="16" spans="1:18">
      <c r="A16" s="6" t="s">
        <v>20</v>
      </c>
      <c r="B16" s="9">
        <v>692.43447072517995</v>
      </c>
      <c r="C16" s="9">
        <v>62.223800000000004</v>
      </c>
      <c r="D16" s="9">
        <v>11.128128959098929</v>
      </c>
      <c r="F16" s="9">
        <v>663.63216012587168</v>
      </c>
      <c r="G16" s="9">
        <v>62.223800000000004</v>
      </c>
      <c r="H16" s="9">
        <v>10.66524641898874</v>
      </c>
      <c r="I16" s="9"/>
      <c r="J16" s="9">
        <v>673.69500721553231</v>
      </c>
      <c r="K16" s="9">
        <v>62.223800000000004</v>
      </c>
      <c r="L16" s="9">
        <v>10.826966646452519</v>
      </c>
      <c r="M16" s="9"/>
      <c r="N16" s="9">
        <v>628.60296715468257</v>
      </c>
      <c r="O16" s="9">
        <v>62.223800000000004</v>
      </c>
      <c r="P16" s="9">
        <v>10.102291521165254</v>
      </c>
      <c r="Q16" s="9"/>
      <c r="R16" s="9"/>
    </row>
    <row r="17" spans="1:18">
      <c r="A17" s="6" t="s">
        <v>21</v>
      </c>
      <c r="B17" s="9">
        <v>865.20418746864198</v>
      </c>
      <c r="C17" s="9">
        <v>1270.3421000000001</v>
      </c>
      <c r="D17" s="9">
        <v>0.68107967725279828</v>
      </c>
      <c r="F17" s="9">
        <v>789.21877112181892</v>
      </c>
      <c r="G17" s="9">
        <v>1270.3421000000001</v>
      </c>
      <c r="H17" s="9">
        <v>0.62126475311006291</v>
      </c>
      <c r="I17" s="9"/>
      <c r="J17" s="9">
        <v>850.39013581209622</v>
      </c>
      <c r="K17" s="9">
        <v>1270.3421000000001</v>
      </c>
      <c r="L17" s="9">
        <v>0.66941821089932874</v>
      </c>
      <c r="M17" s="9"/>
      <c r="N17" s="9">
        <v>807.92769893006061</v>
      </c>
      <c r="O17" s="9">
        <v>1270.3421000000001</v>
      </c>
      <c r="P17" s="9">
        <v>0.63599222518883736</v>
      </c>
      <c r="Q17" s="9"/>
      <c r="R17" s="9"/>
    </row>
    <row r="18" spans="1:18">
      <c r="A18" s="6" t="s">
        <v>22</v>
      </c>
      <c r="B18" s="9">
        <v>476.59243411194342</v>
      </c>
      <c r="C18" s="9">
        <v>174.489</v>
      </c>
      <c r="D18" s="9">
        <v>2.7313609116445359</v>
      </c>
      <c r="F18" s="9">
        <v>433.44438179274931</v>
      </c>
      <c r="G18" s="9">
        <v>174.489</v>
      </c>
      <c r="H18" s="9">
        <v>2.4840785481763854</v>
      </c>
      <c r="I18" s="9"/>
      <c r="J18" s="9">
        <v>473.33869418089068</v>
      </c>
      <c r="K18" s="9">
        <v>174.489</v>
      </c>
      <c r="L18" s="9">
        <v>2.7127136620697616</v>
      </c>
      <c r="M18" s="9"/>
      <c r="N18" s="9">
        <v>432.81881223615073</v>
      </c>
      <c r="O18" s="9">
        <v>174.489</v>
      </c>
      <c r="P18" s="9">
        <v>2.4804933963524962</v>
      </c>
      <c r="Q18" s="9"/>
      <c r="R18" s="9"/>
    </row>
    <row r="19" spans="1:18">
      <c r="A19" s="6" t="s">
        <v>23</v>
      </c>
      <c r="B19" s="9">
        <v>1429.2882678613448</v>
      </c>
      <c r="C19" s="9">
        <v>700.93729999999994</v>
      </c>
      <c r="D19" s="9">
        <v>2.0391100143498497</v>
      </c>
      <c r="F19" s="9">
        <v>1214.5529842322076</v>
      </c>
      <c r="G19" s="9">
        <v>700.93729999999994</v>
      </c>
      <c r="H19" s="9">
        <v>1.732755532102811</v>
      </c>
      <c r="I19" s="9"/>
      <c r="J19" s="9">
        <v>1317.0032986939427</v>
      </c>
      <c r="K19" s="9">
        <v>700.93729999999994</v>
      </c>
      <c r="L19" s="9">
        <v>1.8789174134319044</v>
      </c>
      <c r="M19" s="9"/>
      <c r="N19" s="9">
        <v>1259.6779349546807</v>
      </c>
      <c r="O19" s="9">
        <v>700.93729999999994</v>
      </c>
      <c r="P19" s="9">
        <v>1.7971335452610109</v>
      </c>
      <c r="Q19" s="9"/>
      <c r="R19" s="9"/>
    </row>
    <row r="20" spans="1:18">
      <c r="A20" s="6" t="s">
        <v>24</v>
      </c>
      <c r="B20" s="9">
        <v>440.80707646999878</v>
      </c>
      <c r="C20" s="9">
        <v>174.24950000000001</v>
      </c>
      <c r="D20" s="9">
        <v>2.5297465787276217</v>
      </c>
      <c r="F20" s="9">
        <v>397.32988239582039</v>
      </c>
      <c r="G20" s="9">
        <v>174.24950000000001</v>
      </c>
      <c r="H20" s="9">
        <v>2.2802354233201263</v>
      </c>
      <c r="I20" s="9"/>
      <c r="J20" s="9">
        <v>435.58436870872958</v>
      </c>
      <c r="K20" s="9">
        <v>174.24950000000001</v>
      </c>
      <c r="L20" s="9">
        <v>2.4997739948104849</v>
      </c>
      <c r="M20" s="9"/>
      <c r="N20" s="9">
        <v>409.38775353084191</v>
      </c>
      <c r="O20" s="9">
        <v>174.24950000000001</v>
      </c>
      <c r="P20" s="9">
        <v>2.3494343084533491</v>
      </c>
      <c r="Q20" s="9"/>
      <c r="R20" s="9"/>
    </row>
    <row r="21" spans="1:18">
      <c r="A21" s="6" t="s">
        <v>25</v>
      </c>
      <c r="B21" s="9">
        <v>2497.6716904005175</v>
      </c>
      <c r="C21" s="9">
        <v>314.93349999999998</v>
      </c>
      <c r="D21" s="9">
        <v>7.9307907555103458</v>
      </c>
      <c r="F21" s="9">
        <v>2398.0344533986236</v>
      </c>
      <c r="G21" s="9">
        <v>314.93349999999998</v>
      </c>
      <c r="H21" s="9">
        <v>7.6144152762364872</v>
      </c>
      <c r="I21" s="9"/>
      <c r="J21" s="9">
        <v>2358.298621428251</v>
      </c>
      <c r="K21" s="9">
        <v>314.93349999999998</v>
      </c>
      <c r="L21" s="9">
        <v>7.4882431415783053</v>
      </c>
      <c r="M21" s="9"/>
      <c r="N21" s="9">
        <v>2314.3491668650286</v>
      </c>
      <c r="O21" s="9">
        <v>314.93349999999998</v>
      </c>
      <c r="P21" s="9">
        <v>7.3486916027193958</v>
      </c>
      <c r="Q21" s="9"/>
      <c r="R21" s="9"/>
    </row>
    <row r="22" spans="1:18">
      <c r="A22" s="6" t="s">
        <v>26</v>
      </c>
      <c r="B22" s="9">
        <v>3258.3430820252274</v>
      </c>
      <c r="C22" s="9">
        <v>1376.1875</v>
      </c>
      <c r="D22" s="9">
        <v>2.3676592630184676</v>
      </c>
      <c r="F22" s="9">
        <v>3342.4785174486888</v>
      </c>
      <c r="G22" s="9">
        <v>1376.1875</v>
      </c>
      <c r="H22" s="9">
        <v>2.4287958708015358</v>
      </c>
      <c r="I22" s="9"/>
      <c r="J22" s="9">
        <v>3250.253839638006</v>
      </c>
      <c r="K22" s="9">
        <v>1376.1875</v>
      </c>
      <c r="L22" s="9">
        <v>2.3617812541081835</v>
      </c>
      <c r="M22" s="9"/>
      <c r="N22" s="9">
        <v>3310.6081113422397</v>
      </c>
      <c r="O22" s="9">
        <v>1376.1875</v>
      </c>
      <c r="P22" s="9">
        <v>2.4056373941357845</v>
      </c>
      <c r="Q22" s="9"/>
      <c r="R22" s="9"/>
    </row>
    <row r="23" spans="1:18">
      <c r="A23" s="6" t="s">
        <v>27</v>
      </c>
      <c r="B23" s="9">
        <v>2874.2433544611395</v>
      </c>
      <c r="C23" s="9">
        <v>176.35589999999999</v>
      </c>
      <c r="D23" s="9">
        <v>16.297971060005022</v>
      </c>
      <c r="F23" s="9">
        <v>2466.5250697814045</v>
      </c>
      <c r="G23" s="9">
        <v>176.35589999999999</v>
      </c>
      <c r="H23" s="9">
        <v>13.986064939031836</v>
      </c>
      <c r="I23" s="9"/>
      <c r="J23" s="9">
        <v>2763.3926261388051</v>
      </c>
      <c r="K23" s="9">
        <v>176.35589999999999</v>
      </c>
      <c r="L23" s="9">
        <v>15.669408429991881</v>
      </c>
      <c r="M23" s="9"/>
      <c r="N23" s="9">
        <v>2606.8682690611154</v>
      </c>
      <c r="O23" s="9">
        <v>176.35589999999999</v>
      </c>
      <c r="P23" s="9">
        <v>14.781860255659808</v>
      </c>
      <c r="Q23" s="9"/>
      <c r="R23" s="9"/>
    </row>
    <row r="24" spans="1:18">
      <c r="A24" s="6" t="s">
        <v>28</v>
      </c>
      <c r="B24" s="9">
        <v>2995.4460757656216</v>
      </c>
      <c r="C24" s="9">
        <v>26473.9496</v>
      </c>
      <c r="D24" s="9">
        <v>0.11314692824547878</v>
      </c>
      <c r="F24" s="9">
        <v>2287.7930413134163</v>
      </c>
      <c r="G24" s="9">
        <v>26473.9496</v>
      </c>
      <c r="H24" s="9">
        <v>8.6416763493174301E-2</v>
      </c>
      <c r="I24" s="9"/>
      <c r="J24" s="9">
        <v>2461.31524575201</v>
      </c>
      <c r="K24" s="9">
        <v>26473.9496</v>
      </c>
      <c r="L24" s="9">
        <v>9.2971214455738402E-2</v>
      </c>
      <c r="M24" s="9"/>
      <c r="N24" s="9">
        <v>2514.4715198667786</v>
      </c>
      <c r="O24" s="9">
        <v>26473.9496</v>
      </c>
      <c r="P24" s="9">
        <v>9.4979085397472338E-2</v>
      </c>
      <c r="Q24" s="9"/>
      <c r="R24" s="9"/>
    </row>
    <row r="25" spans="1:18">
      <c r="A25" s="6" t="s">
        <v>29</v>
      </c>
      <c r="B25" s="9">
        <v>342.69368646220352</v>
      </c>
      <c r="C25" s="9">
        <v>173.62470000000002</v>
      </c>
      <c r="D25" s="9">
        <v>1.9737611437900453</v>
      </c>
      <c r="F25" s="9">
        <v>329.47373261217814</v>
      </c>
      <c r="G25" s="9">
        <v>173.62470000000002</v>
      </c>
      <c r="H25" s="9">
        <v>1.8976201693202528</v>
      </c>
      <c r="I25" s="9"/>
      <c r="J25" s="9">
        <v>348.41804429013928</v>
      </c>
      <c r="K25" s="9">
        <v>173.62470000000002</v>
      </c>
      <c r="L25" s="9">
        <v>2.0067308642729937</v>
      </c>
      <c r="M25" s="9"/>
      <c r="N25" s="9">
        <v>318.33523716020784</v>
      </c>
      <c r="O25" s="9">
        <v>173.62470000000002</v>
      </c>
      <c r="P25" s="9">
        <v>1.8334674568780123</v>
      </c>
      <c r="Q25" s="9"/>
      <c r="R25" s="9"/>
    </row>
    <row r="26" spans="1:18">
      <c r="A26" s="6" t="s">
        <v>30</v>
      </c>
      <c r="B26" s="9">
        <v>523.72731142584462</v>
      </c>
      <c r="C26" s="9">
        <v>355.2715</v>
      </c>
      <c r="D26" s="9">
        <v>1.4741607796455516</v>
      </c>
      <c r="F26" s="9">
        <v>466.75389194208577</v>
      </c>
      <c r="G26" s="9">
        <v>355.2715</v>
      </c>
      <c r="H26" s="9">
        <v>1.3137949200599703</v>
      </c>
      <c r="I26" s="9"/>
      <c r="J26" s="9">
        <v>507.67327933170225</v>
      </c>
      <c r="K26" s="9">
        <v>355.2715</v>
      </c>
      <c r="L26" s="9">
        <v>1.428972713352189</v>
      </c>
      <c r="M26" s="9"/>
      <c r="N26" s="9">
        <v>477.50823415998582</v>
      </c>
      <c r="O26" s="9">
        <v>355.2715</v>
      </c>
      <c r="P26" s="9">
        <v>1.3440656910559552</v>
      </c>
      <c r="Q26" s="9"/>
      <c r="R26" s="9"/>
    </row>
    <row r="27" spans="1:18">
      <c r="A27" s="6" t="s">
        <v>31</v>
      </c>
      <c r="B27" s="9">
        <v>820.65745973842184</v>
      </c>
      <c r="C27" s="9">
        <v>2257.1535999999996</v>
      </c>
      <c r="D27" s="9">
        <v>0.3635806884114674</v>
      </c>
      <c r="F27" s="9">
        <v>722.60287175158635</v>
      </c>
      <c r="G27" s="9">
        <v>2257.1535999999996</v>
      </c>
      <c r="H27" s="9">
        <v>0.32013898910184335</v>
      </c>
      <c r="I27" s="9"/>
      <c r="J27" s="9">
        <v>809.94520950119329</v>
      </c>
      <c r="K27" s="9">
        <v>2257.1535999999996</v>
      </c>
      <c r="L27" s="9">
        <v>0.35883477735019603</v>
      </c>
      <c r="M27" s="9"/>
      <c r="N27" s="9">
        <v>780.88449157895104</v>
      </c>
      <c r="O27" s="9">
        <v>2257.1535999999996</v>
      </c>
      <c r="P27" s="9">
        <v>0.34595983701727306</v>
      </c>
      <c r="Q27" s="9"/>
      <c r="R27" s="9"/>
    </row>
    <row r="28" spans="1:18">
      <c r="A28" s="6" t="s">
        <v>32</v>
      </c>
      <c r="B28" s="9">
        <v>886.15158348641091</v>
      </c>
      <c r="C28" s="9">
        <v>3268.3962999999999</v>
      </c>
      <c r="D28" s="9">
        <v>0.2711273365125309</v>
      </c>
      <c r="F28" s="9">
        <v>868.31075189221451</v>
      </c>
      <c r="G28" s="9">
        <v>3268.3962999999999</v>
      </c>
      <c r="H28" s="9">
        <v>0.26566874766447829</v>
      </c>
      <c r="I28" s="9"/>
      <c r="J28" s="9">
        <v>875.19295414820533</v>
      </c>
      <c r="K28" s="9">
        <v>3268.3962999999999</v>
      </c>
      <c r="L28" s="9">
        <v>0.26777442935797147</v>
      </c>
      <c r="M28" s="9"/>
      <c r="N28" s="9">
        <v>873.81448829014198</v>
      </c>
      <c r="O28" s="9">
        <v>3268.3962999999999</v>
      </c>
      <c r="P28" s="9">
        <v>0.26735267332487861</v>
      </c>
      <c r="Q28" s="9"/>
      <c r="R28" s="9"/>
    </row>
    <row r="29" spans="1:18">
      <c r="A29" s="6" t="s">
        <v>33</v>
      </c>
      <c r="B29" s="9">
        <v>889.68823460186536</v>
      </c>
      <c r="C29" s="9">
        <v>903.8207000000001</v>
      </c>
      <c r="D29" s="9">
        <v>0.98436364048960734</v>
      </c>
      <c r="F29" s="9">
        <v>772.84183401000814</v>
      </c>
      <c r="G29" s="9">
        <v>903.8207000000001</v>
      </c>
      <c r="H29" s="9">
        <v>0.85508313099048083</v>
      </c>
      <c r="I29" s="9"/>
      <c r="J29" s="9">
        <v>868.53830645607866</v>
      </c>
      <c r="K29" s="9">
        <v>903.8207000000001</v>
      </c>
      <c r="L29" s="9">
        <v>0.96096306098773632</v>
      </c>
      <c r="M29" s="9"/>
      <c r="N29" s="9">
        <v>825.6928288702718</v>
      </c>
      <c r="O29" s="9">
        <v>903.8207000000001</v>
      </c>
      <c r="P29" s="9">
        <v>0.91355821887048139</v>
      </c>
      <c r="Q29" s="9"/>
      <c r="R29" s="9"/>
    </row>
    <row r="30" spans="1:18">
      <c r="A30" s="6" t="s">
        <v>34</v>
      </c>
      <c r="B30" s="9">
        <v>2056.2164810821673</v>
      </c>
      <c r="C30" s="9">
        <v>472.30910000000006</v>
      </c>
      <c r="D30" s="9">
        <v>4.3535398345747884</v>
      </c>
      <c r="F30" s="9">
        <v>1765.7471063208527</v>
      </c>
      <c r="G30" s="9">
        <v>472.30910000000006</v>
      </c>
      <c r="H30" s="9">
        <v>3.738541362681457</v>
      </c>
      <c r="I30" s="9"/>
      <c r="J30" s="9">
        <v>1922.3187780843643</v>
      </c>
      <c r="K30" s="9">
        <v>472.30910000000006</v>
      </c>
      <c r="L30" s="9">
        <v>4.0700439142171181</v>
      </c>
      <c r="M30" s="9"/>
      <c r="N30" s="9">
        <v>1858.2142605437041</v>
      </c>
      <c r="O30" s="9">
        <v>472.30910000000006</v>
      </c>
      <c r="P30" s="9">
        <v>3.9343181415384625</v>
      </c>
      <c r="Q30" s="9"/>
      <c r="R30" s="9"/>
    </row>
    <row r="31" spans="1:18">
      <c r="A31" s="6" t="s">
        <v>35</v>
      </c>
      <c r="B31" s="9">
        <v>370.25373127787009</v>
      </c>
      <c r="C31" s="9">
        <v>1086.4926</v>
      </c>
      <c r="D31" s="9">
        <v>0.34077887992782468</v>
      </c>
      <c r="F31" s="9">
        <v>356.80994300871492</v>
      </c>
      <c r="G31" s="9">
        <v>1086.4926</v>
      </c>
      <c r="H31" s="9">
        <v>0.32840531358309749</v>
      </c>
      <c r="I31" s="9"/>
      <c r="J31" s="9">
        <v>365.41392988919279</v>
      </c>
      <c r="K31" s="9">
        <v>1086.4926</v>
      </c>
      <c r="L31" s="9">
        <v>0.33632436142610889</v>
      </c>
      <c r="M31" s="9"/>
      <c r="N31" s="9">
        <v>356.85837135611376</v>
      </c>
      <c r="O31" s="9">
        <v>1086.4926</v>
      </c>
      <c r="P31" s="9">
        <v>0.3284498866868617</v>
      </c>
      <c r="Q31" s="9"/>
      <c r="R31" s="9"/>
    </row>
    <row r="32" spans="1:18">
      <c r="A32" s="6" t="s">
        <v>36</v>
      </c>
      <c r="B32" s="9">
        <v>1325.5649913893583</v>
      </c>
      <c r="C32" s="9">
        <v>5418.9444999999996</v>
      </c>
      <c r="D32" s="9">
        <v>0.24461682369866647</v>
      </c>
      <c r="F32" s="9">
        <v>1192.9900105779561</v>
      </c>
      <c r="G32" s="9">
        <v>5418.9444999999996</v>
      </c>
      <c r="H32" s="9">
        <v>0.22015173076195119</v>
      </c>
      <c r="I32" s="9"/>
      <c r="J32" s="9">
        <v>1295.4061223519009</v>
      </c>
      <c r="K32" s="9">
        <v>5418.9444999999996</v>
      </c>
      <c r="L32" s="9">
        <v>0.23905137289224884</v>
      </c>
      <c r="M32" s="9"/>
      <c r="N32" s="9">
        <v>1258.15273548287</v>
      </c>
      <c r="O32" s="9">
        <v>5418.9444999999996</v>
      </c>
      <c r="P32" s="9">
        <v>0.23217671549927665</v>
      </c>
      <c r="Q32" s="9"/>
      <c r="R32" s="9"/>
    </row>
    <row r="33" spans="1:18">
      <c r="A33" s="6" t="s">
        <v>37</v>
      </c>
      <c r="B33" s="9">
        <v>983.57050324319164</v>
      </c>
      <c r="C33" s="9">
        <v>269.23970000000003</v>
      </c>
      <c r="D33" s="9">
        <v>3.6531406892935609</v>
      </c>
      <c r="F33" s="9">
        <v>824.38869484624308</v>
      </c>
      <c r="G33" s="9">
        <v>269.23970000000003</v>
      </c>
      <c r="H33" s="9">
        <v>3.0619135842382939</v>
      </c>
      <c r="I33" s="9"/>
      <c r="J33" s="9">
        <v>912.99086501357237</v>
      </c>
      <c r="K33" s="9">
        <v>269.23970000000003</v>
      </c>
      <c r="L33" s="9">
        <v>3.3909964429969737</v>
      </c>
      <c r="M33" s="9"/>
      <c r="N33" s="9">
        <v>902.19869606095131</v>
      </c>
      <c r="O33" s="9">
        <v>269.23970000000003</v>
      </c>
      <c r="P33" s="9">
        <v>3.3509125736693037</v>
      </c>
      <c r="Q33" s="9"/>
      <c r="R33" s="9"/>
    </row>
    <row r="34" spans="1:18">
      <c r="A34" s="6" t="s">
        <v>38</v>
      </c>
      <c r="B34" s="9">
        <v>1295.9806478586393</v>
      </c>
      <c r="C34" s="9">
        <v>4742.6850000000004</v>
      </c>
      <c r="D34" s="9">
        <v>0.27325884975675996</v>
      </c>
      <c r="F34" s="9">
        <v>1156.6824514253392</v>
      </c>
      <c r="G34" s="9">
        <v>4742.6850000000004</v>
      </c>
      <c r="H34" s="9">
        <v>0.24388768206729713</v>
      </c>
      <c r="I34" s="9"/>
      <c r="J34" s="9">
        <v>1228.7571450145929</v>
      </c>
      <c r="K34" s="9">
        <v>4742.6850000000004</v>
      </c>
      <c r="L34" s="9">
        <v>0.25908470518590054</v>
      </c>
      <c r="M34" s="9"/>
      <c r="N34" s="9">
        <v>1182.8093034227045</v>
      </c>
      <c r="O34" s="9">
        <v>4742.6850000000004</v>
      </c>
      <c r="P34" s="9">
        <v>0.24939655562676089</v>
      </c>
      <c r="Q34" s="9"/>
      <c r="R34" s="9"/>
    </row>
    <row r="35" spans="1:18">
      <c r="A35" s="6" t="s">
        <v>39</v>
      </c>
      <c r="B35" s="9">
        <v>568.33132351365498</v>
      </c>
      <c r="C35" s="9">
        <v>1657.2904000000001</v>
      </c>
      <c r="D35" s="9">
        <v>0.34292802487340479</v>
      </c>
      <c r="F35" s="9">
        <v>550.38712913875702</v>
      </c>
      <c r="G35" s="9">
        <v>1657.2904000000001</v>
      </c>
      <c r="H35" s="9">
        <v>0.33210059573069212</v>
      </c>
      <c r="I35" s="9"/>
      <c r="J35" s="9">
        <v>558.76281009483091</v>
      </c>
      <c r="K35" s="9">
        <v>1657.2904000000001</v>
      </c>
      <c r="L35" s="9">
        <v>0.3371544359967516</v>
      </c>
      <c r="M35" s="9"/>
      <c r="N35" s="9">
        <v>556.00422596629244</v>
      </c>
      <c r="O35" s="9">
        <v>1657.2904000000001</v>
      </c>
      <c r="P35" s="9">
        <v>0.33548992135976435</v>
      </c>
      <c r="Q35" s="9"/>
      <c r="R35" s="9"/>
    </row>
    <row r="36" spans="1:18">
      <c r="A36" s="6" t="s">
        <v>40</v>
      </c>
      <c r="B36" s="9">
        <v>846.06168955391195</v>
      </c>
      <c r="C36" s="9">
        <v>1234.6853000000001</v>
      </c>
      <c r="D36" s="9">
        <v>0.685244806554279</v>
      </c>
      <c r="F36" s="9">
        <v>782.19926549527224</v>
      </c>
      <c r="G36" s="9">
        <v>1234.6853000000001</v>
      </c>
      <c r="H36" s="9">
        <v>0.63352116162334826</v>
      </c>
      <c r="I36" s="9"/>
      <c r="J36" s="9">
        <v>847.42965022562532</v>
      </c>
      <c r="K36" s="9">
        <v>1234.6853000000001</v>
      </c>
      <c r="L36" s="9">
        <v>0.6863527493407634</v>
      </c>
      <c r="M36" s="9"/>
      <c r="N36" s="9">
        <v>807.15625553848497</v>
      </c>
      <c r="O36" s="9">
        <v>1234.6853000000001</v>
      </c>
      <c r="P36" s="9">
        <v>0.65373440142073846</v>
      </c>
      <c r="Q36" s="9"/>
      <c r="R36" s="9"/>
    </row>
    <row r="37" spans="1:18">
      <c r="A37" s="6" t="s">
        <v>41</v>
      </c>
      <c r="B37" s="9">
        <v>1911.1609855704151</v>
      </c>
      <c r="C37" s="9">
        <v>1774.0223999999998</v>
      </c>
      <c r="D37" s="9">
        <v>1.0773037508266048</v>
      </c>
      <c r="F37" s="9">
        <v>1669.5014311973184</v>
      </c>
      <c r="G37" s="9">
        <v>1774.0223999999998</v>
      </c>
      <c r="H37" s="9">
        <v>0.94108249771666841</v>
      </c>
      <c r="I37" s="9"/>
      <c r="J37" s="9">
        <v>1824.0430141842385</v>
      </c>
      <c r="K37" s="9">
        <v>1774.0223999999998</v>
      </c>
      <c r="L37" s="9">
        <v>1.0281961570407672</v>
      </c>
      <c r="M37" s="9"/>
      <c r="N37" s="9">
        <v>1722.1710157174675</v>
      </c>
      <c r="O37" s="9">
        <v>1774.0223999999998</v>
      </c>
      <c r="P37" s="9">
        <v>0.97077185480717021</v>
      </c>
      <c r="Q37" s="9"/>
      <c r="R37" s="9"/>
    </row>
    <row r="38" spans="1:18">
      <c r="A38" s="6" t="s">
        <v>42</v>
      </c>
      <c r="B38" s="9">
        <v>875.93193507580781</v>
      </c>
      <c r="C38" s="9">
        <v>2254.8126000000002</v>
      </c>
      <c r="D38" s="9">
        <v>0.38847216619057734</v>
      </c>
      <c r="F38" s="9">
        <v>646.38294065918683</v>
      </c>
      <c r="G38" s="9">
        <v>2254.8126000000002</v>
      </c>
      <c r="H38" s="9">
        <v>0.28666814291315684</v>
      </c>
      <c r="I38" s="9"/>
      <c r="J38" s="9">
        <v>704.40782276133859</v>
      </c>
      <c r="K38" s="9">
        <v>2254.8126000000002</v>
      </c>
      <c r="L38" s="9">
        <v>0.31240193653403325</v>
      </c>
      <c r="M38" s="9"/>
      <c r="N38" s="9">
        <v>670.76112896172128</v>
      </c>
      <c r="O38" s="9">
        <v>2254.8126000000002</v>
      </c>
      <c r="P38" s="9">
        <v>0.29747976792471409</v>
      </c>
      <c r="Q38" s="9"/>
      <c r="R38" s="9"/>
    </row>
    <row r="39" spans="1:18">
      <c r="A39" s="6" t="s">
        <v>43</v>
      </c>
      <c r="B39" s="9">
        <v>528.57932664569387</v>
      </c>
      <c r="C39" s="9">
        <v>182.78299999999999</v>
      </c>
      <c r="D39" s="9">
        <v>2.8918407436451634</v>
      </c>
      <c r="F39" s="9">
        <v>355.92647972947969</v>
      </c>
      <c r="G39" s="9">
        <v>182.78299999999999</v>
      </c>
      <c r="H39" s="9">
        <v>1.9472624901083784</v>
      </c>
      <c r="I39" s="9"/>
      <c r="J39" s="9">
        <v>394.53095535141176</v>
      </c>
      <c r="K39" s="9">
        <v>182.78299999999999</v>
      </c>
      <c r="L39" s="9">
        <v>2.1584663527319927</v>
      </c>
      <c r="M39" s="9"/>
      <c r="N39" s="9">
        <v>376.67815004365337</v>
      </c>
      <c r="O39" s="9">
        <v>182.78299999999999</v>
      </c>
      <c r="P39" s="9">
        <v>2.0607942207079071</v>
      </c>
      <c r="Q39" s="9"/>
      <c r="R39" s="9"/>
    </row>
    <row r="40" spans="1:18">
      <c r="A40" s="6" t="s">
        <v>44</v>
      </c>
      <c r="B40" s="9">
        <v>1251.9515562430493</v>
      </c>
      <c r="C40" s="9">
        <v>431.5908</v>
      </c>
      <c r="D40" s="9">
        <v>2.9007836966011538</v>
      </c>
      <c r="F40" s="9">
        <v>1048.6096385575302</v>
      </c>
      <c r="G40" s="9">
        <v>431.5908</v>
      </c>
      <c r="H40" s="9">
        <v>2.4296385339018585</v>
      </c>
      <c r="I40" s="9"/>
      <c r="J40" s="9">
        <v>1144.5707082570677</v>
      </c>
      <c r="K40" s="9">
        <v>431.5908</v>
      </c>
      <c r="L40" s="9">
        <v>2.6519812476472335</v>
      </c>
      <c r="M40" s="9"/>
      <c r="N40" s="9">
        <v>1109.106671442124</v>
      </c>
      <c r="O40" s="9">
        <v>431.5908</v>
      </c>
      <c r="P40" s="9">
        <v>2.5698107361003153</v>
      </c>
      <c r="Q40" s="9"/>
      <c r="R40" s="9"/>
    </row>
    <row r="41" spans="1:18">
      <c r="A41" s="6"/>
      <c r="B41" s="9"/>
      <c r="C41" s="9"/>
      <c r="D41" s="9"/>
      <c r="E41" s="9"/>
      <c r="F41" s="9"/>
      <c r="G41" s="9"/>
      <c r="H41" s="9"/>
      <c r="I41" s="9"/>
      <c r="J41" s="9"/>
      <c r="K41" s="9"/>
      <c r="L41" s="9"/>
      <c r="M41" s="9"/>
      <c r="N41" s="9"/>
      <c r="O41" s="9"/>
      <c r="P41" s="9"/>
      <c r="Q41" s="9"/>
      <c r="R41" s="9"/>
    </row>
    <row r="42" spans="1:18">
      <c r="A42" s="6" t="s">
        <v>45</v>
      </c>
      <c r="B42" s="9">
        <v>42063.542007142671</v>
      </c>
      <c r="C42" s="9">
        <v>80232.8364</v>
      </c>
      <c r="D42" s="9">
        <v>0.52426841545817104</v>
      </c>
      <c r="F42" s="9">
        <v>37610.794822301963</v>
      </c>
      <c r="G42" s="9">
        <v>80232.8364</v>
      </c>
      <c r="H42" s="9">
        <v>0.46877059954348022</v>
      </c>
      <c r="I42" s="9"/>
      <c r="J42" s="9">
        <v>40024.058143493661</v>
      </c>
      <c r="K42" s="9">
        <v>80232.8364</v>
      </c>
      <c r="L42" s="9">
        <v>0.49884884966491927</v>
      </c>
      <c r="M42" s="9"/>
      <c r="N42" s="9">
        <v>38856.598236562328</v>
      </c>
      <c r="O42" s="9">
        <v>80232.8364</v>
      </c>
      <c r="P42" s="9">
        <v>0.48429795056531649</v>
      </c>
      <c r="Q42" s="9"/>
      <c r="R42" s="9"/>
    </row>
    <row r="43" spans="1:18">
      <c r="A43" s="6" t="s">
        <v>46</v>
      </c>
      <c r="B43" s="9">
        <v>417068.09181313793</v>
      </c>
      <c r="C43" s="9">
        <v>248717.57060000004</v>
      </c>
      <c r="D43" s="9">
        <v>1.676874258650136</v>
      </c>
      <c r="F43" s="9">
        <v>377286.60699370614</v>
      </c>
      <c r="G43" s="9">
        <v>248717.57060000004</v>
      </c>
      <c r="H43" s="9">
        <v>1.5169278394105787</v>
      </c>
      <c r="I43" s="9"/>
      <c r="J43" s="9">
        <v>395938.68625777762</v>
      </c>
      <c r="K43" s="9">
        <v>248717.57060000004</v>
      </c>
      <c r="L43" s="9">
        <v>1.5919208494302395</v>
      </c>
      <c r="M43" s="9"/>
      <c r="N43" s="9">
        <v>375929.28164528694</v>
      </c>
      <c r="O43" s="9">
        <v>248717.57060000004</v>
      </c>
      <c r="P43" s="9">
        <v>1.5114705436306914</v>
      </c>
      <c r="Q43" s="9"/>
      <c r="R43" s="9"/>
    </row>
    <row r="44" spans="1:18">
      <c r="A44" s="6" t="s">
        <v>543</v>
      </c>
      <c r="B44" s="9">
        <f>SUM(SUMIFS(B$9:B$40,$A$9:$A$40,{"Na h-Eileanan Siar","Argyll and Bute","Shetland Islands","Highland","Orkney Islands","Scottish Borders","Dumfries and Galloway","Aberdeenshire"}))</f>
        <v>11636.706283021182</v>
      </c>
      <c r="C44" s="9">
        <f>SUM(SUMIFS(C$9:C$40,$A$9:$A$40,{"Na h-Eileanan Siar","Argyll and Bute","Shetland Islands","Highland","Orkney Islands","Scottish Borders","Dumfries and Galloway","Aberdeenshire"}))</f>
        <v>57408.448900000003</v>
      </c>
      <c r="D44" s="518">
        <f>B44/C44</f>
        <v>0.20270023848390686</v>
      </c>
      <c r="E44" s="4"/>
      <c r="F44" s="98">
        <f>SUM(SUMIFS(F$9:F$40,$A$9:$A$40,{"Na h-Eileanan Siar","Argyll and Bute","Shetland Islands","Highland","Orkney Islands","Scottish Borders","Dumfries and Galloway","Aberdeenshire"}))</f>
        <v>10454.800288322675</v>
      </c>
      <c r="G44" s="98">
        <f>SUM(SUMIFS(G$9:G$40,$A$9:$A$40,{"Na h-Eileanan Siar","Argyll and Bute","Shetland Islands","Highland","Orkney Islands","Scottish Borders","Dumfries and Galloway","Aberdeenshire"}))</f>
        <v>57408.448900000003</v>
      </c>
      <c r="H44" s="518">
        <f>F44/G44</f>
        <v>0.18211257208035583</v>
      </c>
      <c r="I44" s="4"/>
      <c r="J44" s="98">
        <f>SUM(SUMIFS(J$9:J$40,$A$9:$A$40,{"Na h-Eileanan Siar","Argyll and Bute","Shetland Islands","Highland","Orkney Islands","Scottish Borders","Dumfries and Galloway","Aberdeenshire"}))</f>
        <v>11074.053977256292</v>
      </c>
      <c r="K44" s="98">
        <f>SUM(SUMIFS(K$9:K$40,$A$9:$A$40,{"Na h-Eileanan Siar","Argyll and Bute","Shetland Islands","Highland","Orkney Islands","Scottish Borders","Dumfries and Galloway","Aberdeenshire"}))</f>
        <v>57408.448900000003</v>
      </c>
      <c r="L44" s="518">
        <f>J44/K44</f>
        <v>0.19289937612747957</v>
      </c>
      <c r="M44" s="4"/>
      <c r="N44" s="98">
        <f>SUM(SUMIFS(N$9:N$40,$A$9:$A$40,{"Na h-Eileanan Siar","Argyll and Bute","Shetland Islands","Highland","Orkney Islands","Scottish Borders","Dumfries and Galloway","Aberdeenshire"}))</f>
        <v>10939.761182307731</v>
      </c>
      <c r="O44" s="98">
        <f>SUM(SUMIFS(O$9:O$40,$A$9:$A$40,{"Na h-Eileanan Siar","Argyll and Bute","Shetland Islands","Highland","Orkney Islands","Scottish Borders","Dumfries and Galloway","Aberdeenshire"}))</f>
        <v>57408.448900000003</v>
      </c>
      <c r="P44" s="518">
        <f>N44/O44</f>
        <v>0.19056012471898942</v>
      </c>
      <c r="Q44" s="4"/>
      <c r="R44" s="98"/>
    </row>
    <row r="45" spans="1:18">
      <c r="A45" s="6" t="s">
        <v>544</v>
      </c>
      <c r="B45" s="9">
        <f>SUM(SUMIFS(B$9:B$40,$A$9:$A$40,{"Perth and Kinross","Stirling","Moray","South Ayrshire","East Ayrshire","East Lothian","North Ayrshire","Fife"}))</f>
        <v>10310.73984771458</v>
      </c>
      <c r="C45" s="9">
        <f>SUM(SUMIFS(C$9:C$40,$A$9:$A$40,{"Perth and Kinross","Stirling","Moray","South Ayrshire","East Ayrshire","East Lothian","North Ayrshire","Fife"}))</f>
        <v>15416.883600000001</v>
      </c>
      <c r="D45" s="518">
        <f>B45/C45</f>
        <v>0.66879533602462815</v>
      </c>
      <c r="E45" s="4"/>
      <c r="F45" s="98">
        <f>SUM(SUMIFS(F$9:F$40,$A$9:$A$40,{"Perth and Kinross","Stirling","Moray","South Ayrshire","East Ayrshire","East Lothian","North Ayrshire","Fife"}))</f>
        <v>9463.2671952967248</v>
      </c>
      <c r="G45" s="98">
        <f>SUM(SUMIFS(G$9:G$40,$A$9:$A$40,{"Perth and Kinross","Stirling","Moray","South Ayrshire","East Ayrshire","East Lothian","North Ayrshire","Fife"}))</f>
        <v>15416.883600000001</v>
      </c>
      <c r="H45" s="518">
        <f>F45/G45</f>
        <v>0.61382491045704746</v>
      </c>
      <c r="I45" s="4"/>
      <c r="J45" s="98">
        <f>SUM(SUMIFS(J$9:J$40,$A$9:$A$40,{"Perth and Kinross","Stirling","Moray","South Ayrshire","East Ayrshire","East Lothian","North Ayrshire","Fife"}))</f>
        <v>9943.37438544018</v>
      </c>
      <c r="K45" s="98">
        <f>SUM(SUMIFS(K$9:K$40,$A$9:$A$40,{"Perth and Kinross","Stirling","Moray","South Ayrshire","East Ayrshire","East Lothian","North Ayrshire","Fife"}))</f>
        <v>15416.883600000001</v>
      </c>
      <c r="L45" s="518">
        <f>J45/K45</f>
        <v>0.64496656026125665</v>
      </c>
      <c r="M45" s="4"/>
      <c r="N45" s="98">
        <f>SUM(SUMIFS(N$9:N$40,$A$9:$A$40,{"Perth and Kinross","Stirling","Moray","South Ayrshire","East Ayrshire","East Lothian","North Ayrshire","Fife"}))</f>
        <v>9720.8611856592797</v>
      </c>
      <c r="O45" s="98">
        <f>SUM(SUMIFS(O$9:O$40,$A$9:$A$40,{"Perth and Kinross","Stirling","Moray","South Ayrshire","East Ayrshire","East Lothian","North Ayrshire","Fife"}))</f>
        <v>15416.883600000001</v>
      </c>
      <c r="P45" s="518">
        <f>N45/O45</f>
        <v>0.63053347471983756</v>
      </c>
      <c r="Q45" s="4"/>
      <c r="R45" s="98"/>
    </row>
    <row r="46" spans="1:18">
      <c r="A46" s="6" t="s">
        <v>545</v>
      </c>
      <c r="B46" s="9">
        <f>SUM(SUMIFS(B$9:B$40,$A$9:$A$40,{"Angus","Clackmannanshire","Midlothian","South Lanarkshire","Inverclyde","Renfrewshire","West Lothian","East Renfrewshire"}))</f>
        <v>7280.7532523424288</v>
      </c>
      <c r="C46" s="9">
        <f>SUM(SUMIFS(C$9:C$40,$A$9:$A$40,{"Angus","Clackmannanshire","Midlothian","South Lanarkshire","Inverclyde","Renfrewshire","West Lothian","East Renfrewshire"}))</f>
        <v>5545.8040000000001</v>
      </c>
      <c r="D46" s="518">
        <f>B46/C46</f>
        <v>1.3128399871943597</v>
      </c>
      <c r="E46" s="4"/>
      <c r="F46" s="98">
        <f>SUM(SUMIFS(F$9:F$40,$A$9:$A$40,{"Angus","Clackmannanshire","Midlothian","South Lanarkshire","Inverclyde","Renfrewshire","West Lothian","East Renfrewshire"}))</f>
        <v>6442.3911788071473</v>
      </c>
      <c r="G46" s="98">
        <f>SUM(SUMIFS(G$9:G$40,$A$9:$A$40,{"Angus","Clackmannanshire","Midlothian","South Lanarkshire","Inverclyde","Renfrewshire","West Lothian","East Renfrewshire"}))</f>
        <v>5545.8040000000001</v>
      </c>
      <c r="H46" s="518">
        <f>F46/G46</f>
        <v>1.1616694673679682</v>
      </c>
      <c r="I46" s="4"/>
      <c r="J46" s="98">
        <f>SUM(SUMIFS(J$9:J$40,$A$9:$A$40,{"Angus","Clackmannanshire","Midlothian","South Lanarkshire","Inverclyde","Renfrewshire","West Lothian","East Renfrewshire"}))</f>
        <v>6918.3969551043128</v>
      </c>
      <c r="K46" s="98">
        <f>SUM(SUMIFS(K$9:K$40,$A$9:$A$40,{"Angus","Clackmannanshire","Midlothian","South Lanarkshire","Inverclyde","Renfrewshire","West Lothian","East Renfrewshire"}))</f>
        <v>5545.8040000000001</v>
      </c>
      <c r="L46" s="518">
        <f>J46/K46</f>
        <v>1.2475011657650203</v>
      </c>
      <c r="M46" s="4"/>
      <c r="N46" s="98">
        <f>SUM(SUMIFS(N$9:N$40,$A$9:$A$40,{"Angus","Clackmannanshire","Midlothian","South Lanarkshire","Inverclyde","Renfrewshire","West Lothian","East Renfrewshire"}))</f>
        <v>6621.6885318887598</v>
      </c>
      <c r="O46" s="98">
        <f>SUM(SUMIFS(O$9:O$40,$A$9:$A$40,{"Angus","Clackmannanshire","Midlothian","South Lanarkshire","Inverclyde","Renfrewshire","West Lothian","East Renfrewshire"}))</f>
        <v>5545.8040000000001</v>
      </c>
      <c r="P46" s="518">
        <f>N46/O46</f>
        <v>1.193999739602907</v>
      </c>
      <c r="Q46" s="4"/>
      <c r="R46" s="98"/>
    </row>
    <row r="47" spans="1:18">
      <c r="A47" s="6" t="s">
        <v>546</v>
      </c>
      <c r="B47" s="9">
        <f>SUM(SUMIFS(B$9:B$40,$A$9:$A$40,{"North Lanarkshire","Falkirk","East Dunbartonshire","Aberdeen City","Edinburgh, City of","West Dunbartonshire","Dundee City","Glasgow City"}))</f>
        <v>12835.342624064468</v>
      </c>
      <c r="C47" s="9">
        <f>SUM(SUMIFS(C$9:C$40,$A$9:$A$40,{"North Lanarkshire","Falkirk","East Dunbartonshire","Aberdeen City","Edinburgh, City of","West Dunbartonshire","Dundee City","Glasgow City"}))</f>
        <v>1861.6999000000001</v>
      </c>
      <c r="D47" s="518">
        <f>B47/C47</f>
        <v>6.8944208591645015</v>
      </c>
      <c r="E47" s="4"/>
      <c r="F47" s="98">
        <f>SUM(SUMIFS(F$9:F$40,$A$9:$A$40,{"North Lanarkshire","Falkirk","East Dunbartonshire","Aberdeen City","Edinburgh, City of","West Dunbartonshire","Dundee City","Glasgow City"}))</f>
        <v>11250.336159875418</v>
      </c>
      <c r="G47" s="98">
        <f>SUM(SUMIFS(G$9:G$40,$A$9:$A$40,{"North Lanarkshire","Falkirk","East Dunbartonshire","Aberdeen City","Edinburgh, City of","West Dunbartonshire","Dundee City","Glasgow City"}))</f>
        <v>1861.6999000000001</v>
      </c>
      <c r="H47" s="518">
        <f>F47/G47</f>
        <v>6.0430449396679977</v>
      </c>
      <c r="I47" s="4"/>
      <c r="J47" s="98">
        <f>SUM(SUMIFS(J$9:J$40,$A$9:$A$40,{"North Lanarkshire","Falkirk","East Dunbartonshire","Aberdeen City","Edinburgh, City of","West Dunbartonshire","Dundee City","Glasgow City"}))</f>
        <v>12088.232825692874</v>
      </c>
      <c r="K47" s="98">
        <f>SUM(SUMIFS(K$9:K$40,$A$9:$A$40,{"North Lanarkshire","Falkirk","East Dunbartonshire","Aberdeen City","Edinburgh, City of","West Dunbartonshire","Dundee City","Glasgow City"}))</f>
        <v>1861.6999000000001</v>
      </c>
      <c r="L47" s="518">
        <f>J47/K47</f>
        <v>6.4931156872774576</v>
      </c>
      <c r="M47" s="4"/>
      <c r="N47" s="98">
        <f>SUM(SUMIFS(N$9:N$40,$A$9:$A$40,{"North Lanarkshire","Falkirk","East Dunbartonshire","Aberdeen City","Edinburgh, City of","West Dunbartonshire","Dundee City","Glasgow City"}))</f>
        <v>11574.287336706555</v>
      </c>
      <c r="O47" s="98">
        <f>SUM(SUMIFS(O$9:O$40,$A$9:$A$40,{"North Lanarkshire","Falkirk","East Dunbartonshire","Aberdeen City","Edinburgh, City of","West Dunbartonshire","Dundee City","Glasgow City"}))</f>
        <v>1861.6999000000001</v>
      </c>
      <c r="P47" s="518">
        <f>N47/O47</f>
        <v>6.2170532085791885</v>
      </c>
      <c r="Q47" s="4"/>
      <c r="R47" s="98"/>
    </row>
    <row r="48" spans="1:18">
      <c r="A48" s="6" t="s">
        <v>47</v>
      </c>
      <c r="B48" s="9">
        <f>SUM(B39+B37+B33+B30+B25+B23+B18+B20)</f>
        <v>9613.8638480467525</v>
      </c>
      <c r="C48" s="9">
        <f>SUM(C39+C37+C33+C30+C25+C23+C18+C20)</f>
        <v>3397.0732999999996</v>
      </c>
      <c r="D48" s="9">
        <f t="shared" ref="D48" si="0">B48/C48</f>
        <v>2.8300430985833462</v>
      </c>
      <c r="E48" s="9"/>
      <c r="F48" s="9">
        <f>SUM(F39+F37+F33+F30+F25+F23+F18+F20)</f>
        <v>8242.3367786760464</v>
      </c>
      <c r="G48" s="9">
        <f>SUM(G39+G37+G33+G30+G25+G23+G18+G20)</f>
        <v>3397.0732999999996</v>
      </c>
      <c r="H48" s="9">
        <f t="shared" ref="H48" si="1">F48/G48</f>
        <v>2.4263052488964685</v>
      </c>
      <c r="I48" s="9"/>
      <c r="J48" s="9">
        <f>SUM(J39+J37+J33+J30+J25+J23+J18+J20)</f>
        <v>9074.6173459521506</v>
      </c>
      <c r="K48" s="9">
        <f>SUM(K39+K37+K33+K30+K25+K23+K18+K20)</f>
        <v>3397.0732999999996</v>
      </c>
      <c r="L48" s="9">
        <f t="shared" ref="L48" si="2">J48/K48</f>
        <v>2.6713045449894035</v>
      </c>
      <c r="M48" s="9"/>
      <c r="N48" s="9">
        <f>SUM(N39+N37+N33+N30+N25+N23+N18+N20)</f>
        <v>8626.6721943540906</v>
      </c>
      <c r="O48" s="9">
        <f>SUM(O39+O37+O33+O30+O25+O23+O18+O20)</f>
        <v>3397.0732999999996</v>
      </c>
      <c r="P48" s="9">
        <f t="shared" ref="P48" si="3">N48/O48</f>
        <v>2.5394424648870815</v>
      </c>
      <c r="Q48" s="9"/>
      <c r="R48" s="9"/>
    </row>
  </sheetData>
  <mergeCells count="4">
    <mergeCell ref="B7:E7"/>
    <mergeCell ref="F7:I7"/>
    <mergeCell ref="J7:M7"/>
    <mergeCell ref="N7:Q7"/>
  </mergeCells>
  <conditionalFormatting sqref="A1:XFD1048576">
    <cfRule type="expression" dxfId="0" priority="1">
      <formula>_xlfn.ISFORMULA(A1)</formula>
    </cfRule>
  </conditionalFormatting>
  <pageMargins left="0.7" right="0.7" top="0.75" bottom="0.75" header="0.3" footer="0.3"/>
  <pageSetup paperSize="9" scale="10"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08955827-aeb1-42de-b749-f604362c41c2" origin="userSelected">
  <element uid="971a7eb4-36b4-4e7d-b804-a07772b8e228" value=""/>
  <element uid="6a4e5c3a-656a-4e9c-bd20-e36013bcf373" value=""/>
</sisl>
</file>

<file path=customXml/itemProps1.xml><?xml version="1.0" encoding="utf-8"?>
<ds:datastoreItem xmlns:ds="http://schemas.openxmlformats.org/officeDocument/2006/customXml" ds:itemID="{E8385EF2-267F-40F4-8DDC-544E1CAE95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8</vt:i4>
      </vt:variant>
    </vt:vector>
  </HeadingPairs>
  <TitlesOfParts>
    <vt:vector size="113" baseType="lpstr">
      <vt:lpstr>Cover</vt:lpstr>
      <vt:lpstr>LA Feedback</vt:lpstr>
      <vt:lpstr>Indicator Updates</vt:lpstr>
      <vt:lpstr>Index RAG</vt:lpstr>
      <vt:lpstr>Gap Analysis</vt:lpstr>
      <vt:lpstr>Child Poverty</vt:lpstr>
      <vt:lpstr>Fuel Poverty</vt:lpstr>
      <vt:lpstr>Claimant Count</vt:lpstr>
      <vt:lpstr>Workless Households</vt:lpstr>
      <vt:lpstr>SLDR</vt:lpstr>
      <vt:lpstr>High Qualifications</vt:lpstr>
      <vt:lpstr>No Qualifications</vt:lpstr>
      <vt:lpstr>Incapacity</vt:lpstr>
      <vt:lpstr>Ill Health</vt:lpstr>
      <vt:lpstr>HLE Females</vt:lpstr>
      <vt:lpstr>HLE Males</vt:lpstr>
      <vt:lpstr>Economic Inactivity</vt:lpstr>
      <vt:lpstr>Unemployment</vt:lpstr>
      <vt:lpstr>Employment</vt:lpstr>
      <vt:lpstr>Low Pay Sectors</vt:lpstr>
      <vt:lpstr>Gender Gap</vt:lpstr>
      <vt:lpstr>Earnings</vt:lpstr>
      <vt:lpstr>Low Earnings</vt:lpstr>
      <vt:lpstr>Underemployment</vt:lpstr>
      <vt:lpstr>SOC 1 Occupation</vt:lpstr>
      <vt:lpstr>Satisfactory hours</vt:lpstr>
      <vt:lpstr>Low pay</vt:lpstr>
      <vt:lpstr>Zero-hour contracts</vt:lpstr>
      <vt:lpstr>10 Mb</vt:lpstr>
      <vt:lpstr>UFBB</vt:lpstr>
      <vt:lpstr>Fibre</vt:lpstr>
      <vt:lpstr>New Builds</vt:lpstr>
      <vt:lpstr>Social Builds</vt:lpstr>
      <vt:lpstr>Adaptations</vt:lpstr>
      <vt:lpstr>SHQS</vt:lpstr>
      <vt:lpstr>Disrepair</vt:lpstr>
      <vt:lpstr>V&amp;DL</vt:lpstr>
      <vt:lpstr>DL %</vt:lpstr>
      <vt:lpstr>SIMD V&amp;DL</vt:lpstr>
      <vt:lpstr>Net Migration</vt:lpstr>
      <vt:lpstr>Housing Affordability</vt:lpstr>
      <vt:lpstr>Procurement</vt:lpstr>
      <vt:lpstr>Social Enterprises</vt:lpstr>
      <vt:lpstr>GVA</vt:lpstr>
      <vt:lpstr>GVA phw</vt:lpstr>
      <vt:lpstr>R&amp;D</vt:lpstr>
      <vt:lpstr>Enterprise Rate</vt:lpstr>
      <vt:lpstr>Business Births</vt:lpstr>
      <vt:lpstr>Business Deaths</vt:lpstr>
      <vt:lpstr>Business Survival</vt:lpstr>
      <vt:lpstr>Emissions Population</vt:lpstr>
      <vt:lpstr>Emissions KM</vt:lpstr>
      <vt:lpstr>Raw - Child Poverty</vt:lpstr>
      <vt:lpstr>Raw - Fuel Poverty</vt:lpstr>
      <vt:lpstr>Raw - Claimant Count</vt:lpstr>
      <vt:lpstr>Raw - Workless</vt:lpstr>
      <vt:lpstr>Raw - SLDR</vt:lpstr>
      <vt:lpstr>Raw - High Quals</vt:lpstr>
      <vt:lpstr>Raw - No Qualifications</vt:lpstr>
      <vt:lpstr>Raw - Incapacity</vt:lpstr>
      <vt:lpstr>Raw - Ill Health</vt:lpstr>
      <vt:lpstr>Raw - HLE Females</vt:lpstr>
      <vt:lpstr>Raw - HLE Males</vt:lpstr>
      <vt:lpstr>Raw - Eco Inactive</vt:lpstr>
      <vt:lpstr>Raw - Employment</vt:lpstr>
      <vt:lpstr>Raw - Unemployment</vt:lpstr>
      <vt:lpstr>Raw - Low Pay Sectors</vt:lpstr>
      <vt:lpstr>Raw - Gender Emp</vt:lpstr>
      <vt:lpstr>Raw - Earnings</vt:lpstr>
      <vt:lpstr>Raw - 20th Percentile Earnings</vt:lpstr>
      <vt:lpstr>Raw - Underemployment</vt:lpstr>
      <vt:lpstr>Raw - SOC1</vt:lpstr>
      <vt:lpstr>Raw - Satisfactory hours</vt:lpstr>
      <vt:lpstr>Raw - Low pay</vt:lpstr>
      <vt:lpstr>Raw - Zero-hour contracts</vt:lpstr>
      <vt:lpstr>Raw - 10Mb</vt:lpstr>
      <vt:lpstr>Raw - UFBB</vt:lpstr>
      <vt:lpstr>Raw - Fibre</vt:lpstr>
      <vt:lpstr>Raw - New Builds</vt:lpstr>
      <vt:lpstr>Raw - Social Builds</vt:lpstr>
      <vt:lpstr>Raw - Adaptations</vt:lpstr>
      <vt:lpstr>Raw - SHQS</vt:lpstr>
      <vt:lpstr>Raw - Disrepair</vt:lpstr>
      <vt:lpstr>Raw - VDL</vt:lpstr>
      <vt:lpstr>Raw - V&amp;DL %</vt:lpstr>
      <vt:lpstr>Raw - SIMD VDL</vt:lpstr>
      <vt:lpstr>Raw - Net Migration</vt:lpstr>
      <vt:lpstr>Raw - Housing Affordability</vt:lpstr>
      <vt:lpstr>Raw - SME Procurement</vt:lpstr>
      <vt:lpstr>Raw - Social Enterprises</vt:lpstr>
      <vt:lpstr>Raw - GVA</vt:lpstr>
      <vt:lpstr>Raw - GVA phw</vt:lpstr>
      <vt:lpstr>Raw - R&amp;D</vt:lpstr>
      <vt:lpstr>Raw - Enterprise</vt:lpstr>
      <vt:lpstr>Raw - Business Births</vt:lpstr>
      <vt:lpstr>Raw - Business Deaths</vt:lpstr>
      <vt:lpstr>Raw - Business Survival</vt:lpstr>
      <vt:lpstr>Raw - Emissions Pop</vt:lpstr>
      <vt:lpstr>Raw - Emissions KM</vt:lpstr>
      <vt:lpstr>Raw - Underutilisation</vt:lpstr>
      <vt:lpstr>Raw - Skills Shortage</vt:lpstr>
      <vt:lpstr>Population Data</vt:lpstr>
      <vt:lpstr>Lookups</vt:lpstr>
      <vt:lpstr>Gap Analysis Lookup</vt:lpstr>
      <vt:lpstr>LGBF Family Groups</vt:lpstr>
      <vt:lpstr>LGBF_1</vt:lpstr>
      <vt:lpstr>LGBF_2</vt:lpstr>
      <vt:lpstr>LGBF_3</vt:lpstr>
      <vt:lpstr>LGBF_4</vt:lpstr>
      <vt:lpstr>LGBF_5</vt:lpstr>
      <vt:lpstr>LGBF_6</vt:lpstr>
      <vt:lpstr>LGBF_7</vt:lpstr>
      <vt:lpstr>LGBF_8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keywords>[OFFICIAL]</cp:keywords>
  <cp:lastModifiedBy>Boyle, David Patrick (DRS)</cp:lastModifiedBy>
  <dcterms:created xsi:type="dcterms:W3CDTF">2021-02-02T14:06:33Z</dcterms:created>
  <dcterms:modified xsi:type="dcterms:W3CDTF">2024-11-06T15:24:38Z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2.1.3</vt:lpwstr>
  </property>
  <property fmtid="{D5CDD505-2E9C-101B-9397-08002B2CF9AE}" pid="4" name="docIndexRef">
    <vt:lpwstr>82abbe5a-ccee-402c-ac93-e91a4dde19c3</vt:lpwstr>
  </property>
  <property fmtid="{D5CDD505-2E9C-101B-9397-08002B2CF9AE}" pid="5" name="bjDocumentLabelXML">
    <vt:lpwstr>&lt;?xml version="1.0" encoding="us-ascii"?&gt;&lt;sisl xmlns:xsi="http://www.w3.org/2001/XMLSchema-instance" xmlns:xsd="http://www.w3.org/2001/XMLSchema" sislVersion="0" policy="08955827-aeb1-42de-b749-f604362c41c2" origin="userSelected" xmlns="http://www.boldonj</vt:lpwstr>
  </property>
  <property fmtid="{D5CDD505-2E9C-101B-9397-08002B2CF9AE}" pid="6" name="bjDocumentLabelXML-0">
    <vt:lpwstr>ames.com/2008/01/sie/internal/label"&gt;&lt;element uid="971a7eb4-36b4-4e7d-b804-a07772b8e228" value="" /&gt;&lt;element uid="6a4e5c3a-656a-4e9c-bd20-e36013bcf373" value="" /&gt;&lt;/sisl&gt;</vt:lpwstr>
  </property>
  <property fmtid="{D5CDD505-2E9C-101B-9397-08002B2CF9AE}" pid="7" name="bjDocumentSecurityLabel">
    <vt:lpwstr>OFFICIAL</vt:lpwstr>
  </property>
  <property fmtid="{D5CDD505-2E9C-101B-9397-08002B2CF9AE}" pid="8" name="gcc-meta-protectivemarking">
    <vt:lpwstr>[OFFICIAL]</vt:lpwstr>
  </property>
  <property fmtid="{D5CDD505-2E9C-101B-9397-08002B2CF9AE}" pid="9" name="bjSaver">
    <vt:lpwstr>GfUCufBNMzMaeVpWMCHed7bod0Z5GenZ</vt:lpwstr>
  </property>
  <property fmtid="{D5CDD505-2E9C-101B-9397-08002B2CF9AE}" pid="10" name="bjCentreHeaderLabel-first">
    <vt:lpwstr>&amp;"Arial,Regular"&amp;12&amp;B&amp;K000000OFFICIAL</vt:lpwstr>
  </property>
  <property fmtid="{D5CDD505-2E9C-101B-9397-08002B2CF9AE}" pid="11" name="bjCentreFooterLabel-first">
    <vt:lpwstr>&amp;"Arial,Regular"&amp;12&amp;B&amp;K000000OFFICIAL</vt:lpwstr>
  </property>
  <property fmtid="{D5CDD505-2E9C-101B-9397-08002B2CF9AE}" pid="12" name="bjCentreHeaderLabel-even">
    <vt:lpwstr>&amp;"Arial,Regular"&amp;12&amp;B&amp;K000000OFFICIAL</vt:lpwstr>
  </property>
  <property fmtid="{D5CDD505-2E9C-101B-9397-08002B2CF9AE}" pid="13" name="bjCentreFooterLabel-even">
    <vt:lpwstr>&amp;"Arial,Regular"&amp;12&amp;B&amp;K000000OFFICIAL</vt:lpwstr>
  </property>
  <property fmtid="{D5CDD505-2E9C-101B-9397-08002B2CF9AE}" pid="14" name="bjCentreHeaderLabel">
    <vt:lpwstr>&amp;"Arial,Regular"&amp;12&amp;B&amp;K000000OFFICIAL</vt:lpwstr>
  </property>
  <property fmtid="{D5CDD505-2E9C-101B-9397-08002B2CF9AE}" pid="15" name="bjCentreFooterLabel">
    <vt:lpwstr>&amp;"Arial,Regular"&amp;12&amp;B&amp;K000000OFFICIAL</vt:lpwstr>
  </property>
</Properties>
</file>